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2" hidden="1">'ZV Vykáz.-A Detail'!$A$5:$P$5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H21" i="419" l="1"/>
  <c r="AG21" i="419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C22" i="419" l="1"/>
  <c r="G22" i="419"/>
  <c r="E22" i="419"/>
  <c r="H22" i="419"/>
  <c r="L22" i="419"/>
  <c r="P22" i="419"/>
  <c r="T22" i="419"/>
  <c r="X22" i="419"/>
  <c r="AB22" i="419"/>
  <c r="AF22" i="419"/>
  <c r="I22" i="419"/>
  <c r="M22" i="419"/>
  <c r="Q22" i="419"/>
  <c r="U22" i="419"/>
  <c r="Y22" i="419"/>
  <c r="AC22" i="419"/>
  <c r="F22" i="419"/>
  <c r="J22" i="419"/>
  <c r="N22" i="419"/>
  <c r="R22" i="419"/>
  <c r="V22" i="419"/>
  <c r="Z22" i="419"/>
  <c r="AD22" i="419"/>
  <c r="AG22" i="419"/>
  <c r="B22" i="419"/>
  <c r="D22" i="419"/>
  <c r="K22" i="419"/>
  <c r="O22" i="419"/>
  <c r="S22" i="419"/>
  <c r="W22" i="419"/>
  <c r="AA22" i="419"/>
  <c r="AE22" i="419"/>
  <c r="AH22" i="419"/>
  <c r="A27" i="383"/>
  <c r="G3" i="429"/>
  <c r="F3" i="429"/>
  <c r="E3" i="429"/>
  <c r="D3" i="429"/>
  <c r="C3" i="429"/>
  <c r="B3" i="429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G26" i="419" l="1"/>
  <c r="AG25" i="419"/>
  <c r="C11" i="340" l="1"/>
  <c r="A21" i="383" l="1"/>
  <c r="A11" i="383"/>
  <c r="C16" i="414"/>
  <c r="D16" i="414"/>
  <c r="AH20" i="419" l="1"/>
  <c r="AH23" i="419" s="1"/>
  <c r="AG20" i="419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H16" i="419"/>
  <c r="AH18" i="419" s="1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H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9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20" i="414" s="1"/>
  <c r="C11" i="339"/>
  <c r="H11" i="339" l="1"/>
  <c r="G11" i="339"/>
  <c r="A21" i="414"/>
  <c r="A20" i="414"/>
  <c r="A15" i="414"/>
  <c r="A12" i="414"/>
  <c r="A11" i="414"/>
  <c r="A8" i="414"/>
  <c r="A7" i="414"/>
  <c r="A16" i="414"/>
  <c r="A4" i="414"/>
  <c r="A6" i="339" l="1"/>
  <c r="A5" i="339"/>
  <c r="D4" i="414"/>
  <c r="D19" i="414"/>
  <c r="C19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F3" i="387"/>
  <c r="N3" i="220"/>
  <c r="L3" i="220" s="1"/>
  <c r="D22" i="414"/>
  <c r="C22" i="414"/>
  <c r="Q3" i="347" l="1"/>
  <c r="S3" i="347"/>
  <c r="U3" i="347"/>
  <c r="H3" i="387"/>
  <c r="F13" i="339"/>
  <c r="E13" i="339"/>
  <c r="E15" i="339" s="1"/>
  <c r="H12" i="339"/>
  <c r="G12" i="339"/>
  <c r="K3" i="390"/>
  <c r="A4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D18" i="414"/>
  <c r="C4" i="414"/>
  <c r="H13" i="339" l="1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<sst xmlns="http://schemas.openxmlformats.org/spreadsheetml/2006/main" count="9349" uniqueCount="1896">
  <si>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</si>
  <si>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</si>
  <si>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</si>
  <si>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</si>
  <si>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</si>
  <si>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</si>
  <si>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</si>
  <si>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</si>
  <si>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</si>
  <si>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</si>
  <si>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</si>
  <si>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</si>
  <si>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</si>
  <si>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</si>
  <si>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</si>
  <si>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</si>
  <si>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</si>
  <si>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</si>
  <si>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</si>
  <si>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</si>
  <si>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</si>
  <si>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</si>
  <si>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</si>
  <si>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</si>
  <si>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</si>
  <si>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</si>
  <si>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</si>
  <si>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</si>
  <si>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</si>
  <si>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</si>
  <si>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</si>
  <si>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</si>
  <si>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</si>
  <si>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</si>
  <si>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</si>
  <si>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</si>
  <si>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</si>
  <si>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</si>
  <si>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</si>
  <si>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</si>
  <si>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</si>
  <si>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</si>
  <si>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</si>
  <si>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</si>
  <si>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</si>
  <si>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</si>
  <si>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</si>
  <si>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</si>
  <si>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</si>
  <si>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</si>
  <si>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</si>
  <si>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</si>
  <si>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</si>
  <si>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</si>
  <si>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</si>
  <si>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</si>
  <si>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</si>
  <si>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</si>
  <si>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</si>
  <si>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</si>
  <si>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</si>
  <si>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</si>
  <si>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</si>
  <si>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</si>
  <si>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</si>
  <si>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</si>
  <si>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</si>
  <si>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</si>
  <si>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</si>
  <si>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</si>
  <si>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</si>
  <si>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</si>
  <si>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</si>
  <si>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</si>
  <si>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</si>
  <si>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</si>
  <si>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</si>
  <si>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</si>
  <si>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</si>
  <si>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</si>
  <si>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</si>
  <si>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</si>
  <si>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</si>
  <si>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</si>
  <si>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</si>
  <si>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</si>
  <si>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</si>
  <si>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</si>
  <si>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</si>
  <si>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</si>
  <si>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</si>
  <si>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</si>
  <si>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</si>
  <si>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</si>
  <si>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</si>
  <si>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</si>
  <si>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</si>
  <si>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</si>
  <si>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</si>
  <si>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</si>
  <si>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</si>
  <si>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</si>
  <si>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</si>
  <si>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</si>
  <si>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</si>
  <si>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</si>
  <si>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</si>
  <si>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</si>
  <si>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</si>
  <si>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</si>
  <si>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</si>
  <si>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</si>
  <si>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</si>
  <si>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</si>
  <si>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</si>
  <si>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</si>
  <si>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</si>
  <si>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</si>
  <si>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</si>
  <si>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</si>
  <si>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</si>
  <si>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</si>
  <si>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</si>
  <si>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</si>
  <si>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</si>
  <si>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</si>
  <si>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</si>
  <si>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</si>
  <si>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</si>
  <si>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</si>
  <si>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</si>
  <si>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</si>
  <si>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</si>
  <si>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</si>
  <si>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</si>
  <si>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</si>
  <si>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</si>
  <si>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</si>
  <si>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</si>
  <si>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</si>
  <si>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</si>
  <si>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</si>
  <si>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</si>
  <si>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</si>
  <si>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</si>
  <si>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</si>
  <si>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</si>
  <si>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</si>
  <si>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</si>
  <si>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</si>
  <si>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</si>
  <si>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</si>
  <si>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</si>
  <si>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</si>
  <si>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</si>
  <si>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</si>
  <si>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</si>
  <si>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</si>
  <si>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</si>
  <si>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</si>
  <si>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</si>
  <si>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</si>
  <si>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</si>
  <si>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</si>
  <si>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</si>
  <si>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</si>
  <si>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</si>
  <si>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</si>
  <si>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</si>
  <si>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</si>
  <si>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</si>
  <si>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</si>
  <si>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</si>
  <si>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</si>
  <si>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</si>
  <si>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</si>
  <si>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</si>
  <si>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</si>
  <si>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</si>
  <si>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</si>
  <si>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</si>
  <si>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</si>
  <si>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</si>
  <si>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</si>
  <si>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</si>
  <si>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</si>
  <si>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</si>
  <si>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</si>
  <si>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</si>
  <si>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</si>
  <si>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</si>
  <si>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</si>
  <si>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</si>
  <si>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</si>
  <si>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</si>
  <si>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</si>
  <si>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</si>
  <si>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</si>
  <si>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</si>
  <si>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</si>
  <si>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</si>
  <si>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</si>
  <si>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</si>
  <si>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</si>
  <si>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</si>
  <si>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</si>
  <si>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</si>
  <si>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</si>
  <si>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</si>
  <si>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</si>
  <si>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</si>
  <si>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</si>
  <si>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</si>
  <si>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</si>
  <si>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</si>
  <si>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</si>
  <si>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</si>
  <si>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</si>
  <si>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</si>
  <si>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</si>
  <si>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</si>
  <si>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</si>
  <si>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</si>
  <si>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</si>
  <si>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</si>
  <si>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</si>
  <si>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</si>
  <si>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</si>
  <si>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</si>
  <si>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</si>
  <si>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</si>
  <si>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</si>
  <si>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</si>
  <si>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</si>
  <si>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</si>
  <si>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</si>
  <si>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</si>
  <si>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</si>
  <si>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</si>
  <si>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</si>
  <si>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</si>
  <si>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</si>
  <si>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</si>
  <si>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</si>
  <si>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</si>
  <si>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</si>
  <si>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</si>
  <si>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</si>
  <si>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</si>
  <si>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</si>
  <si>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</si>
  <si>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</si>
  <si>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</si>
  <si>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</si>
  <si>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</si>
  <si>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</si>
  <si>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</si>
  <si>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</si>
  <si>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</si>
  <si>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</si>
  <si>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</si>
  <si>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</si>
  <si>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</si>
  <si>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</si>
  <si>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</si>
  <si>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</si>
  <si>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</si>
  <si>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</si>
  <si>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</si>
  <si>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</si>
  <si>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</si>
  <si>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</si>
  <si>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</si>
  <si>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</si>
  <si>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</si>
  <si>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</si>
  <si>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</si>
  <si>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</si>
  <si>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</si>
  <si>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</si>
  <si>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</si>
  <si>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</si>
  <si>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Transfůzní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</si>
  <si>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</si>
  <si>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</si>
  <si>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</si>
  <si>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</si>
  <si>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</si>
  <si>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</si>
  <si>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</si>
  <si>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</si>
  <si>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</si>
  <si>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</si>
  <si>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50114     Krevní přípravky</t>
  </si>
  <si>
    <t>50114002     krevní přípravky</t>
  </si>
  <si>
    <t>50114003     plazma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</si>
  <si>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</si>
  <si>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</si>
  <si>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</si>
  <si>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</si>
  <si>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</si>
  <si>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</si>
  <si>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</si>
  <si>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</si>
  <si>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50116     Potraviny</t>
  </si>
  <si>
    <t>50116003     dárci krve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</si>
  <si>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</si>
  <si>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</si>
  <si>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</si>
  <si>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</si>
  <si>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</si>
  <si>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</si>
  <si>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</si>
  <si>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50117009     spotřební materiál k ZPr. (sk.V21)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</si>
  <si>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</si>
  <si>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</si>
  <si>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</si>
  <si>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</si>
  <si>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</si>
  <si>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</si>
  <si>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</si>
  <si>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</si>
  <si>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</si>
  <si>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</si>
  <si>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</si>
  <si>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</si>
  <si>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</si>
  <si>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</si>
  <si>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</si>
  <si>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50119099     netkaný textil (sk.T18)</t>
  </si>
  <si>
    <t>50119100     jednorázové ochranné pomůcky (sk.T18A)</t>
  </si>
  <si>
    <t>50119102     jednorázové hygienické potřeby (sk.T18C)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</si>
  <si>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</si>
  <si>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</si>
  <si>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</si>
  <si>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</si>
  <si>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</si>
  <si>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</si>
  <si>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50210075     plyn</t>
  </si>
  <si>
    <t>50401     Prodané zb. FNOL</t>
  </si>
  <si>
    <t>50401002     prodej pacientům (pomůcky pro rodičky, USB náram....)</t>
  </si>
  <si>
    <t>507     Aktivace oběžného majetku</t>
  </si>
  <si>
    <t>50700     Aktivace oběžného majetku</t>
  </si>
  <si>
    <t>50700031     krevní přípravky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</si>
  <si>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</si>
  <si>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</si>
  <si>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</si>
  <si>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</si>
  <si>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</si>
  <si>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</si>
  <si>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</si>
  <si>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</si>
  <si>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</si>
  <si>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</si>
  <si>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51202     Cestovné pacientů</t>
  </si>
  <si>
    <t>51202001     cestovné pacientů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</si>
  <si>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</si>
  <si>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</si>
  <si>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</si>
  <si>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</si>
  <si>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</si>
  <si>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</si>
  <si>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</si>
  <si>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</si>
  <si>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</si>
  <si>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</si>
  <si>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</si>
  <si>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</si>
  <si>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</si>
  <si>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</si>
  <si>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</si>
  <si>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</si>
  <si>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</si>
  <si>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</si>
  <si>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</si>
  <si>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</si>
  <si>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</si>
  <si>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51874011     zkoušky kvality</t>
  </si>
  <si>
    <t>51874015     organ.rozvoj (certif., akred.)</t>
  </si>
  <si>
    <t>51880     Služby z darů, FKSP</t>
  </si>
  <si>
    <t>51880001     služby z bonusů, věc.darů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</si>
  <si>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</si>
  <si>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</si>
  <si>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</si>
  <si>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</si>
  <si>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</si>
  <si>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52125     Odstupné</t>
  </si>
  <si>
    <t>52125000     odstupné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</si>
  <si>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</si>
  <si>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</si>
  <si>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</si>
  <si>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</si>
  <si>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</si>
  <si>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</si>
  <si>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</si>
  <si>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</si>
  <si>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</si>
  <si>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</si>
  <si>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</si>
  <si>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</si>
  <si>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</si>
  <si>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</si>
  <si>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</si>
  <si>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</si>
  <si>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</si>
  <si>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</si>
  <si>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544     Prodaný materiál</t>
  </si>
  <si>
    <t>54401     Prodané krevní přípravky</t>
  </si>
  <si>
    <t>54401001     prodané krevní přípravky</t>
  </si>
  <si>
    <t>54401002     prodaná plazma</t>
  </si>
  <si>
    <t>54401003     prodané krevní deriváty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</si>
  <si>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</si>
  <si>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</si>
  <si>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</si>
  <si>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</si>
  <si>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</si>
  <si>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</si>
  <si>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54921     Odměny dárcům</t>
  </si>
  <si>
    <t>54921000     odměny dárcům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</si>
  <si>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</si>
  <si>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</si>
  <si>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</si>
  <si>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</si>
  <si>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</si>
  <si>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</si>
  <si>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54971     Školení - ost.zaměst.THP (pouze OPMČ)</t>
  </si>
  <si>
    <t>54971000     školení - ost.zaměst.THP(pouze 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</si>
  <si>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</si>
  <si>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</si>
  <si>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</si>
  <si>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</si>
  <si>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</si>
  <si>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</si>
  <si>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</si>
  <si>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</si>
  <si>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</si>
  <si>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</si>
  <si>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</si>
  <si>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</si>
  <si>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55110015     odpisy DHM - ostatní z dotací</t>
  </si>
  <si>
    <t>55120     ZC vyřazeného DM</t>
  </si>
  <si>
    <t>55120005     ZC DHM - ostatní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</si>
  <si>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</si>
  <si>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</si>
  <si>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</si>
  <si>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</si>
  <si>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55802003     DDHM - kacelářská technika (sk.V_37)</t>
  </si>
  <si>
    <t>55804     DDHM - výpočetní technika</t>
  </si>
  <si>
    <t>55804001     DDHM - výpočetní technika (sk.P_35)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</si>
  <si>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</si>
  <si>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</si>
  <si>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</si>
  <si>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</si>
  <si>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</si>
  <si>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</si>
  <si>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</si>
  <si>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</si>
  <si>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</si>
  <si>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</si>
  <si>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</si>
  <si>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</si>
  <si>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</si>
  <si>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</si>
  <si>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</si>
  <si>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</si>
  <si>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</si>
  <si>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</si>
  <si>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</si>
  <si>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</si>
  <si>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</si>
  <si>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</si>
  <si>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</si>
  <si>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</si>
  <si>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</si>
  <si>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604     Výnosy z prodaného zboží</t>
  </si>
  <si>
    <t>60401     Prodej zboží - FNOL</t>
  </si>
  <si>
    <t>60401002     prodej pacientům (pomůcky pro rodičky, USB náram....)</t>
  </si>
  <si>
    <t>64     Jiné provozní výnosy</t>
  </si>
  <si>
    <t>644     Výnosy z prodeje materiálu</t>
  </si>
  <si>
    <t>64423     Výnosy z prodeje materiálu</t>
  </si>
  <si>
    <t>64423001     prodej krevních výrobků TO</t>
  </si>
  <si>
    <t>64423011     prodej plazmy TO</t>
  </si>
  <si>
    <t>64423013     prodej krevních derivátů TO</t>
  </si>
  <si>
    <t>648     Čerpání fondů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</si>
  <si>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</si>
  <si>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</si>
  <si>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</si>
  <si>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</si>
  <si>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</si>
  <si>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</si>
  <si>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</si>
  <si>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</si>
  <si>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64908044     náhrady od pojišť. (majetek)</t>
  </si>
  <si>
    <t>64908050     náhrady od pojišť. (zaměstn.)</t>
  </si>
  <si>
    <t>64924     Ostatní služby - mimo zdrav.výkony  FAKTURACE</t>
  </si>
  <si>
    <t>64924437     zpracování AT</t>
  </si>
  <si>
    <t>64924442     telekom.služby, soukr. hovory</t>
  </si>
  <si>
    <t>64924449     ostatní provoz.sl.-hl.čin.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</si>
  <si>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</si>
  <si>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</si>
  <si>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</si>
  <si>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</si>
  <si>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</si>
  <si>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</si>
  <si>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</si>
  <si>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</si>
  <si>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</si>
  <si>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</si>
  <si>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</si>
  <si>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</si>
  <si>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</si>
  <si>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</si>
  <si>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</si>
  <si>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</si>
  <si>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</si>
  <si>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</si>
  <si>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</si>
  <si>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</si>
  <si>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</si>
  <si>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</si>
  <si>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</si>
  <si>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</si>
  <si>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</si>
  <si>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</si>
  <si>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</si>
  <si>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</si>
  <si>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</si>
  <si>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</si>
  <si>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</si>
  <si>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35</t>
  </si>
  <si>
    <t>Transfuzní oddělení</t>
  </si>
  <si>
    <t/>
  </si>
  <si>
    <t>50113008     léky - krev.deriváty ZUL (TO)</t>
  </si>
  <si>
    <t>Transfuzní oddělení Celkem</t>
  </si>
  <si>
    <t>SumaKL</t>
  </si>
  <si>
    <t>3541</t>
  </si>
  <si>
    <t>laboratoř - SVLS</t>
  </si>
  <si>
    <t>laboratoř - SVLS Celkem</t>
  </si>
  <si>
    <t>SumaNS</t>
  </si>
  <si>
    <t>mezeraNS</t>
  </si>
  <si>
    <t>3590</t>
  </si>
  <si>
    <t>výroba</t>
  </si>
  <si>
    <t>výroba Celkem</t>
  </si>
  <si>
    <t>3503</t>
  </si>
  <si>
    <t>TO - krizová připravenost</t>
  </si>
  <si>
    <t>TO - krizová připravenost Celkem</t>
  </si>
  <si>
    <t>50113001</t>
  </si>
  <si>
    <t>O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</si>
  <si>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</si>
  <si>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</si>
  <si>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</si>
  <si>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</si>
  <si>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</si>
  <si>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</si>
  <si>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</si>
  <si>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</si>
  <si>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100802</t>
  </si>
  <si>
    <t>802</t>
  </si>
  <si>
    <t>OPHTHALMO-SEPTONEX</t>
  </si>
  <si>
    <t>GTT OPH 1X10ML</t>
  </si>
  <si>
    <t>100876</t>
  </si>
  <si>
    <t>876</t>
  </si>
  <si>
    <t>UNG OPH 1X5GM</t>
  </si>
  <si>
    <t>103575</t>
  </si>
  <si>
    <t>3575</t>
  </si>
  <si>
    <t>HEPAROID LECIVA</t>
  </si>
  <si>
    <t>UNG 1X30GM</t>
  </si>
  <si>
    <t>115390</t>
  </si>
  <si>
    <t>15390</t>
  </si>
  <si>
    <t>FENISTIL</t>
  </si>
  <si>
    <t>DRM GEL 1X30GM/30MG</t>
  </si>
  <si>
    <t>145310</t>
  </si>
  <si>
    <t>45310</t>
  </si>
  <si>
    <t>ANACID</t>
  </si>
  <si>
    <t>SUS 12X5ML(SACKY)</t>
  </si>
  <si>
    <t>152266</t>
  </si>
  <si>
    <t>52266</t>
  </si>
  <si>
    <t>INFADOLAN</t>
  </si>
  <si>
    <t>DRM UNG 1X30GM</t>
  </si>
  <si>
    <t>166555</t>
  </si>
  <si>
    <t>66555</t>
  </si>
  <si>
    <t>MAGNOSOLV</t>
  </si>
  <si>
    <t>GRA 30X6.1GM(SACKY)</t>
  </si>
  <si>
    <t>197402</t>
  </si>
  <si>
    <t>97402</t>
  </si>
  <si>
    <t>SORBIFER DURULES</t>
  </si>
  <si>
    <t>TBL FC 50X100MG</t>
  </si>
  <si>
    <t>846629</t>
  </si>
  <si>
    <t>100013</t>
  </si>
  <si>
    <t>IBALGIN 400 TBL 24</t>
  </si>
  <si>
    <t xml:space="preserve">POR TBL FLM 24X400MG </t>
  </si>
  <si>
    <t>848866</t>
  </si>
  <si>
    <t>119654</t>
  </si>
  <si>
    <t>POR TBL FLM 100X100MG</t>
  </si>
  <si>
    <t>849941</t>
  </si>
  <si>
    <t>162142</t>
  </si>
  <si>
    <t>PARALEN 500</t>
  </si>
  <si>
    <t>POR TBL NOB 24X500MG</t>
  </si>
  <si>
    <t>176501</t>
  </si>
  <si>
    <t>IBALGIN DUO EFFECT</t>
  </si>
  <si>
    <t>DRM CRM 1X50GM</t>
  </si>
  <si>
    <t>196610</t>
  </si>
  <si>
    <t>96610</t>
  </si>
  <si>
    <t>APAURIN</t>
  </si>
  <si>
    <t>INJ 10X2ML/10MG</t>
  </si>
  <si>
    <t>841565</t>
  </si>
  <si>
    <t>KL BENZINUM 150g</t>
  </si>
  <si>
    <t>198872</t>
  </si>
  <si>
    <t>98872</t>
  </si>
  <si>
    <t>FYZIOLOGICKÝ ROZTOK VIAFLO</t>
  </si>
  <si>
    <t>INF SOL 30X250ML</t>
  </si>
  <si>
    <t>198876</t>
  </si>
  <si>
    <t>98876</t>
  </si>
  <si>
    <t>INF SOL 20X500ML</t>
  </si>
  <si>
    <t>169755</t>
  </si>
  <si>
    <t>69755</t>
  </si>
  <si>
    <t>ARDEANUTRISOL G 40</t>
  </si>
  <si>
    <t>INF 1X80ML</t>
  </si>
  <si>
    <t>930589</t>
  </si>
  <si>
    <t>KL ETHANOLUM BENZ.DENAT. 900 ml / 720g/</t>
  </si>
  <si>
    <t>UN 1170</t>
  </si>
  <si>
    <t>106091</t>
  </si>
  <si>
    <t>6091</t>
  </si>
  <si>
    <t>GUTRON 2.5MG</t>
  </si>
  <si>
    <t>TBL 20X2.5MG</t>
  </si>
  <si>
    <t>106093</t>
  </si>
  <si>
    <t>6093</t>
  </si>
  <si>
    <t>TBL 50X2.5MG</t>
  </si>
  <si>
    <t>198880</t>
  </si>
  <si>
    <t>98880</t>
  </si>
  <si>
    <t>INF SOL 10X1000ML</t>
  </si>
  <si>
    <t>930759</t>
  </si>
  <si>
    <t>MS BENZINUM  900 ml  FA , KU</t>
  </si>
  <si>
    <t>DPH 21%</t>
  </si>
  <si>
    <t>921012</t>
  </si>
  <si>
    <t>KL Ethanolum 70% 140,0 g v sirokohrdle lahvi</t>
  </si>
  <si>
    <t>100699</t>
  </si>
  <si>
    <t>699</t>
  </si>
  <si>
    <t>CHOLAGOL</t>
  </si>
  <si>
    <t>GTT 1X10ML</t>
  </si>
  <si>
    <t>920056</t>
  </si>
  <si>
    <t>KL ETHANOLUM 70% 800 g</t>
  </si>
  <si>
    <t>842161</t>
  </si>
  <si>
    <t>31950</t>
  </si>
  <si>
    <t>Carbocit tbl.20</t>
  </si>
  <si>
    <t>930224</t>
  </si>
  <si>
    <t>KL BENZINUM 900 ml</t>
  </si>
  <si>
    <t>UN 3295</t>
  </si>
  <si>
    <t>158236</t>
  </si>
  <si>
    <t>58236</t>
  </si>
  <si>
    <t>AJATIN PROFARMA TINKTURA</t>
  </si>
  <si>
    <t>TCT 1X50ML</t>
  </si>
  <si>
    <t>382099</t>
  </si>
  <si>
    <t>82099</t>
  </si>
  <si>
    <t>KRYTÍ GELOVÉ HEMAGEL 5G</t>
  </si>
  <si>
    <t>HEMAGEL V TUBĚ O OBSAHU 5G</t>
  </si>
  <si>
    <t>900106</t>
  </si>
  <si>
    <t>IR  0.9%SOD.CHLOR.FOR IRR. 6X1000 ML</t>
  </si>
  <si>
    <t>IR-Fres. 6X1000 ML</t>
  </si>
  <si>
    <t>847025</t>
  </si>
  <si>
    <t>137119</t>
  </si>
  <si>
    <t>CALCIUM 500 MG PHARMAVIT</t>
  </si>
  <si>
    <t>POR TBL EFF 20X500MG</t>
  </si>
  <si>
    <t>176954</t>
  </si>
  <si>
    <t>ALGIFEN NEO</t>
  </si>
  <si>
    <t>POR GTT SOL 1X50ML</t>
  </si>
  <si>
    <t>200863</t>
  </si>
  <si>
    <t>OPH GTT SOL 1X10ML PLAST</t>
  </si>
  <si>
    <t>107291</t>
  </si>
  <si>
    <t>0.9% SODIUM CHLORIDE IN WATER FOR INJECTION 'FRESE</t>
  </si>
  <si>
    <t>INF SOL 1X500ML-PE</t>
  </si>
  <si>
    <t>202924</t>
  </si>
  <si>
    <t>ENDIARON</t>
  </si>
  <si>
    <t>POR TBL FLM 10X250MG</t>
  </si>
  <si>
    <t>201452</t>
  </si>
  <si>
    <t>OPHTAL</t>
  </si>
  <si>
    <t>OPH AQA 4X25ML PLAST</t>
  </si>
  <si>
    <t>987606</t>
  </si>
  <si>
    <t>Carbofit (Čárkll)</t>
  </si>
  <si>
    <t xml:space="preserve"> tob.20</t>
  </si>
  <si>
    <t>184279</t>
  </si>
  <si>
    <t>CALCIUM-SANDOZ FORTE 500 MG</t>
  </si>
  <si>
    <t>P</t>
  </si>
  <si>
    <t>153639</t>
  </si>
  <si>
    <t>53639</t>
  </si>
  <si>
    <t>FLONIDAN</t>
  </si>
  <si>
    <t>TBL 30X10MG</t>
  </si>
  <si>
    <t>188734</t>
  </si>
  <si>
    <t>88734</t>
  </si>
  <si>
    <t>TBL 10X10MG</t>
  </si>
  <si>
    <t>Transfůzní oddělení</t>
  </si>
  <si>
    <t>TO, výroba</t>
  </si>
  <si>
    <t>Lékárna - léčiva</t>
  </si>
  <si>
    <t>3590 - TO, výroba</t>
  </si>
  <si>
    <t>R06AX13 - Loratadin</t>
  </si>
  <si>
    <t>R06AX13</t>
  </si>
  <si>
    <t>FLONIDAN 10 MG TABLETY</t>
  </si>
  <si>
    <t>POR TBL NOB 30X10MG</t>
  </si>
  <si>
    <t>POR TBL NOB 10X10MG</t>
  </si>
  <si>
    <t>Přehled plnění pozitivního listu - spotřeba léčivých přípravků - orientační přehled</t>
  </si>
  <si>
    <t>35 - Transfuzní oddělení</t>
  </si>
  <si>
    <t>3590 - výroba</t>
  </si>
  <si>
    <t>HVLP</t>
  </si>
  <si>
    <t>IPLP</t>
  </si>
  <si>
    <t>89301356</t>
  </si>
  <si>
    <t>Ambulance - hematologická poradna Celkem</t>
  </si>
  <si>
    <t>Transfůzní oddělení Celkem</t>
  </si>
  <si>
    <t>Entrová Alice</t>
  </si>
  <si>
    <t>Holusková Iva</t>
  </si>
  <si>
    <t>Sulovská Ivana</t>
  </si>
  <si>
    <t>Smital Jan</t>
  </si>
  <si>
    <t>Burgetová Anna</t>
  </si>
  <si>
    <t>Matějková Monika</t>
  </si>
  <si>
    <t>Stejskalová Monika</t>
  </si>
  <si>
    <t>Galuszková Dana</t>
  </si>
  <si>
    <t>Alopurinol</t>
  </si>
  <si>
    <t>1710</t>
  </si>
  <si>
    <t>MILURIT 300</t>
  </si>
  <si>
    <t>POR TBL NOB 30X300MG</t>
  </si>
  <si>
    <t>Budesonid</t>
  </si>
  <si>
    <t>54267</t>
  </si>
  <si>
    <t>RHINOCORT AQUA 64 MCG</t>
  </si>
  <si>
    <t>NAS SPR SUS 120X64RG</t>
  </si>
  <si>
    <t>Cefuroxim</t>
  </si>
  <si>
    <t>47727</t>
  </si>
  <si>
    <t>ZINNAT 500 MG</t>
  </si>
  <si>
    <t>POR TBL FLM 10X500MG</t>
  </si>
  <si>
    <t>Diosmin, kombinace</t>
  </si>
  <si>
    <t>169278</t>
  </si>
  <si>
    <t>DETRALEX</t>
  </si>
  <si>
    <t>POR TBL FLM 60X500MG</t>
  </si>
  <si>
    <t>201992</t>
  </si>
  <si>
    <t>POR TBL FLM 120X500MG</t>
  </si>
  <si>
    <t>Hydrokortison a antibiotika</t>
  </si>
  <si>
    <t>61980</t>
  </si>
  <si>
    <t>PIMAFUCORT</t>
  </si>
  <si>
    <t>DRM UNG 1X15GM</t>
  </si>
  <si>
    <t>Jiná antibiotika pro lokální aplikaci</t>
  </si>
  <si>
    <t>1066</t>
  </si>
  <si>
    <t>FRAMYKOIN</t>
  </si>
  <si>
    <t>DRM UNG 1X10GM</t>
  </si>
  <si>
    <t>Jiná antiinfektiva</t>
  </si>
  <si>
    <t>OPH GTT SOL 1X10ML SKLO</t>
  </si>
  <si>
    <t>Klindamycin, kombinace</t>
  </si>
  <si>
    <t>169740</t>
  </si>
  <si>
    <t>DUAC GEL</t>
  </si>
  <si>
    <t>DRM GEL 15 GM</t>
  </si>
  <si>
    <t>Klotrimazol</t>
  </si>
  <si>
    <t>16895</t>
  </si>
  <si>
    <t>IMAZOL KRÉMPASTA</t>
  </si>
  <si>
    <t>DRM PST 1X30GM</t>
  </si>
  <si>
    <t>86397</t>
  </si>
  <si>
    <t>CLOTRIMAZOL AL 1%</t>
  </si>
  <si>
    <t>DRM CRM 1X50GM 1%</t>
  </si>
  <si>
    <t>Kombinace různých antibiotik</t>
  </si>
  <si>
    <t>1076</t>
  </si>
  <si>
    <t>OPHTHALMO-FRAMYKOIN</t>
  </si>
  <si>
    <t>OPH UNG 1X5GM</t>
  </si>
  <si>
    <t>Levothyroxin, sodná sůl</t>
  </si>
  <si>
    <t>69189</t>
  </si>
  <si>
    <t>EUTHYROX 50 MIKROGRAMŮ</t>
  </si>
  <si>
    <t>POR TBL NOB 100X50RG</t>
  </si>
  <si>
    <t>Multienzymové přípravky (lipáza, proteáza apod.)</t>
  </si>
  <si>
    <t>14815</t>
  </si>
  <si>
    <t>KREON 10 000</t>
  </si>
  <si>
    <t>POR CPS ETD 100</t>
  </si>
  <si>
    <t>14816</t>
  </si>
  <si>
    <t>POR CPS ETD 200</t>
  </si>
  <si>
    <t>Mupirocin</t>
  </si>
  <si>
    <t>90778</t>
  </si>
  <si>
    <t>BACTROBAN</t>
  </si>
  <si>
    <t>Nitrofurantoin</t>
  </si>
  <si>
    <t>154748</t>
  </si>
  <si>
    <t>NITROFURANTOIN - RATIOPHARM 100 MG</t>
  </si>
  <si>
    <t>POR CPS PRO 50X100MG</t>
  </si>
  <si>
    <t>Nystatin, kombinace</t>
  </si>
  <si>
    <t>107744</t>
  </si>
  <si>
    <t>MACMIROR COMPLEX</t>
  </si>
  <si>
    <t>VAG UNG 1X30GM+APL</t>
  </si>
  <si>
    <t>Pantoprazol</t>
  </si>
  <si>
    <t>180698</t>
  </si>
  <si>
    <t>CONTROLOC 40 MG</t>
  </si>
  <si>
    <t>POR TBL ENT 90X40MG</t>
  </si>
  <si>
    <t>Paracetamol</t>
  </si>
  <si>
    <t>4343</t>
  </si>
  <si>
    <t>PARALEN 500 SUP</t>
  </si>
  <si>
    <t>RCT SUP 5X500MG</t>
  </si>
  <si>
    <t>Pitofenon a analgetika</t>
  </si>
  <si>
    <t>50335</t>
  </si>
  <si>
    <t>POR GTT SOL 1X25ML</t>
  </si>
  <si>
    <t>107987</t>
  </si>
  <si>
    <t>ANALGIN</t>
  </si>
  <si>
    <t>INJ SOL 5X5ML</t>
  </si>
  <si>
    <t>Prednisolon a antiseptika</t>
  </si>
  <si>
    <t>16467</t>
  </si>
  <si>
    <t>IMACORT</t>
  </si>
  <si>
    <t>DRM CRM 1X20GM</t>
  </si>
  <si>
    <t>Prokinetika</t>
  </si>
  <si>
    <t>166760</t>
  </si>
  <si>
    <t>KINITO 50 MG, POTAHOVANÉ TABLETY</t>
  </si>
  <si>
    <t>POR TBL FLM 100X50MG</t>
  </si>
  <si>
    <t>Rosuvastatin</t>
  </si>
  <si>
    <t>148074</t>
  </si>
  <si>
    <t>ROSUCARD 20 MG POTAHOVANÉ TABLETY</t>
  </si>
  <si>
    <t>POR TBL FLM 90X20MG</t>
  </si>
  <si>
    <t>Různé jiné kombinace železa</t>
  </si>
  <si>
    <t>99138</t>
  </si>
  <si>
    <t>AKTIFERRIN</t>
  </si>
  <si>
    <t>POR GTT SOL 1X30ML</t>
  </si>
  <si>
    <t>Silikony</t>
  </si>
  <si>
    <t>13388</t>
  </si>
  <si>
    <t>ESPUMISAN</t>
  </si>
  <si>
    <t>POR CPS MOL 25X40MG</t>
  </si>
  <si>
    <t>Sulfamethoxazol a trimethoprim</t>
  </si>
  <si>
    <t>6264</t>
  </si>
  <si>
    <t>SUMETROLIM</t>
  </si>
  <si>
    <t>POR TBL NOB 20X480MG</t>
  </si>
  <si>
    <t>Jiná</t>
  </si>
  <si>
    <t>*2001</t>
  </si>
  <si>
    <t>Jiný</t>
  </si>
  <si>
    <t>*2002</t>
  </si>
  <si>
    <t>*4013</t>
  </si>
  <si>
    <t>*4006</t>
  </si>
  <si>
    <t>Amoxicilin a enzymový inhibitor</t>
  </si>
  <si>
    <t>5951</t>
  </si>
  <si>
    <t>AMOKSIKLAV 1 G</t>
  </si>
  <si>
    <t>POR TBL FLM 14X1GM</t>
  </si>
  <si>
    <t>Ciprofloxacin</t>
  </si>
  <si>
    <t>15646</t>
  </si>
  <si>
    <t>CIPLOX</t>
  </si>
  <si>
    <t>OPH+AUR GTT SOL 5ML</t>
  </si>
  <si>
    <t>Diklofenak</t>
  </si>
  <si>
    <t>125121</t>
  </si>
  <si>
    <t>APO-DICLO SR 100</t>
  </si>
  <si>
    <t>POR TBL RET 30X100MG</t>
  </si>
  <si>
    <t>Dimetinden</t>
  </si>
  <si>
    <t>15520</t>
  </si>
  <si>
    <t>POR GTT SOL 1X20ML</t>
  </si>
  <si>
    <t>Drospirenon a ethinylestradiol</t>
  </si>
  <si>
    <t>129845</t>
  </si>
  <si>
    <t>ELOINE 0,02 MG/3 MG POTAHOVANÉ TABLETY</t>
  </si>
  <si>
    <t>POR TBL FLM 3X28</t>
  </si>
  <si>
    <t>Gestoden a ethinylestradiol</t>
  </si>
  <si>
    <t>46707</t>
  </si>
  <si>
    <t>LOGEST</t>
  </si>
  <si>
    <t>POR TBL OBD 3X21</t>
  </si>
  <si>
    <t>97557</t>
  </si>
  <si>
    <t>LINDYNETTE 20</t>
  </si>
  <si>
    <t>Hořčík (různé sole v kombinaci)</t>
  </si>
  <si>
    <t>POR GRA SOL 30</t>
  </si>
  <si>
    <t>48261</t>
  </si>
  <si>
    <t>PLV ADS 1X20GM</t>
  </si>
  <si>
    <t>Levocetirizin</t>
  </si>
  <si>
    <t>137177</t>
  </si>
  <si>
    <t>CEZERA 5 MG</t>
  </si>
  <si>
    <t>POR TBL FLM 90X5MG</t>
  </si>
  <si>
    <t>85142</t>
  </si>
  <si>
    <t>XYZAL</t>
  </si>
  <si>
    <t>Levonorgestrel a ethinylestradiol</t>
  </si>
  <si>
    <t>78246</t>
  </si>
  <si>
    <t>MINISISTON</t>
  </si>
  <si>
    <t>POR TBL OBD 3X21(=63)</t>
  </si>
  <si>
    <t>Loratadin</t>
  </si>
  <si>
    <t>14910</t>
  </si>
  <si>
    <t>POR TBL NOB 90X10MG</t>
  </si>
  <si>
    <t>57580</t>
  </si>
  <si>
    <t>CLARITINE</t>
  </si>
  <si>
    <t>POR TBL NOB 60X10MG</t>
  </si>
  <si>
    <t>Norethisteron</t>
  </si>
  <si>
    <t>125226</t>
  </si>
  <si>
    <t>NORETHISTERON ZENTIVA</t>
  </si>
  <si>
    <t>POR TBL NOB 30X5MG</t>
  </si>
  <si>
    <t>Warfarin</t>
  </si>
  <si>
    <t>192342</t>
  </si>
  <si>
    <t>WARFARIN PMCS 5 MG</t>
  </si>
  <si>
    <t>POR TBL NOB 100X5MG</t>
  </si>
  <si>
    <t>Betahistin</t>
  </si>
  <si>
    <t>102684</t>
  </si>
  <si>
    <t>BETAHISTIN ACTAVIS 16 MG</t>
  </si>
  <si>
    <t>POR TBL NOB 60X16MG</t>
  </si>
  <si>
    <t>Bisoprolol</t>
  </si>
  <si>
    <t>47740</t>
  </si>
  <si>
    <t>RIVOCOR 5</t>
  </si>
  <si>
    <t>POR TBL FLM 30X5MG</t>
  </si>
  <si>
    <t>Bromazepam</t>
  </si>
  <si>
    <t>132600</t>
  </si>
  <si>
    <t>LEXAURIN 1,5</t>
  </si>
  <si>
    <t>POR TBL NOB 30X1.5MG</t>
  </si>
  <si>
    <t>132601</t>
  </si>
  <si>
    <t>LEXAURIN 3</t>
  </si>
  <si>
    <t>POR TBL NOB 30X3MG</t>
  </si>
  <si>
    <t>132676</t>
  </si>
  <si>
    <t>47725</t>
  </si>
  <si>
    <t>ZINNAT 250 MG</t>
  </si>
  <si>
    <t>Cetirizin</t>
  </si>
  <si>
    <t>66030</t>
  </si>
  <si>
    <t>ZODAC</t>
  </si>
  <si>
    <t>POR TBL FLM 30X10MG</t>
  </si>
  <si>
    <t>Dabigatran-etexilát</t>
  </si>
  <si>
    <t>29328</t>
  </si>
  <si>
    <t>PRADAXA 110 MG</t>
  </si>
  <si>
    <t>POR CPS DUR 60X1X110MG</t>
  </si>
  <si>
    <t>Desogestrel a ethinylestradiol</t>
  </si>
  <si>
    <t>96549</t>
  </si>
  <si>
    <t>MARVELON</t>
  </si>
  <si>
    <t>POR TBL NOB 3X21</t>
  </si>
  <si>
    <t>132547</t>
  </si>
  <si>
    <t>14075</t>
  </si>
  <si>
    <t>132632</t>
  </si>
  <si>
    <t>Erdostein</t>
  </si>
  <si>
    <t>87076</t>
  </si>
  <si>
    <t>ERDOMED</t>
  </si>
  <si>
    <t>POR CPS DUR 20X300MG</t>
  </si>
  <si>
    <t>95560</t>
  </si>
  <si>
    <t>POR CPS DUR 30X300MG</t>
  </si>
  <si>
    <t>199680</t>
  </si>
  <si>
    <t>POR CPS DUR 60X300MG</t>
  </si>
  <si>
    <t>Esomeprazol</t>
  </si>
  <si>
    <t>180047</t>
  </si>
  <si>
    <t>HELIDES 20 MG ENTEROSOLVENTNÍ TVRDÉ TOBOLKY</t>
  </si>
  <si>
    <t>POR CPS ETD 14X20MG</t>
  </si>
  <si>
    <t>Hydrokortison-butyrát</t>
  </si>
  <si>
    <t>9305</t>
  </si>
  <si>
    <t>LOCOID 0,1%</t>
  </si>
  <si>
    <t>DRM CRM 1X30GM</t>
  </si>
  <si>
    <t>Klíšťová encefalitida, inaktivovaný celý virus</t>
  </si>
  <si>
    <t>55111</t>
  </si>
  <si>
    <t>FSME-IMMUN 0,5 ML BAXTER</t>
  </si>
  <si>
    <t>INJ SUS ISP 1X0.5ML/DÁV+ INTJ</t>
  </si>
  <si>
    <t>Kodein</t>
  </si>
  <si>
    <t>88</t>
  </si>
  <si>
    <t>CODEIN SLOVAKOFARMA 15 MG</t>
  </si>
  <si>
    <t>POR TBL NOB 10X15MG</t>
  </si>
  <si>
    <t>Kyselina fusidová</t>
  </si>
  <si>
    <t>88746</t>
  </si>
  <si>
    <t>FUCIDIN</t>
  </si>
  <si>
    <t>DRM UNG 1X15GM 2%</t>
  </si>
  <si>
    <t>Kyselina tioktová</t>
  </si>
  <si>
    <t>84367</t>
  </si>
  <si>
    <t>THIOGAMMA 600 ORAL</t>
  </si>
  <si>
    <t>POR TBL FLM 60X600MG</t>
  </si>
  <si>
    <t>97186</t>
  </si>
  <si>
    <t>EUTHYROX 100 MIKROGRAMŮ</t>
  </si>
  <si>
    <t>POR TBL NOB 100X100RG</t>
  </si>
  <si>
    <t>Mefenoxalon</t>
  </si>
  <si>
    <t>3645</t>
  </si>
  <si>
    <t>DIMEXOL</t>
  </si>
  <si>
    <t>POR TBL NOB 30X200MG</t>
  </si>
  <si>
    <t>Nifuroxazid</t>
  </si>
  <si>
    <t>46405</t>
  </si>
  <si>
    <t>ERCEFURYL 200 MG CPS.</t>
  </si>
  <si>
    <t>POR CPS DUR 14X200MG</t>
  </si>
  <si>
    <t>Ofloxacin</t>
  </si>
  <si>
    <t>55636</t>
  </si>
  <si>
    <t>OFLOXIN 200</t>
  </si>
  <si>
    <t>POR TBL FLM 10X200MG</t>
  </si>
  <si>
    <t>Omeprazol</t>
  </si>
  <si>
    <t>10246</t>
  </si>
  <si>
    <t>OMEPRAZOL AL 20</t>
  </si>
  <si>
    <t>POR CPS ETD 100X20MG</t>
  </si>
  <si>
    <t>122114</t>
  </si>
  <si>
    <t>APO-OME 20</t>
  </si>
  <si>
    <t>132531</t>
  </si>
  <si>
    <t>HELICID 20</t>
  </si>
  <si>
    <t>POR CPS ETD 90X20MG</t>
  </si>
  <si>
    <t>49115</t>
  </si>
  <si>
    <t>CONTROLOC 20 MG</t>
  </si>
  <si>
    <t>POR TBL ENT 100X20MG</t>
  </si>
  <si>
    <t>Perindopril a amlodipin</t>
  </si>
  <si>
    <t>124091</t>
  </si>
  <si>
    <t>PRESTANCE 5 MG/5 MG</t>
  </si>
  <si>
    <t>POR TBL NOB 90</t>
  </si>
  <si>
    <t>Perindopril a diuretika</t>
  </si>
  <si>
    <t>122685</t>
  </si>
  <si>
    <t>PRESTARIUM NEO COMBI 5 MG/1,25 MG</t>
  </si>
  <si>
    <t>POR TBL FLM 30</t>
  </si>
  <si>
    <t>122690</t>
  </si>
  <si>
    <t>POR TBL FLM 90</t>
  </si>
  <si>
    <t>166759</t>
  </si>
  <si>
    <t>POR TBL FLM 40X50MG</t>
  </si>
  <si>
    <t>Ramipril</t>
  </si>
  <si>
    <t>56974</t>
  </si>
  <si>
    <t>TRITACE 1,25 MG</t>
  </si>
  <si>
    <t>POR TBL NOB 50X1.25MG</t>
  </si>
  <si>
    <t>Sertralin</t>
  </si>
  <si>
    <t>107887</t>
  </si>
  <si>
    <t>APO-SERTRAL 50</t>
  </si>
  <si>
    <t>POR CPS DUR 100X50MG</t>
  </si>
  <si>
    <t>Simvastatin</t>
  </si>
  <si>
    <t>125082</t>
  </si>
  <si>
    <t>APO-SIMVA 20</t>
  </si>
  <si>
    <t>POR TBL FLM 30X20MG</t>
  </si>
  <si>
    <t>125086</t>
  </si>
  <si>
    <t>POR TBL FLM 100X20MG</t>
  </si>
  <si>
    <t>Tolperison</t>
  </si>
  <si>
    <t>57525</t>
  </si>
  <si>
    <t>MYDOCALM 150 MG</t>
  </si>
  <si>
    <t>POR TBL FLM 30X150MG</t>
  </si>
  <si>
    <t>Tolterodin</t>
  </si>
  <si>
    <t>32641</t>
  </si>
  <si>
    <t>DETRUSITOL SR 4 MG</t>
  </si>
  <si>
    <t>POR CPS PRO 28X4MG</t>
  </si>
  <si>
    <t>Vinpocetin</t>
  </si>
  <si>
    <t>10253</t>
  </si>
  <si>
    <t>CAVINTON FORTE</t>
  </si>
  <si>
    <t>Zolpidem</t>
  </si>
  <si>
    <t>94292</t>
  </si>
  <si>
    <t>ZOLPIDEM-RATIOPHARM 10 MG</t>
  </si>
  <si>
    <t>POR TBL FLM 20X10MG</t>
  </si>
  <si>
    <t>134228</t>
  </si>
  <si>
    <t>ZOLPIDEM ORION 10 MG</t>
  </si>
  <si>
    <t>POR TBL FLM 100X10MG</t>
  </si>
  <si>
    <t>146897</t>
  </si>
  <si>
    <t>ZOLPIDEM MYLAN</t>
  </si>
  <si>
    <t>84795</t>
  </si>
  <si>
    <t>*3009</t>
  </si>
  <si>
    <t>Jiná imunostimulancia</t>
  </si>
  <si>
    <t>17806</t>
  </si>
  <si>
    <t>URO-VAXOM</t>
  </si>
  <si>
    <t>POR CPS DUR 90X6MG</t>
  </si>
  <si>
    <t>Azithromycin</t>
  </si>
  <si>
    <t>155866</t>
  </si>
  <si>
    <t>SUMAMED FORTE SIRUP</t>
  </si>
  <si>
    <t>POR PLV SUS 1X37.5ML</t>
  </si>
  <si>
    <t>54268</t>
  </si>
  <si>
    <t>NAS SPR SUS 240X64RG</t>
  </si>
  <si>
    <t>58834</t>
  </si>
  <si>
    <t>ZODAC GTT</t>
  </si>
  <si>
    <t>129842</t>
  </si>
  <si>
    <t>YAZ 0,02 MG/3 MG POTAHOVANÉ TABLETY</t>
  </si>
  <si>
    <t>Escitalopram</t>
  </si>
  <si>
    <t>135928</t>
  </si>
  <si>
    <t>ESOPREX 10 MG</t>
  </si>
  <si>
    <t>Flutrimazol</t>
  </si>
  <si>
    <t>53905</t>
  </si>
  <si>
    <t>MICETAL</t>
  </si>
  <si>
    <t>DRM SPR SOL 1X30ML/300MG</t>
  </si>
  <si>
    <t>Vareniklin</t>
  </si>
  <si>
    <t>29310</t>
  </si>
  <si>
    <t>CHAMPIX 1 MG</t>
  </si>
  <si>
    <t>POR TBL FLM 112X1MG K</t>
  </si>
  <si>
    <t>29365</t>
  </si>
  <si>
    <t>CHAMPIX 0,5 MG + 1 MG + 1 MG</t>
  </si>
  <si>
    <t>POR TBL FLM 11+14+28 PO</t>
  </si>
  <si>
    <t>146893</t>
  </si>
  <si>
    <t>ZOLPIDEM MYLAN 10 MG</t>
  </si>
  <si>
    <t>Benzoyl-peroxid</t>
  </si>
  <si>
    <t>47279</t>
  </si>
  <si>
    <t>ECLARAN 5</t>
  </si>
  <si>
    <t>DRM GEL 1X45GM</t>
  </si>
  <si>
    <t>146895</t>
  </si>
  <si>
    <t>POR TBL FLM 28X10MG</t>
  </si>
  <si>
    <t>163149</t>
  </si>
  <si>
    <t>HYPNOGEN</t>
  </si>
  <si>
    <t>16286</t>
  </si>
  <si>
    <t>STILNOX</t>
  </si>
  <si>
    <t>Ambulance - hematologická poradna</t>
  </si>
  <si>
    <t>Preskripce a záchyt receptů a poukazů - orientační přehled</t>
  </si>
  <si>
    <t>Přehled plnění pozitivního listu (PL) - 
   preskripce léčivých přípravků dle objemu Kč mimo PL</t>
  </si>
  <si>
    <t>R06AE09 - Levocetirizin</t>
  </si>
  <si>
    <t>J01DC02 - Cefuroxim</t>
  </si>
  <si>
    <t>N06AB10 - Escitalopram</t>
  </si>
  <si>
    <t>J01MA01 - Ofloxacin</t>
  </si>
  <si>
    <t>B01AA03 - Warfarin</t>
  </si>
  <si>
    <t>A03FA - Prokinetika</t>
  </si>
  <si>
    <t>N07CA01 - Betahistin</t>
  </si>
  <si>
    <t>B01AE07 - Dabigatran-etexilát</t>
  </si>
  <si>
    <t>J01FA10 - Azithromycin</t>
  </si>
  <si>
    <t>C07AB07 - Bisoprolol</t>
  </si>
  <si>
    <t>N06AB06 - Sertralin</t>
  </si>
  <si>
    <t>C09AA05 - Ramipril</t>
  </si>
  <si>
    <t>N06BX18 - Vinpocetin</t>
  </si>
  <si>
    <t>C10AA01 - Simvastatin</t>
  </si>
  <si>
    <t>A02BC05 - Esomeprazol</t>
  </si>
  <si>
    <t>R06AE07 - Cetirizin</t>
  </si>
  <si>
    <t>C10AA07 - Rosuvastatin</t>
  </si>
  <si>
    <t>A02BC02 - Pantoprazol</t>
  </si>
  <si>
    <t>J01CR02 - Amoxicilin a enzymový inhibitor</t>
  </si>
  <si>
    <t>J01FA10</t>
  </si>
  <si>
    <t>R06AE07</t>
  </si>
  <si>
    <t>A02BC02</t>
  </si>
  <si>
    <t>A03FA</t>
  </si>
  <si>
    <t>C10AA07</t>
  </si>
  <si>
    <t>J01DC02</t>
  </si>
  <si>
    <t>B01AA03</t>
  </si>
  <si>
    <t>J01CR02</t>
  </si>
  <si>
    <t>R06AE09</t>
  </si>
  <si>
    <t>N06AB10</t>
  </si>
  <si>
    <t>A02BC05</t>
  </si>
  <si>
    <t>B01AE07</t>
  </si>
  <si>
    <t>C07AB07</t>
  </si>
  <si>
    <t>C09AA05</t>
  </si>
  <si>
    <t>C10AA01</t>
  </si>
  <si>
    <t>J01MA01</t>
  </si>
  <si>
    <t>N06AB06</t>
  </si>
  <si>
    <t>N06BX18</t>
  </si>
  <si>
    <t>N07CA01</t>
  </si>
  <si>
    <t>Přehled plnění PL - Preskripce léčivých přípravků - orientační přehled</t>
  </si>
  <si>
    <t>ZA446</t>
  </si>
  <si>
    <t>Vata buničitá přířezy 20 x 30 cm 1230200129</t>
  </si>
  <si>
    <t>ZA450</t>
  </si>
  <si>
    <t>Náplast omniplast hospital 1,25 cm x 9,1 m 9004520</t>
  </si>
  <si>
    <t>ZB404</t>
  </si>
  <si>
    <t>Náplast cosmos 8 cm x 1 m 5403353</t>
  </si>
  <si>
    <t>ZC100</t>
  </si>
  <si>
    <t>Vata buničitá dělená 2 role / 500 ks 40 x 50 mm 1230200310</t>
  </si>
  <si>
    <t>ZC854</t>
  </si>
  <si>
    <t xml:space="preserve">Kompresa NT 7,5 x 7,5 cm / 2 ks sterilní 26510 </t>
  </si>
  <si>
    <t>ZD103</t>
  </si>
  <si>
    <t>Náplast omniplast   2,5 cm x 9,2 m 9004530</t>
  </si>
  <si>
    <t>ZL684</t>
  </si>
  <si>
    <t>Náplast santiband standard poinjekční jednotl. baleno 19 mm x 72 mm 652</t>
  </si>
  <si>
    <t>ZL996</t>
  </si>
  <si>
    <t>Obinadlo hyrofilní sterilní  8 cm x 5 m  004310182</t>
  </si>
  <si>
    <t>ZL995</t>
  </si>
  <si>
    <t>Obinadlo hyrofilní sterilní  6 cm x 5 m  004310190</t>
  </si>
  <si>
    <t>ZL999</t>
  </si>
  <si>
    <t>Rychloobvaz 8 x 4 cm / 3 ks ( pro obj. 1 kus = 3 náplasti) 001445510</t>
  </si>
  <si>
    <t>ZA789</t>
  </si>
  <si>
    <t>Stříkačka injekční 2-dílná 2 ml L Inject Solo 4606027V</t>
  </si>
  <si>
    <t>ZA855</t>
  </si>
  <si>
    <t>Pipeta pasteurova P 223 6,5 ml 204523</t>
  </si>
  <si>
    <t>ZB521</t>
  </si>
  <si>
    <t>Dispenser 100 Magnete 009893V</t>
  </si>
  <si>
    <t>ZE091</t>
  </si>
  <si>
    <t>Zátka k plast. zkumavkám 331690213410</t>
  </si>
  <si>
    <t>ZF091</t>
  </si>
  <si>
    <t>Zátka k plast. zkumavkám 331690213010</t>
  </si>
  <si>
    <t>ZA844</t>
  </si>
  <si>
    <t>Destička mikrotitr. U steril bal. á 240 ks 400916</t>
  </si>
  <si>
    <t>ZB845</t>
  </si>
  <si>
    <t>Zkumavka 5 ml PP 12 x 86 mm 1032</t>
  </si>
  <si>
    <t>Zkumavka 5,0 ml PP 12 x 86 mm bal. á 4000 ks 1032</t>
  </si>
  <si>
    <t>ZB967</t>
  </si>
  <si>
    <t>Zkumavka 3 ml PP 13 x 75 mm 1058</t>
  </si>
  <si>
    <t>ZB426</t>
  </si>
  <si>
    <t>Mikrozkumavka eppendorf 1,5 ml BSA 0220</t>
  </si>
  <si>
    <t>ZC716</t>
  </si>
  <si>
    <t>Špička pipetovací žlutá dlouhá manžeta 1123</t>
  </si>
  <si>
    <t>Špička žlutá pipetovací dlouhá manžeta 1123</t>
  </si>
  <si>
    <t>ZE719</t>
  </si>
  <si>
    <t>Špička pipetovací 0.5-10ul á 1000 ks 3110</t>
  </si>
  <si>
    <t>Špička pipetovací 0.5-10ul á 1000 ks BUN001P-BP(3110)</t>
  </si>
  <si>
    <t>ZB628</t>
  </si>
  <si>
    <t>Špička pipetovací bílá nester. 10-200ul 1121</t>
  </si>
  <si>
    <t>ZK663</t>
  </si>
  <si>
    <t>Deska s jamkami (KS) 7047206000</t>
  </si>
  <si>
    <t>ZB605</t>
  </si>
  <si>
    <t>Špička modrá krátká manžeta 1108</t>
  </si>
  <si>
    <t>ZG553</t>
  </si>
  <si>
    <t>Zkumavky krevní  bal. á 385 ks 632423014097</t>
  </si>
  <si>
    <t>ZL949</t>
  </si>
  <si>
    <t>Rukavice nitril promedica bez p. L bílé 6N á 100 ks 9399W4</t>
  </si>
  <si>
    <t>ZL948</t>
  </si>
  <si>
    <t>Rukavice nitril promedica bez p. M bílé 6N á 100 ks 9399W3</t>
  </si>
  <si>
    <t>ZM051</t>
  </si>
  <si>
    <t>Rukavice nitril promedica bez p. S bílé 6N á 100 ks 9399W2</t>
  </si>
  <si>
    <t>ZM292</t>
  </si>
  <si>
    <t>Rukavice nitril sempercare bez p. M bal. á 200 ks 30 803</t>
  </si>
  <si>
    <t>Rukavice nitril sempercare bez p. M bal. á 200 ks 30803</t>
  </si>
  <si>
    <t>ZM291</t>
  </si>
  <si>
    <t>Rukavice nitril sempercare bez p. S bal. á 200 ks 30 802</t>
  </si>
  <si>
    <t>Rukavice nitril sempercare bez p. S bal. á 200 ks 30802</t>
  </si>
  <si>
    <t>ZM293</t>
  </si>
  <si>
    <t>Rukavice nitril sempercare bez p. L bal. á 200 ks 30 804</t>
  </si>
  <si>
    <t>Rukavice nitril sempercare bez p. L bal. á 200 ks 30804</t>
  </si>
  <si>
    <t>396095</t>
  </si>
  <si>
    <t>-Anti-JKb (polyclonal human IgG) Coombs 5 ml 213184</t>
  </si>
  <si>
    <t>800181</t>
  </si>
  <si>
    <t>-SERASCAN DIANA I+II+III+IV 4X10 ML</t>
  </si>
  <si>
    <t>800182</t>
  </si>
  <si>
    <t>-SERASCAN DIANA I+II+III+IV-P 4x10 ml</t>
  </si>
  <si>
    <t>800183</t>
  </si>
  <si>
    <t>-IDENTISERA DIANA 11x5 ml</t>
  </si>
  <si>
    <t>800184</t>
  </si>
  <si>
    <t>-IDENTISERA DIANA P 11x5 ml</t>
  </si>
  <si>
    <t>800237</t>
  </si>
  <si>
    <t>-WEAK D CELLS 0002995</t>
  </si>
  <si>
    <t>800681</t>
  </si>
  <si>
    <t>-DG PAPAIN 210357</t>
  </si>
  <si>
    <t>803198</t>
  </si>
  <si>
    <t>-MAKROPANEL 16 16*3 ML 1385</t>
  </si>
  <si>
    <t>396090</t>
  </si>
  <si>
    <t>-Anti-Cw (monoclonal human IgM) Clone MS-110, 5ml 213140</t>
  </si>
  <si>
    <t>396092</t>
  </si>
  <si>
    <t>-Anti-Fya (polyclonal human IgG) Coombs 5 ml 213187</t>
  </si>
  <si>
    <t>396093</t>
  </si>
  <si>
    <t>-Anti-Fyb (polyclonal human IgG) Coombs 5 ml 213188</t>
  </si>
  <si>
    <t>396098</t>
  </si>
  <si>
    <t>-Anti-S (polyclonal human IgG) Coombs 5 ml 213183</t>
  </si>
  <si>
    <t>396099</t>
  </si>
  <si>
    <t>-Anti-s (polyclonal human IgG) Coombs 5 ml 213185</t>
  </si>
  <si>
    <t>DC533</t>
  </si>
  <si>
    <t>ACCURUN 1 Series 2700 6x3,5 ml</t>
  </si>
  <si>
    <t>DB099</t>
  </si>
  <si>
    <t>Immutrep-RPR (500t)</t>
  </si>
  <si>
    <t>DD182</t>
  </si>
  <si>
    <t>ID-Card ID LISS/Coombs, 112x12</t>
  </si>
  <si>
    <t>DB637</t>
  </si>
  <si>
    <t>DIAGN.ERYTROCYTY A1 10ML</t>
  </si>
  <si>
    <t>DA150</t>
  </si>
  <si>
    <t>DIAGN.ERYTROCYTY 0 RH NEG 10 M</t>
  </si>
  <si>
    <t>DB548</t>
  </si>
  <si>
    <t>DIAGN.ANTI-D IgM MON. 10x10ML</t>
  </si>
  <si>
    <t>DA503</t>
  </si>
  <si>
    <t>RPR Positive control 0,5 ml</t>
  </si>
  <si>
    <t>DB638</t>
  </si>
  <si>
    <t>DIAGN.ERYTROCYTY A2 10ML</t>
  </si>
  <si>
    <t>DB490</t>
  </si>
  <si>
    <t>SERASCAN DIANA I+II+III+IV</t>
  </si>
  <si>
    <t>DB492</t>
  </si>
  <si>
    <t>IDENTISERA DIANA</t>
  </si>
  <si>
    <t>DF561</t>
  </si>
  <si>
    <t>DIAGN. Anti-Wra pol. 3ml</t>
  </si>
  <si>
    <t>DE314</t>
  </si>
  <si>
    <t>DIAGN.ANTI-k MON. 2 ML</t>
  </si>
  <si>
    <t>DB639</t>
  </si>
  <si>
    <t>DIAGN.ERYTROCYTY B 10ML</t>
  </si>
  <si>
    <t>DB493</t>
  </si>
  <si>
    <t>IDENTISERA DIANA P</t>
  </si>
  <si>
    <t>DB853</t>
  </si>
  <si>
    <t>GAMMA QUIN</t>
  </si>
  <si>
    <t>DB965</t>
  </si>
  <si>
    <t>DG PAPAIN</t>
  </si>
  <si>
    <t>DB395</t>
  </si>
  <si>
    <t>PANOSCREEN I.II.III. Cw 3x10 ml</t>
  </si>
  <si>
    <t>DB491</t>
  </si>
  <si>
    <t>SERASCAN DIANA I+II+III+IV-P</t>
  </si>
  <si>
    <t>DC791</t>
  </si>
  <si>
    <t>CheckcellWeak 10 ml</t>
  </si>
  <si>
    <t>DA505</t>
  </si>
  <si>
    <t>RPR Negative control 0,5 ml</t>
  </si>
  <si>
    <t>DC915</t>
  </si>
  <si>
    <t>ID-ANTI-IGG DILUTION</t>
  </si>
  <si>
    <t>DC700</t>
  </si>
  <si>
    <t>DIAGN.ANTI-KELL MON. 5 ML</t>
  </si>
  <si>
    <t>DF040</t>
  </si>
  <si>
    <t>ANTI-Jka 1x12</t>
  </si>
  <si>
    <t>ID-Card DiaClon Anti-Jkb</t>
  </si>
  <si>
    <t>DA600</t>
  </si>
  <si>
    <t>ANTI-Fya 1x12 (bez sera)</t>
  </si>
  <si>
    <t>ID-Card Fya</t>
  </si>
  <si>
    <t>DB622</t>
  </si>
  <si>
    <t>ID-Card DC-Screening II, 1x12</t>
  </si>
  <si>
    <t>DE087</t>
  </si>
  <si>
    <t>ANTI-Lea 1x12</t>
  </si>
  <si>
    <t>DB016</t>
  </si>
  <si>
    <t>ID-interní kontrola kvality</t>
  </si>
  <si>
    <t>DB542</t>
  </si>
  <si>
    <t>WEAK D CELLS</t>
  </si>
  <si>
    <t>DA189</t>
  </si>
  <si>
    <t>Microcide SQ</t>
  </si>
  <si>
    <t>DD067</t>
  </si>
  <si>
    <t>ID-Card Reverse Grouping with Screening</t>
  </si>
  <si>
    <t>DG542</t>
  </si>
  <si>
    <t>Diagnostické sérum anti-s</t>
  </si>
  <si>
    <t>DB621</t>
  </si>
  <si>
    <t>ID-DiaCell I-II-III</t>
  </si>
  <si>
    <t>DE090</t>
  </si>
  <si>
    <t>ANTI-Cw 1x12</t>
  </si>
  <si>
    <t>ID-Card Anti-Cw</t>
  </si>
  <si>
    <t>DD779</t>
  </si>
  <si>
    <t>MAKROPANEL 16 16*3 ML</t>
  </si>
  <si>
    <t>DE928</t>
  </si>
  <si>
    <t>NOVACLONE Anti-C3b,-C3d 3ml</t>
  </si>
  <si>
    <t>DB625</t>
  </si>
  <si>
    <t>ID-DIACELL I+II+IIIP,3X10ML</t>
  </si>
  <si>
    <t>DC945</t>
  </si>
  <si>
    <t>DIAGNOSTIKUM ANTI-A MONOKL.</t>
  </si>
  <si>
    <t>DC946</t>
  </si>
  <si>
    <t>DIAGNOSTIKUM ANTI-B MONOKL.</t>
  </si>
  <si>
    <t>DB554</t>
  </si>
  <si>
    <t>LEKTIN ANTI-H 3ML</t>
  </si>
  <si>
    <t>DA049</t>
  </si>
  <si>
    <t>ImmuClone Rh-Hr Control</t>
  </si>
  <si>
    <t>DE086</t>
  </si>
  <si>
    <t>ANTI-Dia Clon Anti-P1 1x12</t>
  </si>
  <si>
    <t>921091</t>
  </si>
  <si>
    <t>-HCl 0,2M 50 ml 50 ml</t>
  </si>
  <si>
    <t>DC967</t>
  </si>
  <si>
    <t>DG Gel Sol (2x100ml)</t>
  </si>
  <si>
    <t>DG595</t>
  </si>
  <si>
    <t>Promývací roztok A ředěný</t>
  </si>
  <si>
    <t>DF034</t>
  </si>
  <si>
    <t>ID-FLASCHEN-Anti-Fyb 1x4 ml</t>
  </si>
  <si>
    <t>DE088</t>
  </si>
  <si>
    <t>ANTI-Leb 1x12</t>
  </si>
  <si>
    <t>DF041</t>
  </si>
  <si>
    <t>ANTI-Jkb 1x12</t>
  </si>
  <si>
    <t>DB479</t>
  </si>
  <si>
    <t>AHG</t>
  </si>
  <si>
    <t>DA619</t>
  </si>
  <si>
    <t>DG Gel Coombs ( 2 x 25 cards )</t>
  </si>
  <si>
    <t>DF628</t>
  </si>
  <si>
    <t>DG Gel Newborn</t>
  </si>
  <si>
    <t>DF033</t>
  </si>
  <si>
    <t>ID-FLASCHEN-Anti-Fya 1x4 ml</t>
  </si>
  <si>
    <t>Test serum ID-anti Fya</t>
  </si>
  <si>
    <t>DG592</t>
  </si>
  <si>
    <t>NOVACLONE Anti-D, IgM+IgG  10x10ml</t>
  </si>
  <si>
    <t>DB951</t>
  </si>
  <si>
    <t>GAMMA ELU-KIT II</t>
  </si>
  <si>
    <t>DD510</t>
  </si>
  <si>
    <t>DIAGN.ANTI-E MON.5ML</t>
  </si>
  <si>
    <t>DE085</t>
  </si>
  <si>
    <t>ID-Card DiaClon Anti-N</t>
  </si>
  <si>
    <t>DB163</t>
  </si>
  <si>
    <t>DG Gel NEUTRAL ( 2 x 25 cards )</t>
  </si>
  <si>
    <t>DG074</t>
  </si>
  <si>
    <t>DG Gel Rh Kell</t>
  </si>
  <si>
    <t>DF030</t>
  </si>
  <si>
    <t>Test serum, ID-anti S</t>
  </si>
  <si>
    <t>DB539</t>
  </si>
  <si>
    <t>Diagn.anti-C mon. 5 ml</t>
  </si>
  <si>
    <t>DF037</t>
  </si>
  <si>
    <t>ANTI-S 1x12 (+diag. serum)</t>
  </si>
  <si>
    <t>DC617</t>
  </si>
  <si>
    <t>LEKTIN ANTI-A1 5 ML</t>
  </si>
  <si>
    <t>DA649</t>
  </si>
  <si>
    <t>ID-Card S</t>
  </si>
  <si>
    <t>DC395</t>
  </si>
  <si>
    <t>Negativní kontr.mon.10 ml</t>
  </si>
  <si>
    <t>DD900</t>
  </si>
  <si>
    <t>805061</t>
  </si>
  <si>
    <t>-Isopropanol 5%, transf. 1000 ml</t>
  </si>
  <si>
    <t>DG596</t>
  </si>
  <si>
    <t>Promývací roztok B ředěný</t>
  </si>
  <si>
    <t>DF014</t>
  </si>
  <si>
    <t>COMPLEMENT CONTROL CELLS 3ml</t>
  </si>
  <si>
    <t>DA611</t>
  </si>
  <si>
    <t>Anti-s (polyclonal human IgG) Coombs 5 ml</t>
  </si>
  <si>
    <t>DA615</t>
  </si>
  <si>
    <t>Anti-Lub (polyclonal human IgG) Coombs 5 ml</t>
  </si>
  <si>
    <t>DA607</t>
  </si>
  <si>
    <t>Anti-Jka (polyclonal human IgG) Coombs 5 ml</t>
  </si>
  <si>
    <t>DA610</t>
  </si>
  <si>
    <t>Anti-N (monoclonal, murine) Clone 20H12/MN879 5 m</t>
  </si>
  <si>
    <t>DA606</t>
  </si>
  <si>
    <t>Anti-Fyb (polyclonal human IgG) Coombs 5 ml</t>
  </si>
  <si>
    <t>DA612</t>
  </si>
  <si>
    <t>DA608</t>
  </si>
  <si>
    <t>Anti-JKb (polyclonal human IgG) Coombs 5 ml</t>
  </si>
  <si>
    <t>DA613</t>
  </si>
  <si>
    <t>Anti-Kpa (polyclonal human IgG) Coombs 5 ml</t>
  </si>
  <si>
    <t>DA614</t>
  </si>
  <si>
    <t>Anti-Lua (polyclonal human IgG) Coombs 5 ml</t>
  </si>
  <si>
    <t>DA605</t>
  </si>
  <si>
    <t>Anti-Fya (polyclonal human IgG) Coombs 5 ml</t>
  </si>
  <si>
    <t>DA609</t>
  </si>
  <si>
    <t>Anti-M (monoclonal, murine) Clone LM110/140 5 ml</t>
  </si>
  <si>
    <t>DG379</t>
  </si>
  <si>
    <t>Doprava 21%</t>
  </si>
  <si>
    <t>ZA314</t>
  </si>
  <si>
    <t>Obinadlo idealast-haft 8 cm x   4 m 9311113</t>
  </si>
  <si>
    <t>ZA318</t>
  </si>
  <si>
    <t>Náplast transpore 1,25 cm x 9,14 m 1527-0</t>
  </si>
  <si>
    <t>ZA419</t>
  </si>
  <si>
    <t>Náplast betaplast bílá 10 cm x 5 m 510W</t>
  </si>
  <si>
    <t>ZA444</t>
  </si>
  <si>
    <t>Tampon nesterilní stáčený 20 x 19 cm 1320300404</t>
  </si>
  <si>
    <t>ZA466</t>
  </si>
  <si>
    <t>Tyčinka vatová sterilní 14 cm 9679501</t>
  </si>
  <si>
    <t>Tyčinka vatová sterilní 14 cm bal. á 200 ks 9679501</t>
  </si>
  <si>
    <t>ZA589</t>
  </si>
  <si>
    <t>Tampon sterilní stáčený 30 x 30 cm / 5 ks karton á 1500 ks 28007</t>
  </si>
  <si>
    <t>ZB084</t>
  </si>
  <si>
    <t>Náplast transpore 2,50 cm x 9,14 m 1527-1</t>
  </si>
  <si>
    <t>Náplast cosmos 8 cm x 1m 5403353</t>
  </si>
  <si>
    <t>ZC128</t>
  </si>
  <si>
    <t>Tampon nesterilní stáčený 30 x 30 cm karton á 2500 ks 1320300405</t>
  </si>
  <si>
    <t>ZD104</t>
  </si>
  <si>
    <t>Náplast omniplast 10,0 cm x 10,0 m 9004472 (900535)</t>
  </si>
  <si>
    <t>ZF225</t>
  </si>
  <si>
    <t>Náplast hypoalergenní á 250 ks 5353811</t>
  </si>
  <si>
    <t>ZI558</t>
  </si>
  <si>
    <t>Náplast curapor   7 x   5 cm 22 120 ( náhrada za cosmopor )</t>
  </si>
  <si>
    <t>ZF450</t>
  </si>
  <si>
    <t>Obinadlo elastické lenkideal krátkotažné 10 cm x 5 m bal. á 10 ks 19583</t>
  </si>
  <si>
    <t>ZA728</t>
  </si>
  <si>
    <t>Lopatka lékařská nesterilní dřevěná bal. á 100 ks 1320100655</t>
  </si>
  <si>
    <t>ZA787</t>
  </si>
  <si>
    <t>Stříkačka injekční 2-dílná 10 ml L Inject Solo 4606108V</t>
  </si>
  <si>
    <t>ZA790</t>
  </si>
  <si>
    <t>Stříkačka injekční 2-dílná 5 ml L Inject Solo4606051V</t>
  </si>
  <si>
    <t>ZB756</t>
  </si>
  <si>
    <t>Zkumavka 3 ml K3 edta fialová 454086</t>
  </si>
  <si>
    <t>ZB757</t>
  </si>
  <si>
    <t>Zkumavka 6 ml K3 edta fialová 456036</t>
  </si>
  <si>
    <t>ZB758</t>
  </si>
  <si>
    <t>Zkumavka 9 ml K3 edta NR 455036</t>
  </si>
  <si>
    <t>ZB759</t>
  </si>
  <si>
    <t>Zkumavka červená 8 ml gel 455071</t>
  </si>
  <si>
    <t>ZB761</t>
  </si>
  <si>
    <t>Zkumavka červená 4 ml 454092</t>
  </si>
  <si>
    <t>ZB762</t>
  </si>
  <si>
    <t>Zkumavka červená 6 ml 456092</t>
  </si>
  <si>
    <t>ZB771</t>
  </si>
  <si>
    <t>Držák jehly základní 450201</t>
  </si>
  <si>
    <t>ZC742</t>
  </si>
  <si>
    <t>Septum ARC 4D1803</t>
  </si>
  <si>
    <t>ZC906</t>
  </si>
  <si>
    <t>Škrtidlo se sponou pro dospělé 25 x 500 mm KVS25500</t>
  </si>
  <si>
    <t>ZD350</t>
  </si>
  <si>
    <t>Lanceta haemolance zelená 21 G á 100 ks DIS7372</t>
  </si>
  <si>
    <t>ZF192</t>
  </si>
  <si>
    <t>Nádoba na kontaminovaný odpad 4 l 15-0004</t>
  </si>
  <si>
    <t>ZF778</t>
  </si>
  <si>
    <t>Válec odměrný vysoký sklo 500 ml 632432151343</t>
  </si>
  <si>
    <t>ZG515</t>
  </si>
  <si>
    <t>Zkumavka močová vacuette 10,5 ml bal. á 50 ks 455007</t>
  </si>
  <si>
    <t>ZI179</t>
  </si>
  <si>
    <t>Zkumavka s mediem+ flovakovaný tampon eSwab růžový 490CE.A</t>
  </si>
  <si>
    <t>ZK977</t>
  </si>
  <si>
    <t>Cévka odsávací CH14 s přerušovačem sání P01173a</t>
  </si>
  <si>
    <t>ZK978</t>
  </si>
  <si>
    <t>Cévka odsávací CH16 s přerušovačem sání P01175a</t>
  </si>
  <si>
    <t>ZK979</t>
  </si>
  <si>
    <t>Cévka odsávací CH18 s přerušovačem sání P01177a</t>
  </si>
  <si>
    <t>ZA816</t>
  </si>
  <si>
    <t>Zkumavka PS 15 ml sterilní 400915</t>
  </si>
  <si>
    <t>ZB587</t>
  </si>
  <si>
    <t>Vzduchovod nosní PVC 8,0/10 579210</t>
  </si>
  <si>
    <t>ZF577</t>
  </si>
  <si>
    <t>Propichovač segmentu (schlauch segment öffner) 95.1000</t>
  </si>
  <si>
    <t>ZB585</t>
  </si>
  <si>
    <t>Vzduchovod nosní PVC 6/8 579208</t>
  </si>
  <si>
    <t>ZF599</t>
  </si>
  <si>
    <t>Replacement Caps 4D19-01</t>
  </si>
  <si>
    <t>ZH139</t>
  </si>
  <si>
    <t>Vak transfer 400 ml 720434</t>
  </si>
  <si>
    <t>ZF104</t>
  </si>
  <si>
    <t>Nádoba na kontaminovaný odpad 10 l 15-0006</t>
  </si>
  <si>
    <t>ZJ189</t>
  </si>
  <si>
    <t>Zkumavka S-Monovette® 4,9 ml K3 EDTA 04.1931</t>
  </si>
  <si>
    <t>ZM432</t>
  </si>
  <si>
    <t>Zkumavka S-Monovette® 4,9 ml Serum 04.1934</t>
  </si>
  <si>
    <t>ZB640</t>
  </si>
  <si>
    <t>Zkumavka Kep ARC reaction vessels 8 x 500 á 4000 ks 7C1502</t>
  </si>
  <si>
    <t>ZB500</t>
  </si>
  <si>
    <t>Zkumavka vacutainer BD 3 ml Est 75 x 13 H bal . á 100 ks čirá 362725</t>
  </si>
  <si>
    <t>ZA887</t>
  </si>
  <si>
    <t>Zkumavka Greiner vacuette 5 ml K2EDTA 456205</t>
  </si>
  <si>
    <t>ZA881</t>
  </si>
  <si>
    <t>Vak odběrový WBT434CCL</t>
  </si>
  <si>
    <t>ZB140</t>
  </si>
  <si>
    <t>Roztok ACDA 750 ml bal. á 12 ks 40801</t>
  </si>
  <si>
    <t>ZB202</t>
  </si>
  <si>
    <t>Roztok antiko.na citr. 4% 250 ml 0420C-00</t>
  </si>
  <si>
    <t>ZB977</t>
  </si>
  <si>
    <t>Set trima accel plt, plazma, RBC 80400 777800400</t>
  </si>
  <si>
    <t>ZD085</t>
  </si>
  <si>
    <t>Jehla needle syslock 16G sterilní 824-1605</t>
  </si>
  <si>
    <t>Jehla needle syslock 16G sterilní 862-1613</t>
  </si>
  <si>
    <t>ZD192</t>
  </si>
  <si>
    <t>Set harness 00620-00</t>
  </si>
  <si>
    <t>ZD193</t>
  </si>
  <si>
    <t>Plasma Apheresis Bowl 0625B-00</t>
  </si>
  <si>
    <t>ZD432</t>
  </si>
  <si>
    <t>Set trima accel enhanced platet 80420</t>
  </si>
  <si>
    <t>ZD660</t>
  </si>
  <si>
    <t>Vak extra na krevní destičky 1000 ml 70030</t>
  </si>
  <si>
    <t>ZE383</t>
  </si>
  <si>
    <t>Vak sběrný 1000 ml pro plazmu SC692-00</t>
  </si>
  <si>
    <t>ZG182</t>
  </si>
  <si>
    <t>Filtr na erytrocyty BPF4ARBL</t>
  </si>
  <si>
    <t>ZB136</t>
  </si>
  <si>
    <t>Souprava pro separ.erytrocytů  942</t>
  </si>
  <si>
    <t>ZB137</t>
  </si>
  <si>
    <t xml:space="preserve">Roztok antikoag. CPD50, 150 ml bal. á 40 ks 0415C-00 </t>
  </si>
  <si>
    <t>Roztok antikoag. CPD50, 150 ml bal. á 40 ks 0415C-00</t>
  </si>
  <si>
    <t>ZB254</t>
  </si>
  <si>
    <t>Souprava pro separ.plazmy W/NACL ADAP 00627-00</t>
  </si>
  <si>
    <t>ZB355</t>
  </si>
  <si>
    <t>Vak transfer 1000 ml 814-0133</t>
  </si>
  <si>
    <t>ZD086</t>
  </si>
  <si>
    <t>Trojvak T/B CPD-SAGM 831-8307</t>
  </si>
  <si>
    <t>ZE407</t>
  </si>
  <si>
    <t>Filtr na destičky BC PALL-AutoStop ATSBC1EPSB</t>
  </si>
  <si>
    <t>ZE501</t>
  </si>
  <si>
    <t>Roztok fyziologický 500 ml á 20 ks 4CCB1323E</t>
  </si>
  <si>
    <t>ZF732</t>
  </si>
  <si>
    <t xml:space="preserve">Souprava na sběr deleukotizovaných trombocytů v náhradním roztoku bal. á 8 ks 999F-E </t>
  </si>
  <si>
    <t>Souprava na sběr deleukotizovaných trombocytů v náhradním roztoku bal. á 8 ks 999F-E</t>
  </si>
  <si>
    <t>ZF767</t>
  </si>
  <si>
    <t xml:space="preserve">Souprava na sběr deleukotizovaných trombocytů bal. á 8 ks 997CF-E </t>
  </si>
  <si>
    <t>Souprava na sběr deleukotizovaných trombocytů bal. á 8 ks 997CF-E</t>
  </si>
  <si>
    <t>ZI733</t>
  </si>
  <si>
    <t>Roztok aditivní pro skladování trombocytů PASIII M á 20 ks SSP2150U-1OL + 500 ml</t>
  </si>
  <si>
    <t>ZI734</t>
  </si>
  <si>
    <t>Roztok aditivní pro skladování trombocytů PASIII M á 20 ks SSP2130U-1OL + 300 ml</t>
  </si>
  <si>
    <t>ZK701</t>
  </si>
  <si>
    <t xml:space="preserve">Set trima accel na PA plazma 80700 </t>
  </si>
  <si>
    <t>Set trima accel na PA plazma 80700</t>
  </si>
  <si>
    <t>ZL461</t>
  </si>
  <si>
    <t>Souprava pro separ.plazmy W/NACL ADAP 401323</t>
  </si>
  <si>
    <t>ZK830</t>
  </si>
  <si>
    <t>SAG Manitol 100 ml bal. á 48 ks 777968100</t>
  </si>
  <si>
    <t>ZF619</t>
  </si>
  <si>
    <t>Vak transfer 600 ml 720433</t>
  </si>
  <si>
    <t>ZF083</t>
  </si>
  <si>
    <t>Souprava na léčení erytrocytaferézy 00944</t>
  </si>
  <si>
    <t>Souprava na léčení erytrocytaferézy 00944-00</t>
  </si>
  <si>
    <t>ZB138</t>
  </si>
  <si>
    <t>SAG Manitol 350 ml bal. á 20 ks 411C</t>
  </si>
  <si>
    <t>SAG Manitol 350 ml bal. á 20 ks 411C-00</t>
  </si>
  <si>
    <t>ZD135</t>
  </si>
  <si>
    <t>Vak odběrový WBT434CEL</t>
  </si>
  <si>
    <t>ZG782</t>
  </si>
  <si>
    <t>Set na separaci LRS Plt,Plasma,RBC+TRL (pův.777800450) 80450</t>
  </si>
  <si>
    <t>Set na separaci LRS Plt,Plasma,RBC+TRL (pův.777800450) bal. á 6 ks 80450</t>
  </si>
  <si>
    <t>ZL460</t>
  </si>
  <si>
    <t>Roztok antiko.na citr. 4% 250 ml 400945</t>
  </si>
  <si>
    <t>ZK668</t>
  </si>
  <si>
    <t>Vak měřící 1000 ml bal. á 5 ks KLMRS 1000</t>
  </si>
  <si>
    <t>ZG070</t>
  </si>
  <si>
    <t>Vak transfer   300 ml 721293</t>
  </si>
  <si>
    <t>ZB883</t>
  </si>
  <si>
    <t>Vak transfer 6 x 150 ml 814-0135</t>
  </si>
  <si>
    <t>ZA834</t>
  </si>
  <si>
    <t>Jehla injekční 0,7 x   40 mm černá 4660021</t>
  </si>
  <si>
    <t>ZB556</t>
  </si>
  <si>
    <t>Jehla injekční 1,2 x   40 mm růžová 4665120</t>
  </si>
  <si>
    <t>ZB768</t>
  </si>
  <si>
    <t>Jehla vakuová 216/38 mm zelená 450076</t>
  </si>
  <si>
    <t>800554</t>
  </si>
  <si>
    <t>-GAMMA QUIN 0007890</t>
  </si>
  <si>
    <t>500357</t>
  </si>
  <si>
    <t>-ID-interní kontrola kvality 009930</t>
  </si>
  <si>
    <t>800317</t>
  </si>
  <si>
    <t>-ID-DIAPANEL 11X4 004114</t>
  </si>
  <si>
    <t>800318</t>
  </si>
  <si>
    <t>-ID PANEL P 004214</t>
  </si>
  <si>
    <t>800319</t>
  </si>
  <si>
    <t>-ID-DIACELL I-II-III 3X10 004310</t>
  </si>
  <si>
    <t>800323</t>
  </si>
  <si>
    <t>-ID-DIACELL I+II+IIIP,3X10ML 005310</t>
  </si>
  <si>
    <t>800817</t>
  </si>
  <si>
    <t>-ID-PAPAIN 1X10 ML 005510</t>
  </si>
  <si>
    <t>804162</t>
  </si>
  <si>
    <t>-ID-DIACELL Pool 3X10 ml 003631</t>
  </si>
  <si>
    <t>804164</t>
  </si>
  <si>
    <t>-DiaCell MP ABO A1-B 109897</t>
  </si>
  <si>
    <t>804296</t>
  </si>
  <si>
    <t>-EIGHTCHECK-3WP (N) 12x1,5 ml TJ904-0611-6</t>
  </si>
  <si>
    <t>DC017</t>
  </si>
  <si>
    <t>Thioglykolátový bujon</t>
  </si>
  <si>
    <t>DD596</t>
  </si>
  <si>
    <t>Sabouraud agar s CMP</t>
  </si>
  <si>
    <t>DC842</t>
  </si>
  <si>
    <t>ARC HIV COMBO RGT</t>
  </si>
  <si>
    <t>DG395</t>
  </si>
  <si>
    <t>Diagnostická souprava ABO set monoklonální na 30</t>
  </si>
  <si>
    <t>DC689</t>
  </si>
  <si>
    <t>ARC TRIGGER SOL 4PAC</t>
  </si>
  <si>
    <t>DA066</t>
  </si>
  <si>
    <t>ARC HBSAG QUALITATIVE  II CTL</t>
  </si>
  <si>
    <t>DA064</t>
  </si>
  <si>
    <t>ARC HBSAG QUALITATIVE II Reagent 2000t</t>
  </si>
  <si>
    <t>DF844</t>
  </si>
  <si>
    <t>Trypton  sójový agar</t>
  </si>
  <si>
    <t>DD409</t>
  </si>
  <si>
    <t>TRYPTON-SOJOVÝ BUJON</t>
  </si>
  <si>
    <t>DG209</t>
  </si>
  <si>
    <t>MAY-GRUNWALD</t>
  </si>
  <si>
    <t>ACCURUN 1 Series 2600 3x5 ml</t>
  </si>
  <si>
    <t>DF118</t>
  </si>
  <si>
    <t>ARC ANTIHBCII</t>
  </si>
  <si>
    <t>DC291</t>
  </si>
  <si>
    <t>ARC ANTI HCV RGT</t>
  </si>
  <si>
    <t>DC396</t>
  </si>
  <si>
    <t>ARC PRE-TRIG SOL</t>
  </si>
  <si>
    <t>DE730</t>
  </si>
  <si>
    <t>Thioglykolátový bujon(10ML)</t>
  </si>
  <si>
    <t>DG208</t>
  </si>
  <si>
    <t>GIEMSA-ROMANOWSKI</t>
  </si>
  <si>
    <t>DB247</t>
  </si>
  <si>
    <t>ARC Syphlis TP Reagent Kit</t>
  </si>
  <si>
    <t>DC871</t>
  </si>
  <si>
    <t>ARC ANTI HCV CALIBRA</t>
  </si>
  <si>
    <t>DE849</t>
  </si>
  <si>
    <t>ARC CONC WASH BUFFFER(4x1LTR)</t>
  </si>
  <si>
    <t>DE785</t>
  </si>
  <si>
    <t>DiaMed MP Test, CcEeK-ctl, 1x12</t>
  </si>
  <si>
    <t>MP C, c, E, e, K, ctl/C, c, E, e, K, ctl</t>
  </si>
  <si>
    <t>DC235</t>
  </si>
  <si>
    <t>DILUENT 2 1X500</t>
  </si>
  <si>
    <t>DE783</t>
  </si>
  <si>
    <t>MP A-B-AB-D-D-ctl/A1-B, 12 STK</t>
  </si>
  <si>
    <t>MP A, B, AB, D, D, ctl/A,B, 1x12</t>
  </si>
  <si>
    <t>DE784</t>
  </si>
  <si>
    <t>MP A-B-D-ctl/A-B-D-ctl</t>
  </si>
  <si>
    <t>MP A, B, DVI+,ctl/A, B, DVI+,ctl</t>
  </si>
  <si>
    <t>DD102</t>
  </si>
  <si>
    <t>DILUENT 1 1x500 ML</t>
  </si>
  <si>
    <t>ID-Diluent 1</t>
  </si>
  <si>
    <t>LISS/COOMBS 112X12</t>
  </si>
  <si>
    <t>DC999</t>
  </si>
  <si>
    <t>Waschlosung A 10x100 ml</t>
  </si>
  <si>
    <t>DC943</t>
  </si>
  <si>
    <t>NACL/ENZYM/KALTE 112X12</t>
  </si>
  <si>
    <t>ID-NaCl,Enzyme test,112x12 pces</t>
  </si>
  <si>
    <t>DC856</t>
  </si>
  <si>
    <t>ARC Probe Conditioning Solution</t>
  </si>
  <si>
    <t>DB700</t>
  </si>
  <si>
    <t>CELLPACK 20 l</t>
  </si>
  <si>
    <t>DB957</t>
  </si>
  <si>
    <t>CELLCLEAN 50 ml</t>
  </si>
  <si>
    <t>ID-Card Anti-IgG-Dilution, 1x12</t>
  </si>
  <si>
    <t>ID-Card DiaClon Anti-Jka</t>
  </si>
  <si>
    <t>DB619</t>
  </si>
  <si>
    <t>ID-DIAPANEL 11X4</t>
  </si>
  <si>
    <t>ID-Panel, 11x 4ml</t>
  </si>
  <si>
    <t>DC098</t>
  </si>
  <si>
    <t>ID-PAPAIN 1X10 ML</t>
  </si>
  <si>
    <t>DF035</t>
  </si>
  <si>
    <t>DC-SCREENING II 1X12</t>
  </si>
  <si>
    <t>ID-Card DiaClon Anti-Lea</t>
  </si>
  <si>
    <t>DC694</t>
  </si>
  <si>
    <t>ARC HIV COMBO CONTROL</t>
  </si>
  <si>
    <t>DB530</t>
  </si>
  <si>
    <t>STROMATOLYSER-WH 3x500 ml</t>
  </si>
  <si>
    <t>GEGENPROBE 112X12</t>
  </si>
  <si>
    <t>DC458</t>
  </si>
  <si>
    <t>Waschlosung B 10x100 ml</t>
  </si>
  <si>
    <t>ID-DIACELL I-II-III 3X10</t>
  </si>
  <si>
    <t>DB620</t>
  </si>
  <si>
    <t>ID PANEL P</t>
  </si>
  <si>
    <t>ID-Panel P , 11x4ml</t>
  </si>
  <si>
    <t>DA601</t>
  </si>
  <si>
    <t>ANTI-Fyb 1x12 (bez sera)</t>
  </si>
  <si>
    <t>DB514</t>
  </si>
  <si>
    <t>ROZTOK HAYEM   orig.</t>
  </si>
  <si>
    <t>DE734</t>
  </si>
  <si>
    <t>ID-DIACELL Pool 3X10 ml</t>
  </si>
  <si>
    <t>DE736</t>
  </si>
  <si>
    <t>DiaCell MP ABO A1-B</t>
  </si>
  <si>
    <t>ID-Card DiaClon Anti-P1</t>
  </si>
  <si>
    <t>DC716</t>
  </si>
  <si>
    <t>ANAEROCULT A MINI GASGENE RATO</t>
  </si>
  <si>
    <t>Test serum ID-anti Fyb</t>
  </si>
  <si>
    <t>ID-Card DiaClon Anti-Leb</t>
  </si>
  <si>
    <t>DD058</t>
  </si>
  <si>
    <t>ARC ANTI HCV CONTROL</t>
  </si>
  <si>
    <t>DB248</t>
  </si>
  <si>
    <t>ARC Syphilis TP Controls</t>
  </si>
  <si>
    <t>ANTI-N 1x12</t>
  </si>
  <si>
    <t>DE868</t>
  </si>
  <si>
    <t>EIGHTCHECK-3WP (N) 12x1,5 ml</t>
  </si>
  <si>
    <t>DE084</t>
  </si>
  <si>
    <t>ANTI-M  1x12</t>
  </si>
  <si>
    <t>ID-Card DiaClon Anti-M</t>
  </si>
  <si>
    <t>DB249</t>
  </si>
  <si>
    <t>ARC Syphilis TP Calibrator</t>
  </si>
  <si>
    <t>DF116</t>
  </si>
  <si>
    <t>ARC ANTIHBCII CAL</t>
  </si>
  <si>
    <t>DF117</t>
  </si>
  <si>
    <t>ARC ANTIHBCII CTL</t>
  </si>
  <si>
    <t>DA065</t>
  </si>
  <si>
    <t>ARC HBSAG QUALITATIVE II CAL</t>
  </si>
  <si>
    <t>DD424</t>
  </si>
  <si>
    <t>ARC HIV COMBO CALIBR.</t>
  </si>
  <si>
    <t>DF039</t>
  </si>
  <si>
    <t>ANTI-Fyb 1x12 (+diag. serum)</t>
  </si>
  <si>
    <t>DB483</t>
  </si>
  <si>
    <t>Anti-k,Coombs reactive 5 ml</t>
  </si>
  <si>
    <t>DE848</t>
  </si>
  <si>
    <t>ACCURUN ATA SER.5000 12x3,5ml</t>
  </si>
  <si>
    <t>DG694</t>
  </si>
  <si>
    <t>Architect HCV Ag Controls</t>
  </si>
  <si>
    <t>DG692</t>
  </si>
  <si>
    <t>Architect HCV Ag Reagent Kit</t>
  </si>
  <si>
    <t>DG693</t>
  </si>
  <si>
    <t>Architect HCV Ag Calibrators</t>
  </si>
  <si>
    <t>DD561</t>
  </si>
  <si>
    <t>DIAGN.ANTI-LEB MON. 2ML</t>
  </si>
  <si>
    <t>DD839</t>
  </si>
  <si>
    <t>Diagn.anti-Kpa pol.3ml</t>
  </si>
  <si>
    <t>DD794</t>
  </si>
  <si>
    <t>PeliLISS poten.reag. 10 ml</t>
  </si>
  <si>
    <t>DB537</t>
  </si>
  <si>
    <t>DIAGN.ANTI-LEA MON. 2ML</t>
  </si>
  <si>
    <t>DC226</t>
  </si>
  <si>
    <t>DIAGN.ANTI-LUA POL.</t>
  </si>
  <si>
    <t>DD068</t>
  </si>
  <si>
    <t>ID-Card anti-IgG1/anti-IgG3, 1x12</t>
  </si>
  <si>
    <t>DC002</t>
  </si>
  <si>
    <t>OLEUM CEDRI 100 ml</t>
  </si>
  <si>
    <t>DG817</t>
  </si>
  <si>
    <t>ID-Diluent 1 (2x100 ml)</t>
  </si>
  <si>
    <t>DG818</t>
  </si>
  <si>
    <t>ID-Diluent 2 (2x100 ml)</t>
  </si>
  <si>
    <t>DB547</t>
  </si>
  <si>
    <t>DIAGN.ANTI-e MON. 5ML</t>
  </si>
  <si>
    <t>DF648</t>
  </si>
  <si>
    <t>GD Bacillus subtilis</t>
  </si>
  <si>
    <t>DA650</t>
  </si>
  <si>
    <t>ANTI-s 1x12 (bez sera)</t>
  </si>
  <si>
    <t>DC905</t>
  </si>
  <si>
    <t>ANAEROTEST FUER DIE MIKRO</t>
  </si>
  <si>
    <t>DF650</t>
  </si>
  <si>
    <t>GD Clostridium sporogenes</t>
  </si>
  <si>
    <t>DF649</t>
  </si>
  <si>
    <t>GD Candida albicans</t>
  </si>
  <si>
    <t>DG851</t>
  </si>
  <si>
    <t>ARC ANTI HCV RGT 2000TEST</t>
  </si>
  <si>
    <t>DD217</t>
  </si>
  <si>
    <t>ARC SYPHILIS TP CTL</t>
  </si>
  <si>
    <t>DC804</t>
  </si>
  <si>
    <t>Diagn.anti-AB mon.10x10ml</t>
  </si>
  <si>
    <t>DB545</t>
  </si>
  <si>
    <t>DIAGN.ANTI-B MON. 10X10 ML</t>
  </si>
  <si>
    <t>DB538</t>
  </si>
  <si>
    <t>DIAGN.ANTI-A MON. 10X10ML</t>
  </si>
  <si>
    <t>DD216</t>
  </si>
  <si>
    <t>ARC SYPHILIS TP CAL</t>
  </si>
  <si>
    <t>DB546</t>
  </si>
  <si>
    <t>DIAGN.ANTI-D IGM+IGG 10MLx10</t>
  </si>
  <si>
    <t>DG248</t>
  </si>
  <si>
    <t>TURKUV ROZTOK</t>
  </si>
  <si>
    <t>DD495</t>
  </si>
  <si>
    <t>GAMMA EGA</t>
  </si>
  <si>
    <t>DF652</t>
  </si>
  <si>
    <t>GD Staphylococcus aureus</t>
  </si>
  <si>
    <t>DB823</t>
  </si>
  <si>
    <t>P1 BLOOD GROUP SUBSTANCE 2 ML</t>
  </si>
  <si>
    <t>DC227</t>
  </si>
  <si>
    <t>DIAGN.ANTI-LUB POL., 3 ml</t>
  </si>
  <si>
    <t>TO, laboratoř - SVLS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</si>
  <si>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</si>
  <si>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</si>
  <si>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</si>
  <si>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</si>
  <si>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</si>
  <si>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</si>
  <si>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50115067</t>
  </si>
  <si>
    <t>532 SZM Rukavice (112 02 108)</t>
  </si>
  <si>
    <t>50115020</t>
  </si>
  <si>
    <t>Diagnostika (112 04 004, 132 01 004)</t>
  </si>
  <si>
    <t>50115063</t>
  </si>
  <si>
    <t>528 SZM sety (112 02 105)</t>
  </si>
  <si>
    <t>50115065</t>
  </si>
  <si>
    <t>530 SZM jehly (112 02 107)</t>
  </si>
  <si>
    <t>TO, TO - krizová připravenost</t>
  </si>
  <si>
    <t>Spotřeba zdravotnického materiálu - orientační přehled</t>
  </si>
  <si>
    <t>ON Data</t>
  </si>
  <si>
    <t>202 - Pracoviště klinické hematologie</t>
  </si>
  <si>
    <t>222 - Pracoviště transfúzní služby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</si>
  <si>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</si>
  <si>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</si>
  <si>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</si>
  <si>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</si>
  <si>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beze jména</t>
  </si>
  <si>
    <t>Machová Renata</t>
  </si>
  <si>
    <t>Zemanová Markéta</t>
  </si>
  <si>
    <t>Zdravotní výkony vykázané na pracovišti v rámci ambulantní péče dle lékařů *</t>
  </si>
  <si>
    <t>202</t>
  </si>
  <si>
    <t>V</t>
  </si>
  <si>
    <t>09511</t>
  </si>
  <si>
    <t>MINIMÁLNÍ KONTAKT LÉKAŘE S PACIENTEM</t>
  </si>
  <si>
    <t>09543</t>
  </si>
  <si>
    <t>REGULAČNÍ POPLATEK ZA NÁVŠTĚVU -- POPLATEK UHRAZEN</t>
  </si>
  <si>
    <t>09119</t>
  </si>
  <si>
    <t xml:space="preserve">ODBĚR KRVE ZE ŽÍLY U DOSPĚLÉHO NEBO DÍTĚTE NAD 10 </t>
  </si>
  <si>
    <t>96165</t>
  </si>
  <si>
    <t>KREVNÍ OBRAZ S TŘÍPOPULAČNÍM DIFERENCIÁLNÍM POČTEM</t>
  </si>
  <si>
    <t>22361</t>
  </si>
  <si>
    <t>TERAPEUTICKÁ CYTAFERÉZA DEPLEČNÍ, VÝMĚNNÁ A CYTAFE</t>
  </si>
  <si>
    <t>22023</t>
  </si>
  <si>
    <t>KONTROLNÍ VYŠETŘENÍ HEMATOLOGEM</t>
  </si>
  <si>
    <t>222</t>
  </si>
  <si>
    <t>2</t>
  </si>
  <si>
    <t>0507951</t>
  </si>
  <si>
    <t>Erytrocyty pro autotransfuzi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</si>
  <si>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</si>
  <si>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</si>
  <si>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</si>
  <si>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</si>
  <si>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</si>
  <si>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</si>
  <si>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</si>
  <si>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</si>
  <si>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</si>
  <si>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</si>
  <si>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</si>
  <si>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</si>
  <si>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</si>
  <si>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</si>
  <si>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22339</t>
  </si>
  <si>
    <t>TITRACE ANTIERYTROCYTÁRNÍCH PROTILÁTEK</t>
  </si>
  <si>
    <t>22355</t>
  </si>
  <si>
    <t>KONZULTACE ODBORNÉHO TRANSFÚZIOLOGA - IMUNOHEMATOL</t>
  </si>
  <si>
    <t>82077</t>
  </si>
  <si>
    <t>STANOVENÍ PROTILÁTEK PROTI ANTIGENŮM VIRŮ HEPATITI</t>
  </si>
  <si>
    <t>97111</t>
  </si>
  <si>
    <t>SEPARACE SÉRA NEBO PLAZMY</t>
  </si>
  <si>
    <t>22225</t>
  </si>
  <si>
    <t>DOPLNĚNÍ SCREENINGU ANTIERYTROCYTÁRNÍCH PROTILÁTEK</t>
  </si>
  <si>
    <t>22111</t>
  </si>
  <si>
    <t>VYŠETŘENÍ KREVNÍ SKUPINY ABO RH (D) - STATIM</t>
  </si>
  <si>
    <t>22221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</si>
  <si>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</si>
  <si>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</si>
  <si>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</si>
  <si>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</si>
  <si>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</si>
  <si>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</si>
  <si>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</si>
  <si>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82119</t>
  </si>
  <si>
    <t>PRŮKAZY ANTIGENŮ VIRŮ HEPATITID (ELISA)</t>
  </si>
  <si>
    <t>22117</t>
  </si>
  <si>
    <t>82145</t>
  </si>
  <si>
    <t>RRR</t>
  </si>
  <si>
    <t>82075</t>
  </si>
  <si>
    <t>STANOVENÍ PROTILÁTEK IgG (NEBO CELKOVÝCH) PROTI AN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</si>
  <si>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</si>
  <si>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</si>
  <si>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</si>
  <si>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</si>
  <si>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</si>
  <si>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</si>
  <si>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99999</t>
  </si>
  <si>
    <t>Nespecifikovany vykon</t>
  </si>
  <si>
    <t>22357</t>
  </si>
  <si>
    <t>KONZULTACE DISKREPANTNÍHO A DIAGNOSTICKY OBTÍŽNÉHO</t>
  </si>
  <si>
    <t>09219</t>
  </si>
  <si>
    <t xml:space="preserve">INTRAVENÓZNÍ INJEKCE U DOSPĚLÉHO ČI DÍTĚTE NAD 10 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</si>
  <si>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</si>
  <si>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</si>
  <si>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</si>
  <si>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</si>
  <si>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</si>
  <si>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</si>
  <si>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22343</t>
  </si>
  <si>
    <t>HEMOLÝSA CHLADOVÁ (DONATH-LANDSTEINERŮV TEST, PROV</t>
  </si>
  <si>
    <t>22351</t>
  </si>
  <si>
    <t>OPIS KREVNÍ SKUPINY</t>
  </si>
  <si>
    <t>22337</t>
  </si>
  <si>
    <t>NEUTRALIZAČNÍ TEST ERYTROCYTÁRNÍCH ABO PROTILÁTEK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</si>
  <si>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</si>
  <si>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</si>
  <si>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</si>
  <si>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</si>
  <si>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</si>
  <si>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</si>
  <si>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</si>
  <si>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</si>
  <si>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</si>
  <si>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</si>
  <si>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</si>
  <si>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</si>
  <si>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</si>
  <si>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</si>
  <si>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</si>
  <si>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</si>
  <si>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</si>
  <si>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19 - Klinika pracovního lékařství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</si>
  <si>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</si>
  <si>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</si>
  <si>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</si>
  <si>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</si>
  <si>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</si>
  <si>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</si>
  <si>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</si>
  <si>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</si>
  <si>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</si>
  <si>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</si>
  <si>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</si>
  <si>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</si>
  <si>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</si>
  <si>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</si>
  <si>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</si>
  <si>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</si>
  <si>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</si>
  <si>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</si>
  <si>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</si>
  <si>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22319</t>
  </si>
  <si>
    <t>ELUCE ANTIERYTROCYTÁRNÍCH PROTILÁTEK METODOU MRAZO</t>
  </si>
  <si>
    <t>10</t>
  </si>
  <si>
    <t>11</t>
  </si>
  <si>
    <t>12</t>
  </si>
  <si>
    <t>13</t>
  </si>
  <si>
    <t>14</t>
  </si>
  <si>
    <t>16</t>
  </si>
  <si>
    <t>17</t>
  </si>
  <si>
    <t>19</t>
  </si>
  <si>
    <t>20</t>
  </si>
  <si>
    <t>21</t>
  </si>
  <si>
    <t>25</t>
  </si>
  <si>
    <t>26</t>
  </si>
  <si>
    <t>29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</si>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</sst>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14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2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2" fontId="29" fillId="3" borderId="27" xfId="81" applyNumberFormat="1" applyFont="1" applyFill="1" applyBorder="1"/>
    <xf numFmtId="172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1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5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170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5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6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1" xfId="0" applyNumberFormat="1" applyFont="1" applyFill="1" applyBorder="1"/>
    <xf numFmtId="0" fontId="50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0" fontId="46" fillId="2" borderId="34" xfId="1" applyFont="1" applyFill="1" applyBorder="1" applyAlignment="1">
      <alignment horizontal="left" indent="4"/>
    </xf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0" fillId="4" borderId="58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2" fontId="41" fillId="0" borderId="0" xfId="0" applyNumberFormat="1" applyFont="1" applyFill="1"/>
    <xf numFmtId="173" fontId="41" fillId="0" borderId="0" xfId="0" applyNumberFormat="1" applyFont="1" applyFill="1"/>
    <xf numFmtId="3" fontId="41" fillId="0" borderId="0" xfId="0" applyNumberFormat="1" applyFont="1" applyFill="1"/>
    <xf numFmtId="0" fontId="8" fillId="0" borderId="0" xfId="81" applyFont="1" applyFill="1"/>
    <xf numFmtId="0" fontId="51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5" fontId="33" fillId="0" borderId="0" xfId="0" applyNumberFormat="1" applyFont="1" applyFill="1"/>
    <xf numFmtId="9" fontId="33" fillId="0" borderId="0" xfId="0" applyNumberFormat="1" applyFont="1" applyFill="1"/>
    <xf numFmtId="165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5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6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70" fontId="40" fillId="0" borderId="19" xfId="0" applyNumberFormat="1" applyFont="1" applyFill="1" applyBorder="1" applyAlignment="1"/>
    <xf numFmtId="170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70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70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0" fillId="0" borderId="0" xfId="0" applyNumberFormat="1"/>
    <xf numFmtId="3" fontId="0" fillId="7" borderId="74" xfId="0" applyNumberFormat="1" applyFont="1" applyFill="1" applyBorder="1"/>
    <xf numFmtId="3" fontId="53" fillId="8" borderId="75" xfId="0" applyNumberFormat="1" applyFont="1" applyFill="1" applyBorder="1"/>
    <xf numFmtId="3" fontId="53" fillId="8" borderId="74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40" fillId="2" borderId="78" xfId="0" applyNumberFormat="1" applyFont="1" applyFill="1" applyBorder="1" applyAlignment="1">
      <alignment horizontal="center" vertical="center"/>
    </xf>
    <xf numFmtId="0" fontId="40" fillId="2" borderId="79" xfId="0" applyFont="1" applyFill="1" applyBorder="1" applyAlignment="1">
      <alignment horizontal="center" vertical="center"/>
    </xf>
    <xf numFmtId="3" fontId="55" fillId="2" borderId="81" xfId="0" applyNumberFormat="1" applyFont="1" applyFill="1" applyBorder="1" applyAlignment="1">
      <alignment horizontal="center" vertical="center" wrapText="1"/>
    </xf>
    <xf numFmtId="0" fontId="55" fillId="2" borderId="82" xfId="0" applyFont="1" applyFill="1" applyBorder="1" applyAlignment="1">
      <alignment horizontal="center" vertical="center" wrapText="1"/>
    </xf>
    <xf numFmtId="0" fontId="40" fillId="2" borderId="84" xfId="0" applyFont="1" applyFill="1" applyBorder="1" applyAlignment="1"/>
    <xf numFmtId="0" fontId="40" fillId="2" borderId="86" xfId="0" applyFont="1" applyFill="1" applyBorder="1" applyAlignment="1">
      <alignment horizontal="left" indent="1"/>
    </xf>
    <xf numFmtId="0" fontId="40" fillId="2" borderId="92" xfId="0" applyFont="1" applyFill="1" applyBorder="1" applyAlignment="1">
      <alignment horizontal="left" indent="1"/>
    </xf>
    <xf numFmtId="0" fontId="40" fillId="4" borderId="84" xfId="0" applyFont="1" applyFill="1" applyBorder="1" applyAlignment="1"/>
    <xf numFmtId="0" fontId="40" fillId="4" borderId="86" xfId="0" applyFont="1" applyFill="1" applyBorder="1" applyAlignment="1">
      <alignment horizontal="left" indent="1"/>
    </xf>
    <xf numFmtId="0" fontId="40" fillId="4" borderId="97" xfId="0" applyFont="1" applyFill="1" applyBorder="1" applyAlignment="1">
      <alignment horizontal="left" indent="1"/>
    </xf>
    <xf numFmtId="0" fontId="33" fillId="2" borderId="86" xfId="0" quotePrefix="1" applyFont="1" applyFill="1" applyBorder="1" applyAlignment="1">
      <alignment horizontal="left" indent="2"/>
    </xf>
    <xf numFmtId="0" fontId="33" fillId="2" borderId="92" xfId="0" quotePrefix="1" applyFont="1" applyFill="1" applyBorder="1" applyAlignment="1">
      <alignment horizontal="left" indent="2"/>
    </xf>
    <xf numFmtId="0" fontId="40" fillId="2" borderId="84" xfId="0" applyFont="1" applyFill="1" applyBorder="1" applyAlignment="1">
      <alignment horizontal="left" indent="1"/>
    </xf>
    <xf numFmtId="0" fontId="40" fillId="2" borderId="97" xfId="0" applyFont="1" applyFill="1" applyBorder="1" applyAlignment="1">
      <alignment horizontal="left" indent="1"/>
    </xf>
    <xf numFmtId="0" fontId="40" fillId="4" borderId="92" xfId="0" applyFont="1" applyFill="1" applyBorder="1" applyAlignment="1">
      <alignment horizontal="left" indent="1"/>
    </xf>
    <xf numFmtId="0" fontId="33" fillId="0" borderId="102" xfId="0" applyFont="1" applyBorder="1"/>
    <xf numFmtId="3" fontId="33" fillId="0" borderId="102" xfId="0" applyNumberFormat="1" applyFont="1" applyBorder="1"/>
    <xf numFmtId="0" fontId="40" fillId="4" borderId="76" xfId="0" applyFont="1" applyFill="1" applyBorder="1" applyAlignment="1">
      <alignment horizontal="center" vertical="center"/>
    </xf>
    <xf numFmtId="0" fontId="40" fillId="4" borderId="62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1" xfId="0" applyNumberFormat="1" applyFont="1" applyFill="1" applyBorder="1" applyAlignment="1">
      <alignment horizontal="center" vertical="center"/>
    </xf>
    <xf numFmtId="3" fontId="55" fillId="2" borderId="99" xfId="0" applyNumberFormat="1" applyFont="1" applyFill="1" applyBorder="1" applyAlignment="1">
      <alignment horizontal="center" vertical="center" wrapText="1"/>
    </xf>
    <xf numFmtId="174" fontId="40" fillId="4" borderId="85" xfId="0" applyNumberFormat="1" applyFont="1" applyFill="1" applyBorder="1" applyAlignment="1"/>
    <xf numFmtId="174" fontId="40" fillId="4" borderId="78" xfId="0" applyNumberFormat="1" applyFont="1" applyFill="1" applyBorder="1" applyAlignment="1"/>
    <xf numFmtId="174" fontId="40" fillId="4" borderId="79" xfId="0" applyNumberFormat="1" applyFont="1" applyFill="1" applyBorder="1" applyAlignment="1"/>
    <xf numFmtId="174" fontId="40" fillId="0" borderId="87" xfId="0" applyNumberFormat="1" applyFont="1" applyBorder="1"/>
    <xf numFmtId="174" fontId="33" fillId="0" borderId="91" xfId="0" applyNumberFormat="1" applyFont="1" applyBorder="1"/>
    <xf numFmtId="174" fontId="33" fillId="0" borderId="89" xfId="0" applyNumberFormat="1" applyFont="1" applyBorder="1"/>
    <xf numFmtId="174" fontId="40" fillId="0" borderId="98" xfId="0" applyNumberFormat="1" applyFont="1" applyBorder="1"/>
    <xf numFmtId="174" fontId="33" fillId="0" borderId="99" xfId="0" applyNumberFormat="1" applyFont="1" applyBorder="1"/>
    <xf numFmtId="174" fontId="33" fillId="0" borderId="82" xfId="0" applyNumberFormat="1" applyFont="1" applyBorder="1"/>
    <xf numFmtId="174" fontId="40" fillId="2" borderId="100" xfId="0" applyNumberFormat="1" applyFont="1" applyFill="1" applyBorder="1" applyAlignment="1"/>
    <xf numFmtId="174" fontId="40" fillId="2" borderId="78" xfId="0" applyNumberFormat="1" applyFont="1" applyFill="1" applyBorder="1" applyAlignment="1"/>
    <xf numFmtId="174" fontId="40" fillId="2" borderId="79" xfId="0" applyNumberFormat="1" applyFont="1" applyFill="1" applyBorder="1" applyAlignment="1"/>
    <xf numFmtId="174" fontId="40" fillId="0" borderId="93" xfId="0" applyNumberFormat="1" applyFont="1" applyBorder="1"/>
    <xf numFmtId="174" fontId="33" fillId="0" borderId="94" xfId="0" applyNumberFormat="1" applyFont="1" applyBorder="1"/>
    <xf numFmtId="174" fontId="33" fillId="0" borderId="95" xfId="0" applyNumberFormat="1" applyFont="1" applyBorder="1"/>
    <xf numFmtId="174" fontId="40" fillId="0" borderId="85" xfId="0" applyNumberFormat="1" applyFont="1" applyBorder="1"/>
    <xf numFmtId="174" fontId="33" fillId="0" borderId="101" xfId="0" applyNumberFormat="1" applyFont="1" applyBorder="1"/>
    <xf numFmtId="174" fontId="33" fillId="0" borderId="79" xfId="0" applyNumberFormat="1" applyFont="1" applyBorder="1"/>
    <xf numFmtId="175" fontId="40" fillId="2" borderId="85" xfId="0" applyNumberFormat="1" applyFont="1" applyFill="1" applyBorder="1" applyAlignment="1"/>
    <xf numFmtId="175" fontId="33" fillId="2" borderId="78" xfId="0" applyNumberFormat="1" applyFont="1" applyFill="1" applyBorder="1" applyAlignment="1"/>
    <xf numFmtId="175" fontId="33" fillId="2" borderId="79" xfId="0" applyNumberFormat="1" applyFont="1" applyFill="1" applyBorder="1" applyAlignment="1"/>
    <xf numFmtId="175" fontId="40" fillId="0" borderId="87" xfId="0" applyNumberFormat="1" applyFont="1" applyBorder="1"/>
    <xf numFmtId="175" fontId="33" fillId="0" borderId="88" xfId="0" applyNumberFormat="1" applyFont="1" applyBorder="1"/>
    <xf numFmtId="175" fontId="33" fillId="0" borderId="89" xfId="0" applyNumberFormat="1" applyFont="1" applyBorder="1"/>
    <xf numFmtId="175" fontId="33" fillId="0" borderId="91" xfId="0" applyNumberFormat="1" applyFont="1" applyBorder="1"/>
    <xf numFmtId="175" fontId="40" fillId="0" borderId="93" xfId="0" applyNumberFormat="1" applyFont="1" applyBorder="1"/>
    <xf numFmtId="175" fontId="33" fillId="0" borderId="94" xfId="0" applyNumberFormat="1" applyFont="1" applyBorder="1"/>
    <xf numFmtId="175" fontId="33" fillId="0" borderId="95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4" fontId="40" fillId="4" borderId="85" xfId="0" applyNumberFormat="1" applyFont="1" applyFill="1" applyBorder="1" applyAlignment="1">
      <alignment horizontal="center"/>
    </xf>
    <xf numFmtId="176" fontId="40" fillId="0" borderId="93" xfId="0" applyNumberFormat="1" applyFont="1" applyBorder="1"/>
    <xf numFmtId="0" fontId="32" fillId="2" borderId="10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0" xfId="0" applyFont="1" applyFill="1" applyBorder="1"/>
    <xf numFmtId="0" fontId="33" fillId="0" borderId="91" xfId="0" applyFont="1" applyBorder="1" applyAlignment="1"/>
    <xf numFmtId="9" fontId="33" fillId="0" borderId="89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2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70" fontId="40" fillId="0" borderId="20" xfId="0" applyNumberFormat="1" applyFont="1" applyFill="1" applyBorder="1" applyAlignment="1"/>
    <xf numFmtId="9" fontId="40" fillId="0" borderId="87" xfId="0" applyNumberFormat="1" applyFont="1" applyBorder="1"/>
    <xf numFmtId="9" fontId="33" fillId="0" borderId="91" xfId="0" applyNumberFormat="1" applyFont="1" applyBorder="1"/>
    <xf numFmtId="9" fontId="33" fillId="0" borderId="89" xfId="0" applyNumberFormat="1" applyFont="1" applyBorder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9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2" fillId="2" borderId="108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5" fontId="32" fillId="0" borderId="0" xfId="53" applyNumberFormat="1" applyFont="1" applyFill="1" applyBorder="1" applyAlignment="1">
      <alignment horizontal="center"/>
    </xf>
    <xf numFmtId="165" fontId="30" fillId="0" borderId="0" xfId="79" applyNumberFormat="1" applyFont="1" applyFill="1" applyBorder="1" applyAlignment="1">
      <alignment horizontal="center"/>
    </xf>
    <xf numFmtId="165" fontId="32" fillId="2" borderId="24" xfId="53" applyNumberFormat="1" applyFont="1" applyFill="1" applyBorder="1" applyAlignment="1">
      <alignment horizontal="right"/>
    </xf>
    <xf numFmtId="165" fontId="30" fillId="2" borderId="29" xfId="79" applyNumberFormat="1" applyFont="1" applyFill="1" applyBorder="1" applyAlignment="1">
      <alignment horizontal="right"/>
    </xf>
    <xf numFmtId="165" fontId="43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2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1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0" fontId="2" fillId="0" borderId="1" xfId="26" applyFont="1" applyFill="1" applyBorder="1" applyAlignment="1"/>
    <xf numFmtId="167" fontId="40" fillId="2" borderId="77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10" xfId="26" applyNumberFormat="1" applyFont="1" applyFill="1" applyBorder="1" applyAlignment="1">
      <alignment horizontal="center"/>
    </xf>
    <xf numFmtId="3" fontId="32" fillId="2" borderId="102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4" fillId="2" borderId="50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4" fillId="2" borderId="50" xfId="0" applyNumberFormat="1" applyFont="1" applyFill="1" applyBorder="1" applyAlignment="1">
      <alignment horizontal="center" vertical="top"/>
    </xf>
    <xf numFmtId="3" fontId="34" fillId="9" borderId="114" xfId="0" applyNumberFormat="1" applyFont="1" applyFill="1" applyBorder="1" applyAlignment="1">
      <alignment horizontal="right" vertical="top"/>
    </xf>
    <xf numFmtId="3" fontId="34" fillId="9" borderId="115" xfId="0" applyNumberFormat="1" applyFont="1" applyFill="1" applyBorder="1" applyAlignment="1">
      <alignment horizontal="right" vertical="top"/>
    </xf>
    <xf numFmtId="177" fontId="34" fillId="9" borderId="116" xfId="0" applyNumberFormat="1" applyFont="1" applyFill="1" applyBorder="1" applyAlignment="1">
      <alignment horizontal="right" vertical="top"/>
    </xf>
    <xf numFmtId="3" fontId="34" fillId="0" borderId="114" xfId="0" applyNumberFormat="1" applyFont="1" applyBorder="1" applyAlignment="1">
      <alignment horizontal="right" vertical="top"/>
    </xf>
    <xf numFmtId="177" fontId="34" fillId="9" borderId="117" xfId="0" applyNumberFormat="1" applyFont="1" applyFill="1" applyBorder="1" applyAlignment="1">
      <alignment horizontal="right" vertical="top"/>
    </xf>
    <xf numFmtId="3" fontId="36" fillId="9" borderId="119" xfId="0" applyNumberFormat="1" applyFont="1" applyFill="1" applyBorder="1" applyAlignment="1">
      <alignment horizontal="right" vertical="top"/>
    </xf>
    <xf numFmtId="3" fontId="36" fillId="9" borderId="120" xfId="0" applyNumberFormat="1" applyFont="1" applyFill="1" applyBorder="1" applyAlignment="1">
      <alignment horizontal="right" vertical="top"/>
    </xf>
    <xf numFmtId="0" fontId="36" fillId="9" borderId="121" xfId="0" applyFont="1" applyFill="1" applyBorder="1" applyAlignment="1">
      <alignment horizontal="right" vertical="top"/>
    </xf>
    <xf numFmtId="3" fontId="36" fillId="0" borderId="119" xfId="0" applyNumberFormat="1" applyFont="1" applyBorder="1" applyAlignment="1">
      <alignment horizontal="right" vertical="top"/>
    </xf>
    <xf numFmtId="0" fontId="36" fillId="9" borderId="122" xfId="0" applyFont="1" applyFill="1" applyBorder="1" applyAlignment="1">
      <alignment horizontal="right" vertical="top"/>
    </xf>
    <xf numFmtId="0" fontId="34" fillId="9" borderId="116" xfId="0" applyFont="1" applyFill="1" applyBorder="1" applyAlignment="1">
      <alignment horizontal="right" vertical="top"/>
    </xf>
    <xf numFmtId="0" fontId="34" fillId="9" borderId="117" xfId="0" applyFont="1" applyFill="1" applyBorder="1" applyAlignment="1">
      <alignment horizontal="right" vertical="top"/>
    </xf>
    <xf numFmtId="177" fontId="36" fillId="9" borderId="121" xfId="0" applyNumberFormat="1" applyFont="1" applyFill="1" applyBorder="1" applyAlignment="1">
      <alignment horizontal="right" vertical="top"/>
    </xf>
    <xf numFmtId="177" fontId="36" fillId="9" borderId="122" xfId="0" applyNumberFormat="1" applyFont="1" applyFill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0" borderId="125" xfId="0" applyFont="1" applyBorder="1" applyAlignment="1">
      <alignment horizontal="right" vertical="top"/>
    </xf>
    <xf numFmtId="177" fontId="36" fillId="9" borderId="126" xfId="0" applyNumberFormat="1" applyFont="1" applyFill="1" applyBorder="1" applyAlignment="1">
      <alignment horizontal="right" vertical="top"/>
    </xf>
    <xf numFmtId="0" fontId="38" fillId="10" borderId="113" xfId="0" applyFont="1" applyFill="1" applyBorder="1" applyAlignment="1">
      <alignment vertical="top"/>
    </xf>
    <xf numFmtId="0" fontId="38" fillId="10" borderId="113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 indent="6"/>
    </xf>
    <xf numFmtId="0" fontId="38" fillId="10" borderId="113" xfId="0" applyFont="1" applyFill="1" applyBorder="1" applyAlignment="1">
      <alignment vertical="top" indent="8"/>
    </xf>
    <xf numFmtId="0" fontId="39" fillId="10" borderId="118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6"/>
    </xf>
    <xf numFmtId="0" fontId="39" fillId="10" borderId="118" xfId="0" applyFont="1" applyFill="1" applyBorder="1" applyAlignment="1">
      <alignment vertical="top"/>
    </xf>
    <xf numFmtId="0" fontId="33" fillId="10" borderId="113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5" fontId="32" fillId="2" borderId="127" xfId="53" applyNumberFormat="1" applyFont="1" applyFill="1" applyBorder="1" applyAlignment="1">
      <alignment horizontal="left"/>
    </xf>
    <xf numFmtId="165" fontId="32" fillId="2" borderId="128" xfId="53" applyNumberFormat="1" applyFont="1" applyFill="1" applyBorder="1" applyAlignment="1">
      <alignment horizontal="left"/>
    </xf>
    <xf numFmtId="165" fontId="32" fillId="2" borderId="59" xfId="53" applyNumberFormat="1" applyFont="1" applyFill="1" applyBorder="1" applyAlignment="1">
      <alignment horizontal="left"/>
    </xf>
    <xf numFmtId="3" fontId="32" fillId="2" borderId="59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3" fontId="33" fillId="0" borderId="128" xfId="0" applyNumberFormat="1" applyFont="1" applyFill="1" applyBorder="1"/>
    <xf numFmtId="3" fontId="33" fillId="0" borderId="130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5" fontId="33" fillId="0" borderId="79" xfId="0" applyNumberFormat="1" applyFont="1" applyFill="1" applyBorder="1"/>
    <xf numFmtId="165" fontId="33" fillId="0" borderId="79" xfId="0" applyNumberFormat="1" applyFont="1" applyFill="1" applyBorder="1" applyAlignment="1">
      <alignment horizontal="right"/>
    </xf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8" xfId="0" applyFont="1" applyFill="1" applyBorder="1"/>
    <xf numFmtId="0" fontId="33" fillId="0" borderId="89" xfId="0" applyFont="1" applyFill="1" applyBorder="1"/>
    <xf numFmtId="165" fontId="33" fillId="0" borderId="89" xfId="0" applyNumberFormat="1" applyFont="1" applyFill="1" applyBorder="1"/>
    <xf numFmtId="165" fontId="33" fillId="0" borderId="89" xfId="0" applyNumberFormat="1" applyFont="1" applyFill="1" applyBorder="1" applyAlignment="1">
      <alignment horizontal="right"/>
    </xf>
    <xf numFmtId="3" fontId="33" fillId="0" borderId="89" xfId="0" applyNumberFormat="1" applyFont="1" applyFill="1" applyBorder="1"/>
    <xf numFmtId="3" fontId="33" fillId="0" borderId="90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5" fontId="33" fillId="0" borderId="82" xfId="0" applyNumberFormat="1" applyFont="1" applyFill="1" applyBorder="1"/>
    <xf numFmtId="165" fontId="33" fillId="0" borderId="82" xfId="0" applyNumberFormat="1" applyFont="1" applyFill="1" applyBorder="1" applyAlignment="1">
      <alignment horizontal="right"/>
    </xf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27" xfId="0" applyFont="1" applyFill="1" applyBorder="1"/>
    <xf numFmtId="3" fontId="40" fillId="2" borderId="129" xfId="0" applyNumberFormat="1" applyFont="1" applyFill="1" applyBorder="1"/>
    <xf numFmtId="9" fontId="40" fillId="2" borderId="73" xfId="0" applyNumberFormat="1" applyFont="1" applyFill="1" applyBorder="1"/>
    <xf numFmtId="3" fontId="40" fillId="2" borderId="67" xfId="0" applyNumberFormat="1" applyFont="1" applyFill="1" applyBorder="1"/>
    <xf numFmtId="9" fontId="33" fillId="0" borderId="128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127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28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0" fontId="3" fillId="2" borderId="127" xfId="79" applyFont="1" applyFill="1" applyBorder="1" applyAlignment="1">
      <alignment horizontal="left"/>
    </xf>
    <xf numFmtId="3" fontId="3" fillId="2" borderId="95" xfId="80" applyNumberFormat="1" applyFont="1" applyFill="1" applyBorder="1"/>
    <xf numFmtId="3" fontId="3" fillId="2" borderId="96" xfId="80" applyNumberFormat="1" applyFont="1" applyFill="1" applyBorder="1"/>
    <xf numFmtId="9" fontId="3" fillId="2" borderId="94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3" fillId="0" borderId="80" xfId="0" applyNumberFormat="1" applyFont="1" applyFill="1" applyBorder="1"/>
    <xf numFmtId="9" fontId="33" fillId="0" borderId="83" xfId="0" applyNumberFormat="1" applyFont="1" applyFill="1" applyBorder="1"/>
    <xf numFmtId="0" fontId="40" fillId="0" borderId="109" xfId="0" applyFont="1" applyFill="1" applyBorder="1"/>
    <xf numFmtId="0" fontId="40" fillId="0" borderId="108" xfId="0" applyFont="1" applyFill="1" applyBorder="1" applyAlignment="1">
      <alignment horizontal="left" indent="1"/>
    </xf>
    <xf numFmtId="9" fontId="33" fillId="0" borderId="101" xfId="0" applyNumberFormat="1" applyFont="1" applyFill="1" applyBorder="1"/>
    <xf numFmtId="9" fontId="33" fillId="0" borderId="99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05" xfId="0" applyNumberFormat="1" applyFont="1" applyFill="1" applyBorder="1"/>
    <xf numFmtId="9" fontId="33" fillId="0" borderId="104" xfId="0" applyNumberFormat="1" applyFont="1" applyFill="1" applyBorder="1"/>
    <xf numFmtId="9" fontId="30" fillId="0" borderId="0" xfId="0" applyNumberFormat="1" applyFont="1" applyFill="1" applyBorder="1"/>
    <xf numFmtId="0" fontId="40" fillId="10" borderId="109" xfId="0" applyFont="1" applyFill="1" applyBorder="1"/>
    <xf numFmtId="0" fontId="40" fillId="10" borderId="107" xfId="0" applyFont="1" applyFill="1" applyBorder="1"/>
    <xf numFmtId="0" fontId="40" fillId="10" borderId="108" xfId="0" applyFont="1" applyFill="1" applyBorder="1"/>
    <xf numFmtId="0" fontId="3" fillId="2" borderId="95" xfId="80" applyFont="1" applyFill="1" applyBorder="1"/>
    <xf numFmtId="3" fontId="33" fillId="0" borderId="88" xfId="0" applyNumberFormat="1" applyFont="1" applyFill="1" applyBorder="1"/>
    <xf numFmtId="3" fontId="33" fillId="0" borderId="105" xfId="0" applyNumberFormat="1" applyFont="1" applyFill="1" applyBorder="1"/>
    <xf numFmtId="3" fontId="33" fillId="0" borderId="103" xfId="0" applyNumberFormat="1" applyFont="1" applyFill="1" applyBorder="1"/>
    <xf numFmtId="3" fontId="33" fillId="0" borderId="104" xfId="0" applyNumberFormat="1" applyFont="1" applyFill="1" applyBorder="1"/>
    <xf numFmtId="9" fontId="33" fillId="0" borderId="89" xfId="0" applyNumberFormat="1" applyFont="1" applyFill="1" applyBorder="1"/>
    <xf numFmtId="9" fontId="33" fillId="0" borderId="90" xfId="0" applyNumberFormat="1" applyFont="1" applyFill="1" applyBorder="1"/>
    <xf numFmtId="0" fontId="33" fillId="0" borderId="109" xfId="0" applyFont="1" applyFill="1" applyBorder="1"/>
    <xf numFmtId="0" fontId="33" fillId="0" borderId="107" xfId="0" applyFont="1" applyFill="1" applyBorder="1"/>
    <xf numFmtId="0" fontId="33" fillId="0" borderId="108" xfId="0" applyFont="1" applyFill="1" applyBorder="1"/>
    <xf numFmtId="3" fontId="33" fillId="0" borderId="101" xfId="0" applyNumberFormat="1" applyFont="1" applyFill="1" applyBorder="1"/>
    <xf numFmtId="3" fontId="33" fillId="0" borderId="91" xfId="0" applyNumberFormat="1" applyFont="1" applyFill="1" applyBorder="1"/>
    <xf numFmtId="3" fontId="33" fillId="0" borderId="99" xfId="0" applyNumberFormat="1" applyFont="1" applyFill="1" applyBorder="1"/>
    <xf numFmtId="0" fontId="3" fillId="2" borderId="131" xfId="79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0" fontId="3" fillId="2" borderId="133" xfId="80" applyFont="1" applyFill="1" applyBorder="1" applyAlignment="1">
      <alignment horizontal="left"/>
    </xf>
    <xf numFmtId="0" fontId="3" fillId="2" borderId="133" xfId="79" applyFont="1" applyFill="1" applyBorder="1" applyAlignment="1">
      <alignment horizontal="left"/>
    </xf>
    <xf numFmtId="0" fontId="3" fillId="2" borderId="134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5" fontId="33" fillId="0" borderId="29" xfId="0" applyNumberFormat="1" applyFont="1" applyFill="1" applyBorder="1"/>
    <xf numFmtId="166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89" xfId="0" applyFont="1" applyFill="1" applyBorder="1" applyAlignment="1">
      <alignment horizontal="right"/>
    </xf>
    <xf numFmtId="0" fontId="33" fillId="0" borderId="89" xfId="0" applyFont="1" applyFill="1" applyBorder="1" applyAlignment="1">
      <alignment horizontal="left"/>
    </xf>
    <xf numFmtId="166" fontId="33" fillId="0" borderId="89" xfId="0" applyNumberFormat="1" applyFont="1" applyFill="1" applyBorder="1"/>
    <xf numFmtId="0" fontId="33" fillId="0" borderId="82" xfId="0" applyFont="1" applyFill="1" applyBorder="1" applyAlignment="1">
      <alignment horizontal="right"/>
    </xf>
    <xf numFmtId="0" fontId="33" fillId="0" borderId="82" xfId="0" applyFont="1" applyFill="1" applyBorder="1" applyAlignment="1">
      <alignment horizontal="left"/>
    </xf>
    <xf numFmtId="166" fontId="33" fillId="0" borderId="82" xfId="0" applyNumberFormat="1" applyFont="1" applyFill="1" applyBorder="1"/>
    <xf numFmtId="0" fontId="40" fillId="2" borderId="52" xfId="0" applyFont="1" applyFill="1" applyBorder="1"/>
    <xf numFmtId="3" fontId="33" fillId="0" borderId="25" xfId="0" applyNumberFormat="1" applyFont="1" applyFill="1" applyBorder="1"/>
    <xf numFmtId="3" fontId="33" fillId="0" borderId="95" xfId="0" applyNumberFormat="1" applyFont="1" applyFill="1" applyBorder="1"/>
    <xf numFmtId="9" fontId="33" fillId="0" borderId="95" xfId="0" applyNumberFormat="1" applyFont="1" applyFill="1" applyBorder="1"/>
    <xf numFmtId="3" fontId="33" fillId="0" borderId="96" xfId="0" applyNumberFormat="1" applyFont="1" applyFill="1" applyBorder="1"/>
    <xf numFmtId="0" fontId="40" fillId="0" borderId="24" xfId="0" applyFont="1" applyFill="1" applyBorder="1"/>
    <xf numFmtId="0" fontId="40" fillId="0" borderId="88" xfId="0" applyFont="1" applyFill="1" applyBorder="1"/>
    <xf numFmtId="0" fontId="40" fillId="0" borderId="135" xfId="0" applyFont="1" applyFill="1" applyBorder="1"/>
    <xf numFmtId="0" fontId="40" fillId="2" borderId="54" xfId="0" applyFont="1" applyFill="1" applyBorder="1"/>
    <xf numFmtId="165" fontId="32" fillId="2" borderId="52" xfId="53" applyNumberFormat="1" applyFont="1" applyFill="1" applyBorder="1" applyAlignment="1">
      <alignment horizontal="left"/>
    </xf>
    <xf numFmtId="165" fontId="32" fillId="2" borderId="54" xfId="53" applyNumberFormat="1" applyFont="1" applyFill="1" applyBorder="1" applyAlignment="1">
      <alignment horizontal="left"/>
    </xf>
    <xf numFmtId="165" fontId="33" fillId="0" borderId="29" xfId="0" applyNumberFormat="1" applyFont="1" applyFill="1" applyBorder="1" applyAlignment="1">
      <alignment horizontal="right"/>
    </xf>
    <xf numFmtId="174" fontId="40" fillId="4" borderId="136" xfId="0" applyNumberFormat="1" applyFont="1" applyFill="1" applyBorder="1" applyAlignment="1">
      <alignment horizontal="center"/>
    </xf>
    <xf numFmtId="174" fontId="40" fillId="4" borderId="137" xfId="0" applyNumberFormat="1" applyFont="1" applyFill="1" applyBorder="1" applyAlignment="1">
      <alignment horizontal="center"/>
    </xf>
    <xf numFmtId="174" fontId="33" fillId="0" borderId="138" xfId="0" applyNumberFormat="1" applyFont="1" applyBorder="1" applyAlignment="1">
      <alignment horizontal="right"/>
    </xf>
    <xf numFmtId="174" fontId="33" fillId="0" borderId="139" xfId="0" applyNumberFormat="1" applyFont="1" applyBorder="1" applyAlignment="1">
      <alignment horizontal="right"/>
    </xf>
    <xf numFmtId="174" fontId="33" fillId="0" borderId="139" xfId="0" applyNumberFormat="1" applyFont="1" applyBorder="1" applyAlignment="1">
      <alignment horizontal="right" wrapText="1"/>
    </xf>
    <xf numFmtId="176" fontId="33" fillId="0" borderId="138" xfId="0" applyNumberFormat="1" applyFont="1" applyBorder="1" applyAlignment="1">
      <alignment horizontal="right"/>
    </xf>
    <xf numFmtId="176" fontId="33" fillId="0" borderId="139" xfId="0" applyNumberFormat="1" applyFont="1" applyBorder="1" applyAlignment="1">
      <alignment horizontal="right"/>
    </xf>
    <xf numFmtId="174" fontId="33" fillId="0" borderId="140" xfId="0" applyNumberFormat="1" applyFont="1" applyBorder="1" applyAlignment="1">
      <alignment horizontal="right"/>
    </xf>
    <xf numFmtId="174" fontId="33" fillId="0" borderId="141" xfId="0" applyNumberFormat="1" applyFont="1" applyBorder="1" applyAlignment="1">
      <alignment horizontal="right"/>
    </xf>
    <xf numFmtId="0" fontId="40" fillId="2" borderId="57" xfId="0" applyFont="1" applyFill="1" applyBorder="1" applyAlignment="1">
      <alignment horizontal="center" vertical="center"/>
    </xf>
    <xf numFmtId="0" fontId="55" fillId="2" borderId="104" xfId="0" applyFont="1" applyFill="1" applyBorder="1" applyAlignment="1">
      <alignment horizontal="center" vertical="center" wrapText="1"/>
    </xf>
    <xf numFmtId="175" fontId="33" fillId="2" borderId="57" xfId="0" applyNumberFormat="1" applyFont="1" applyFill="1" applyBorder="1" applyAlignment="1"/>
    <xf numFmtId="175" fontId="33" fillId="0" borderId="103" xfId="0" applyNumberFormat="1" applyFont="1" applyBorder="1"/>
    <xf numFmtId="175" fontId="33" fillId="0" borderId="143" xfId="0" applyNumberFormat="1" applyFont="1" applyBorder="1"/>
    <xf numFmtId="174" fontId="40" fillId="4" borderId="57" xfId="0" applyNumberFormat="1" applyFont="1" applyFill="1" applyBorder="1" applyAlignment="1"/>
    <xf numFmtId="174" fontId="33" fillId="0" borderId="103" xfId="0" applyNumberFormat="1" applyFont="1" applyBorder="1"/>
    <xf numFmtId="174" fontId="33" fillId="0" borderId="104" xfId="0" applyNumberFormat="1" applyFont="1" applyBorder="1"/>
    <xf numFmtId="174" fontId="40" fillId="2" borderId="57" xfId="0" applyNumberFormat="1" applyFont="1" applyFill="1" applyBorder="1" applyAlignment="1"/>
    <xf numFmtId="174" fontId="33" fillId="0" borderId="143" xfId="0" applyNumberFormat="1" applyFont="1" applyBorder="1"/>
    <xf numFmtId="174" fontId="33" fillId="0" borderId="57" xfId="0" applyNumberFormat="1" applyFont="1" applyBorder="1"/>
    <xf numFmtId="9" fontId="33" fillId="0" borderId="103" xfId="0" applyNumberFormat="1" applyFont="1" applyBorder="1"/>
    <xf numFmtId="174" fontId="40" fillId="4" borderId="144" xfId="0" applyNumberFormat="1" applyFont="1" applyFill="1" applyBorder="1" applyAlignment="1">
      <alignment horizontal="center"/>
    </xf>
    <xf numFmtId="0" fontId="0" fillId="0" borderId="145" xfId="0" applyBorder="1" applyAlignment="1">
      <alignment horizontal="right"/>
    </xf>
    <xf numFmtId="174" fontId="33" fillId="0" borderId="145" xfId="0" applyNumberFormat="1" applyFont="1" applyBorder="1" applyAlignment="1">
      <alignment horizontal="right"/>
    </xf>
    <xf numFmtId="176" fontId="33" fillId="0" borderId="145" xfId="0" applyNumberFormat="1" applyFont="1" applyBorder="1" applyAlignment="1">
      <alignment horizontal="right"/>
    </xf>
    <xf numFmtId="174" fontId="33" fillId="0" borderId="146" xfId="0" applyNumberFormat="1" applyFont="1" applyBorder="1" applyAlignment="1">
      <alignment horizontal="right"/>
    </xf>
    <xf numFmtId="0" fontId="0" fillId="0" borderId="142" xfId="0" applyBorder="1"/>
    <xf numFmtId="174" fontId="40" fillId="4" borderId="33" xfId="0" applyNumberFormat="1" applyFont="1" applyFill="1" applyBorder="1" applyAlignment="1">
      <alignment horizontal="center"/>
    </xf>
    <xf numFmtId="174" fontId="33" fillId="0" borderId="86" xfId="0" applyNumberFormat="1" applyFont="1" applyBorder="1" applyAlignment="1">
      <alignment horizontal="right"/>
    </xf>
    <xf numFmtId="176" fontId="33" fillId="0" borderId="86" xfId="0" applyNumberFormat="1" applyFont="1" applyBorder="1" applyAlignment="1">
      <alignment horizontal="right"/>
    </xf>
    <xf numFmtId="174" fontId="33" fillId="0" borderId="97" xfId="0" applyNumberFormat="1" applyFont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70" fontId="33" fillId="0" borderId="29" xfId="0" applyNumberFormat="1" applyFont="1" applyFill="1" applyBorder="1"/>
    <xf numFmtId="170" fontId="33" fillId="0" borderId="82" xfId="0" applyNumberFormat="1" applyFont="1" applyFill="1" applyBorder="1"/>
    <xf numFmtId="0" fontId="40" fillId="0" borderId="81" xfId="0" applyFont="1" applyFill="1" applyBorder="1"/>
    <xf numFmtId="0" fontId="59" fillId="0" borderId="0" xfId="0" applyFont="1" applyFill="1"/>
    <xf numFmtId="0" fontId="60" fillId="0" borderId="0" xfId="0" applyFont="1" applyFill="1"/>
    <xf numFmtId="0" fontId="32" fillId="2" borderId="16" xfId="26" applyNumberFormat="1" applyFont="1" applyFill="1" applyBorder="1"/>
    <xf numFmtId="170" fontId="33" fillId="0" borderId="25" xfId="0" applyNumberFormat="1" applyFont="1" applyFill="1" applyBorder="1"/>
    <xf numFmtId="170" fontId="33" fillId="0" borderId="89" xfId="0" applyNumberFormat="1" applyFont="1" applyFill="1" applyBorder="1"/>
    <xf numFmtId="170" fontId="33" fillId="0" borderId="90" xfId="0" applyNumberFormat="1" applyFont="1" applyFill="1" applyBorder="1"/>
    <xf numFmtId="170" fontId="33" fillId="0" borderId="83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8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0.73632667656841422</c:v>
                </c:pt>
                <c:pt idx="1">
                  <c:v>1.4046141791231528</c:v>
                </c:pt>
                <c:pt idx="2">
                  <c:v>0.58156388003627479</c:v>
                </c:pt>
                <c:pt idx="3">
                  <c:v>0.54443416688214108</c:v>
                </c:pt>
                <c:pt idx="4">
                  <c:v>0.47245556272843559</c:v>
                </c:pt>
                <c:pt idx="5">
                  <c:v>0.58529532868474576</c:v>
                </c:pt>
                <c:pt idx="6">
                  <c:v>0.49094164891554298</c:v>
                </c:pt>
                <c:pt idx="7">
                  <c:v>0.52263935591355914</c:v>
                </c:pt>
                <c:pt idx="8">
                  <c:v>0.51347983663846031</c:v>
                </c:pt>
                <c:pt idx="9">
                  <c:v>0.54370207430492712</c:v>
                </c:pt>
                <c:pt idx="10">
                  <c:v>0.49195974127469605</c:v>
                </c:pt>
                <c:pt idx="11">
                  <c:v>0.40115072396899581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7266560"/>
        <c:axId val="133726886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0.43486210549597881</c:v>
                </c:pt>
                <c:pt idx="1">
                  <c:v>0.43486210549597881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8524032"/>
        <c:axId val="1338525952"/>
      </c:scatterChart>
      <c:catAx>
        <c:axId val="1337266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3726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72688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37266560"/>
        <c:crosses val="autoZero"/>
        <c:crossBetween val="between"/>
      </c:valAx>
      <c:valAx>
        <c:axId val="133852403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338525952"/>
        <c:crosses val="max"/>
        <c:crossBetween val="midCat"/>
      </c:valAx>
      <c:valAx>
        <c:axId val="133852595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33852403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0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25" t="s">
        <v>109</v>
      </c>
      <c r="B1" s="325"/>
    </row>
    <row r="2" spans="1:3" ht="14.4" customHeight="1" thickBot="1" x14ac:dyDescent="0.35">
      <c r="A2" s="235" t="s">
        <v>282</v>
      </c>
      <c r="B2" s="46"/>
    </row>
    <row r="3" spans="1:3" ht="14.4" customHeight="1" thickBot="1" x14ac:dyDescent="0.35">
      <c r="A3" s="321" t="s">
        <v>142</v>
      </c>
      <c r="B3" s="322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122</v>
      </c>
      <c r="C4" s="47" t="s">
        <v>123</v>
      </c>
    </row>
    <row r="5" spans="1:3" ht="14.4" customHeight="1" x14ac:dyDescent="0.3">
      <c r="A5" s="146" t="str">
        <f t="shared" si="0"/>
        <v>HI</v>
      </c>
      <c r="B5" s="89" t="s">
        <v>138</v>
      </c>
      <c r="C5" s="47" t="s">
        <v>112</v>
      </c>
    </row>
    <row r="6" spans="1:3" ht="14.4" customHeight="1" x14ac:dyDescent="0.3">
      <c r="A6" s="147" t="str">
        <f t="shared" si="0"/>
        <v>HI Graf</v>
      </c>
      <c r="B6" s="90" t="s">
        <v>105</v>
      </c>
      <c r="C6" s="47" t="s">
        <v>113</v>
      </c>
    </row>
    <row r="7" spans="1:3" ht="14.4" customHeight="1" x14ac:dyDescent="0.3">
      <c r="A7" s="147" t="str">
        <f t="shared" si="0"/>
        <v>Man Tab</v>
      </c>
      <c r="B7" s="90" t="s">
        <v>284</v>
      </c>
      <c r="C7" s="47" t="s">
        <v>114</v>
      </c>
    </row>
    <row r="8" spans="1:3" ht="14.4" customHeight="1" thickBot="1" x14ac:dyDescent="0.35">
      <c r="A8" s="148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3" t="s">
        <v>110</v>
      </c>
      <c r="B10" s="322"/>
    </row>
    <row r="11" spans="1:3" ht="14.4" customHeight="1" x14ac:dyDescent="0.3">
      <c r="A11" s="149" t="str">
        <f t="shared" ref="A11" si="1">HYPERLINK("#'"&amp;C11&amp;"'!A1",C11)</f>
        <v>Léky Žádanky</v>
      </c>
      <c r="B11" s="89" t="s">
        <v>139</v>
      </c>
      <c r="C11" s="47" t="s">
        <v>115</v>
      </c>
    </row>
    <row r="12" spans="1:3" ht="14.4" customHeight="1" x14ac:dyDescent="0.3">
      <c r="A12" s="147" t="str">
        <f t="shared" ref="A12:A23" si="2">HYPERLINK("#'"&amp;C12&amp;"'!A1",C12)</f>
        <v>LŽ Detail</v>
      </c>
      <c r="B12" s="90" t="s">
        <v>166</v>
      </c>
      <c r="C12" s="47" t="s">
        <v>116</v>
      </c>
    </row>
    <row r="13" spans="1:3" ht="28.8" customHeight="1" x14ac:dyDescent="0.3">
      <c r="A13" s="147" t="str">
        <f t="shared" si="2"/>
        <v>LŽ PL</v>
      </c>
      <c r="B13" s="488" t="s">
        <v>167</v>
      </c>
      <c r="C13" s="47" t="s">
        <v>146</v>
      </c>
    </row>
    <row r="14" spans="1:3" ht="14.4" customHeight="1" x14ac:dyDescent="0.3">
      <c r="A14" s="147" t="str">
        <f t="shared" si="2"/>
        <v>LŽ PL Detail</v>
      </c>
      <c r="B14" s="90" t="s">
        <v>699</v>
      </c>
      <c r="C14" s="47" t="s">
        <v>148</v>
      </c>
    </row>
    <row r="15" spans="1:3" ht="14.4" customHeight="1" x14ac:dyDescent="0.3">
      <c r="A15" s="147" t="str">
        <f t="shared" si="2"/>
        <v>LŽ Statim</v>
      </c>
      <c r="B15" s="309" t="s">
        <v>268</v>
      </c>
      <c r="C15" s="47" t="s">
        <v>278</v>
      </c>
    </row>
    <row r="16" spans="1:3" ht="14.4" customHeight="1" x14ac:dyDescent="0.3">
      <c r="A16" s="147" t="str">
        <f t="shared" si="2"/>
        <v>Léky Recepty</v>
      </c>
      <c r="B16" s="90" t="s">
        <v>140</v>
      </c>
      <c r="C16" s="47" t="s">
        <v>117</v>
      </c>
    </row>
    <row r="17" spans="1:3" ht="14.4" customHeight="1" x14ac:dyDescent="0.3">
      <c r="A17" s="147" t="str">
        <f t="shared" si="2"/>
        <v>LRp Lékaři</v>
      </c>
      <c r="B17" s="90" t="s">
        <v>151</v>
      </c>
      <c r="C17" s="47" t="s">
        <v>152</v>
      </c>
    </row>
    <row r="18" spans="1:3" ht="14.4" customHeight="1" x14ac:dyDescent="0.3">
      <c r="A18" s="147" t="str">
        <f t="shared" si="2"/>
        <v>LRp Detail</v>
      </c>
      <c r="B18" s="90" t="s">
        <v>1057</v>
      </c>
      <c r="C18" s="47" t="s">
        <v>118</v>
      </c>
    </row>
    <row r="19" spans="1:3" ht="28.8" customHeight="1" x14ac:dyDescent="0.3">
      <c r="A19" s="147" t="str">
        <f t="shared" si="2"/>
        <v>LRp PL</v>
      </c>
      <c r="B19" s="488" t="s">
        <v>1058</v>
      </c>
      <c r="C19" s="47" t="s">
        <v>147</v>
      </c>
    </row>
    <row r="20" spans="1:3" ht="14.4" customHeight="1" x14ac:dyDescent="0.3">
      <c r="A20" s="147" t="str">
        <f>HYPERLINK("#'"&amp;C20&amp;"'!A1",C20)</f>
        <v>LRp PL Detail</v>
      </c>
      <c r="B20" s="90" t="s">
        <v>1097</v>
      </c>
      <c r="C20" s="47" t="s">
        <v>149</v>
      </c>
    </row>
    <row r="21" spans="1:3" ht="14.4" customHeight="1" x14ac:dyDescent="0.3">
      <c r="A21" s="149" t="str">
        <f t="shared" ref="A21" si="3">HYPERLINK("#'"&amp;C21&amp;"'!A1",C21)</f>
        <v>Materiál Žádanky</v>
      </c>
      <c r="B21" s="90" t="s">
        <v>141</v>
      </c>
      <c r="C21" s="47" t="s">
        <v>119</v>
      </c>
    </row>
    <row r="22" spans="1:3" ht="14.4" customHeight="1" x14ac:dyDescent="0.3">
      <c r="A22" s="147" t="str">
        <f t="shared" si="2"/>
        <v>MŽ Detail</v>
      </c>
      <c r="B22" s="90" t="s">
        <v>1743</v>
      </c>
      <c r="C22" s="47" t="s">
        <v>120</v>
      </c>
    </row>
    <row r="23" spans="1:3" ht="14.4" customHeight="1" thickBot="1" x14ac:dyDescent="0.35">
      <c r="A23" s="149" t="str">
        <f t="shared" si="2"/>
        <v>Osobní náklady</v>
      </c>
      <c r="B23" s="90" t="s">
        <v>107</v>
      </c>
      <c r="C23" s="47" t="s">
        <v>121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4" t="s">
        <v>111</v>
      </c>
      <c r="B25" s="322"/>
    </row>
    <row r="26" spans="1:3" ht="14.4" customHeight="1" x14ac:dyDescent="0.3">
      <c r="A26" s="150" t="str">
        <f t="shared" ref="A26:A30" si="4">HYPERLINK("#'"&amp;C26&amp;"'!A1",C26)</f>
        <v>ZV Vykáz.-A</v>
      </c>
      <c r="B26" s="89" t="s">
        <v>1750</v>
      </c>
      <c r="C26" s="47" t="s">
        <v>124</v>
      </c>
    </row>
    <row r="27" spans="1:3" ht="14.4" customHeight="1" x14ac:dyDescent="0.3">
      <c r="A27" s="147" t="str">
        <f t="shared" ref="A27" si="5">HYPERLINK("#'"&amp;C27&amp;"'!A1",C27)</f>
        <v>ZV Vykáz.-A Lékaři</v>
      </c>
      <c r="B27" s="90" t="s">
        <v>1754</v>
      </c>
      <c r="C27" s="47" t="s">
        <v>281</v>
      </c>
    </row>
    <row r="28" spans="1:3" ht="14.4" customHeight="1" x14ac:dyDescent="0.3">
      <c r="A28" s="147" t="str">
        <f t="shared" si="4"/>
        <v>ZV Vykáz.-A Detail</v>
      </c>
      <c r="B28" s="90" t="s">
        <v>1838</v>
      </c>
      <c r="C28" s="47" t="s">
        <v>125</v>
      </c>
    </row>
    <row r="29" spans="1:3" ht="14.4" customHeight="1" x14ac:dyDescent="0.3">
      <c r="A29" s="147" t="str">
        <f t="shared" si="4"/>
        <v>ZV Vykáz.-H</v>
      </c>
      <c r="B29" s="90" t="s">
        <v>128</v>
      </c>
      <c r="C29" s="47" t="s">
        <v>126</v>
      </c>
    </row>
    <row r="30" spans="1:3" ht="14.4" customHeight="1" x14ac:dyDescent="0.3">
      <c r="A30" s="147" t="str">
        <f t="shared" si="4"/>
        <v>ZV Vykáz.-H Detail</v>
      </c>
      <c r="B30" s="90" t="s">
        <v>1895</v>
      </c>
      <c r="C30" s="47" t="s">
        <v>127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30" bestFit="1" customWidth="1"/>
    <col min="2" max="2" width="8.88671875" style="130" bestFit="1" customWidth="1"/>
    <col min="3" max="3" width="7" style="130" bestFit="1" customWidth="1"/>
    <col min="4" max="4" width="53.44140625" style="130" bestFit="1" customWidth="1"/>
    <col min="5" max="5" width="28.44140625" style="130" bestFit="1" customWidth="1"/>
    <col min="6" max="6" width="6.6640625" style="208" customWidth="1"/>
    <col min="7" max="7" width="10" style="208" customWidth="1"/>
    <col min="8" max="8" width="6.77734375" style="211" bestFit="1" customWidth="1"/>
    <col min="9" max="9" width="6.6640625" style="208" customWidth="1"/>
    <col min="10" max="10" width="10" style="208" customWidth="1"/>
    <col min="11" max="11" width="6.77734375" style="211" bestFit="1" customWidth="1"/>
    <col min="12" max="12" width="6.6640625" style="208" customWidth="1"/>
    <col min="13" max="13" width="10" style="208" customWidth="1"/>
    <col min="14" max="16384" width="8.88671875" style="130"/>
  </cols>
  <sheetData>
    <row r="1" spans="1:13" ht="18.600000000000001" customHeight="1" thickBot="1" x14ac:dyDescent="0.4">
      <c r="A1" s="363" t="s">
        <v>699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5" t="s">
        <v>282</v>
      </c>
      <c r="B2" s="207"/>
      <c r="C2" s="207"/>
      <c r="D2" s="207"/>
      <c r="E2" s="207"/>
      <c r="F2" s="215"/>
      <c r="G2" s="215"/>
      <c r="H2" s="216"/>
      <c r="I2" s="215"/>
      <c r="J2" s="215"/>
      <c r="K2" s="216"/>
      <c r="L2" s="215"/>
    </row>
    <row r="3" spans="1:13" ht="14.4" customHeight="1" thickBot="1" x14ac:dyDescent="0.35">
      <c r="E3" s="79" t="s">
        <v>129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8</v>
      </c>
      <c r="J3" s="43">
        <f>SUBTOTAL(9,J6:J1048576)</f>
        <v>714.64006251135913</v>
      </c>
      <c r="K3" s="44">
        <f>IF(M3=0,0,J3/M3)</f>
        <v>1</v>
      </c>
      <c r="L3" s="43">
        <f>SUBTOTAL(9,L6:L1048576)</f>
        <v>8</v>
      </c>
      <c r="M3" s="45">
        <f>SUBTOTAL(9,M6:M1048576)</f>
        <v>714.64006251135913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131</v>
      </c>
      <c r="G4" s="368"/>
      <c r="H4" s="369"/>
      <c r="I4" s="370" t="s">
        <v>130</v>
      </c>
      <c r="J4" s="368"/>
      <c r="K4" s="369"/>
      <c r="L4" s="371" t="s">
        <v>3</v>
      </c>
      <c r="M4" s="372"/>
    </row>
    <row r="5" spans="1:13" ht="14.4" customHeight="1" thickBot="1" x14ac:dyDescent="0.35">
      <c r="A5" s="476" t="s">
        <v>132</v>
      </c>
      <c r="B5" s="489" t="s">
        <v>133</v>
      </c>
      <c r="C5" s="489" t="s">
        <v>71</v>
      </c>
      <c r="D5" s="489" t="s">
        <v>134</v>
      </c>
      <c r="E5" s="489" t="s">
        <v>135</v>
      </c>
      <c r="F5" s="490" t="s">
        <v>28</v>
      </c>
      <c r="G5" s="490" t="s">
        <v>14</v>
      </c>
      <c r="H5" s="478" t="s">
        <v>136</v>
      </c>
      <c r="I5" s="477" t="s">
        <v>28</v>
      </c>
      <c r="J5" s="490" t="s">
        <v>14</v>
      </c>
      <c r="K5" s="478" t="s">
        <v>136</v>
      </c>
      <c r="L5" s="477" t="s">
        <v>28</v>
      </c>
      <c r="M5" s="491" t="s">
        <v>14</v>
      </c>
    </row>
    <row r="6" spans="1:13" ht="14.4" customHeight="1" x14ac:dyDescent="0.3">
      <c r="A6" s="458" t="s">
        <v>540</v>
      </c>
      <c r="B6" s="459" t="s">
        <v>695</v>
      </c>
      <c r="C6" s="459" t="s">
        <v>684</v>
      </c>
      <c r="D6" s="459" t="s">
        <v>696</v>
      </c>
      <c r="E6" s="459" t="s">
        <v>697</v>
      </c>
      <c r="F6" s="462"/>
      <c r="G6" s="462"/>
      <c r="H6" s="481">
        <v>0</v>
      </c>
      <c r="I6" s="462">
        <v>5</v>
      </c>
      <c r="J6" s="462">
        <v>557.79999999999995</v>
      </c>
      <c r="K6" s="481">
        <v>1</v>
      </c>
      <c r="L6" s="462">
        <v>5</v>
      </c>
      <c r="M6" s="463">
        <v>557.79999999999995</v>
      </c>
    </row>
    <row r="7" spans="1:13" ht="14.4" customHeight="1" thickBot="1" x14ac:dyDescent="0.35">
      <c r="A7" s="470" t="s">
        <v>540</v>
      </c>
      <c r="B7" s="471" t="s">
        <v>695</v>
      </c>
      <c r="C7" s="471" t="s">
        <v>688</v>
      </c>
      <c r="D7" s="471" t="s">
        <v>696</v>
      </c>
      <c r="E7" s="471" t="s">
        <v>698</v>
      </c>
      <c r="F7" s="474"/>
      <c r="G7" s="474"/>
      <c r="H7" s="482">
        <v>0</v>
      </c>
      <c r="I7" s="474">
        <v>3</v>
      </c>
      <c r="J7" s="474">
        <v>156.84006251135915</v>
      </c>
      <c r="K7" s="482">
        <v>1</v>
      </c>
      <c r="L7" s="474">
        <v>3</v>
      </c>
      <c r="M7" s="475">
        <v>156.84006251135915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13" customWidth="1"/>
    <col min="2" max="2" width="5.44140625" style="208" bestFit="1" customWidth="1"/>
    <col min="3" max="3" width="6.109375" style="208" bestFit="1" customWidth="1"/>
    <col min="4" max="4" width="7.44140625" style="208" bestFit="1" customWidth="1"/>
    <col min="5" max="5" width="6.21875" style="208" bestFit="1" customWidth="1"/>
    <col min="6" max="6" width="6.33203125" style="211" bestFit="1" customWidth="1"/>
    <col min="7" max="7" width="6.109375" style="211" bestFit="1" customWidth="1"/>
    <col min="8" max="8" width="7.44140625" style="211" bestFit="1" customWidth="1"/>
    <col min="9" max="9" width="6.21875" style="211" bestFit="1" customWidth="1"/>
    <col min="10" max="10" width="5.44140625" style="208" bestFit="1" customWidth="1"/>
    <col min="11" max="11" width="6.109375" style="208" bestFit="1" customWidth="1"/>
    <col min="12" max="12" width="7.44140625" style="208" bestFit="1" customWidth="1"/>
    <col min="13" max="13" width="6.21875" style="208" bestFit="1" customWidth="1"/>
    <col min="14" max="14" width="5.33203125" style="211" bestFit="1" customWidth="1"/>
    <col min="15" max="15" width="6.109375" style="211" bestFit="1" customWidth="1"/>
    <col min="16" max="16" width="7.44140625" style="211" bestFit="1" customWidth="1"/>
    <col min="17" max="17" width="6.21875" style="211" bestFit="1" customWidth="1"/>
    <col min="18" max="16384" width="8.88671875" style="130"/>
  </cols>
  <sheetData>
    <row r="1" spans="1:17" ht="18.600000000000001" customHeight="1" thickBot="1" x14ac:dyDescent="0.4">
      <c r="A1" s="363" t="s">
        <v>268</v>
      </c>
      <c r="B1" s="363"/>
      <c r="C1" s="363"/>
      <c r="D1" s="363"/>
      <c r="E1" s="363"/>
      <c r="F1" s="326"/>
      <c r="G1" s="326"/>
      <c r="H1" s="326"/>
      <c r="I1" s="326"/>
      <c r="J1" s="356"/>
      <c r="K1" s="356"/>
      <c r="L1" s="356"/>
      <c r="M1" s="356"/>
      <c r="N1" s="356"/>
      <c r="O1" s="356"/>
      <c r="P1" s="356"/>
      <c r="Q1" s="356"/>
    </row>
    <row r="2" spans="1:17" ht="14.4" customHeight="1" thickBot="1" x14ac:dyDescent="0.35">
      <c r="A2" s="235" t="s">
        <v>282</v>
      </c>
      <c r="B2" s="215"/>
      <c r="C2" s="215"/>
      <c r="D2" s="215"/>
      <c r="E2" s="215"/>
    </row>
    <row r="3" spans="1:17" ht="14.4" customHeight="1" thickBot="1" x14ac:dyDescent="0.35">
      <c r="A3" s="302" t="s">
        <v>3</v>
      </c>
      <c r="B3" s="306">
        <f>SUM(B6:B1048576)</f>
        <v>329</v>
      </c>
      <c r="C3" s="307">
        <f>SUM(C6:C1048576)</f>
        <v>0</v>
      </c>
      <c r="D3" s="307">
        <f>SUM(D6:D1048576)</f>
        <v>0</v>
      </c>
      <c r="E3" s="308">
        <f>SUM(E6:E1048576)</f>
        <v>0</v>
      </c>
      <c r="F3" s="305">
        <f>IF(SUM($B3:$E3)=0,"",B3/SUM($B3:$E3))</f>
        <v>1</v>
      </c>
      <c r="G3" s="303">
        <f t="shared" ref="G3:I3" si="0">IF(SUM($B3:$E3)=0,"",C3/SUM($B3:$E3))</f>
        <v>0</v>
      </c>
      <c r="H3" s="303">
        <f t="shared" si="0"/>
        <v>0</v>
      </c>
      <c r="I3" s="304">
        <f t="shared" si="0"/>
        <v>0</v>
      </c>
      <c r="J3" s="307">
        <f>SUM(J6:J1048576)</f>
        <v>101</v>
      </c>
      <c r="K3" s="307">
        <f>SUM(K6:K1048576)</f>
        <v>0</v>
      </c>
      <c r="L3" s="307">
        <f>SUM(L6:L1048576)</f>
        <v>0</v>
      </c>
      <c r="M3" s="308">
        <f>SUM(M6:M1048576)</f>
        <v>0</v>
      </c>
      <c r="N3" s="305">
        <f>IF(SUM($J3:$M3)=0,"",J3/SUM($J3:$M3))</f>
        <v>1</v>
      </c>
      <c r="O3" s="303">
        <f t="shared" ref="O3:Q3" si="1">IF(SUM($J3:$M3)=0,"",K3/SUM($J3:$M3))</f>
        <v>0</v>
      </c>
      <c r="P3" s="303">
        <f t="shared" si="1"/>
        <v>0</v>
      </c>
      <c r="Q3" s="304">
        <f t="shared" si="1"/>
        <v>0</v>
      </c>
    </row>
    <row r="4" spans="1:17" ht="14.4" customHeight="1" thickBot="1" x14ac:dyDescent="0.35">
      <c r="A4" s="301"/>
      <c r="B4" s="376" t="s">
        <v>270</v>
      </c>
      <c r="C4" s="377"/>
      <c r="D4" s="377"/>
      <c r="E4" s="378"/>
      <c r="F4" s="373" t="s">
        <v>275</v>
      </c>
      <c r="G4" s="374"/>
      <c r="H4" s="374"/>
      <c r="I4" s="375"/>
      <c r="J4" s="376" t="s">
        <v>276</v>
      </c>
      <c r="K4" s="377"/>
      <c r="L4" s="377"/>
      <c r="M4" s="378"/>
      <c r="N4" s="373" t="s">
        <v>277</v>
      </c>
      <c r="O4" s="374"/>
      <c r="P4" s="374"/>
      <c r="Q4" s="375"/>
    </row>
    <row r="5" spans="1:17" ht="14.4" customHeight="1" thickBot="1" x14ac:dyDescent="0.35">
      <c r="A5" s="492" t="s">
        <v>269</v>
      </c>
      <c r="B5" s="493" t="s">
        <v>271</v>
      </c>
      <c r="C5" s="493" t="s">
        <v>272</v>
      </c>
      <c r="D5" s="493" t="s">
        <v>273</v>
      </c>
      <c r="E5" s="494" t="s">
        <v>274</v>
      </c>
      <c r="F5" s="495" t="s">
        <v>271</v>
      </c>
      <c r="G5" s="496" t="s">
        <v>272</v>
      </c>
      <c r="H5" s="496" t="s">
        <v>273</v>
      </c>
      <c r="I5" s="497" t="s">
        <v>274</v>
      </c>
      <c r="J5" s="493" t="s">
        <v>271</v>
      </c>
      <c r="K5" s="493" t="s">
        <v>272</v>
      </c>
      <c r="L5" s="493" t="s">
        <v>273</v>
      </c>
      <c r="M5" s="494" t="s">
        <v>274</v>
      </c>
      <c r="N5" s="495" t="s">
        <v>271</v>
      </c>
      <c r="O5" s="496" t="s">
        <v>272</v>
      </c>
      <c r="P5" s="496" t="s">
        <v>273</v>
      </c>
      <c r="Q5" s="497" t="s">
        <v>274</v>
      </c>
    </row>
    <row r="6" spans="1:17" ht="14.4" customHeight="1" x14ac:dyDescent="0.3">
      <c r="A6" s="500" t="s">
        <v>700</v>
      </c>
      <c r="B6" s="504"/>
      <c r="C6" s="462"/>
      <c r="D6" s="462"/>
      <c r="E6" s="463"/>
      <c r="F6" s="502"/>
      <c r="G6" s="481"/>
      <c r="H6" s="481"/>
      <c r="I6" s="506"/>
      <c r="J6" s="504"/>
      <c r="K6" s="462"/>
      <c r="L6" s="462"/>
      <c r="M6" s="463"/>
      <c r="N6" s="502"/>
      <c r="O6" s="481"/>
      <c r="P6" s="481"/>
      <c r="Q6" s="498"/>
    </row>
    <row r="7" spans="1:17" ht="14.4" customHeight="1" thickBot="1" x14ac:dyDescent="0.35">
      <c r="A7" s="501" t="s">
        <v>701</v>
      </c>
      <c r="B7" s="505">
        <v>329</v>
      </c>
      <c r="C7" s="474"/>
      <c r="D7" s="474"/>
      <c r="E7" s="475"/>
      <c r="F7" s="503">
        <v>1</v>
      </c>
      <c r="G7" s="482">
        <v>0</v>
      </c>
      <c r="H7" s="482">
        <v>0</v>
      </c>
      <c r="I7" s="507">
        <v>0</v>
      </c>
      <c r="J7" s="505">
        <v>101</v>
      </c>
      <c r="K7" s="474"/>
      <c r="L7" s="474"/>
      <c r="M7" s="475"/>
      <c r="N7" s="503">
        <v>1</v>
      </c>
      <c r="O7" s="482">
        <v>0</v>
      </c>
      <c r="P7" s="482">
        <v>0</v>
      </c>
      <c r="Q7" s="499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5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63" t="s">
        <v>140</v>
      </c>
      <c r="B1" s="363"/>
      <c r="C1" s="363"/>
      <c r="D1" s="363"/>
      <c r="E1" s="363"/>
      <c r="F1" s="363"/>
      <c r="G1" s="363"/>
      <c r="H1" s="363"/>
      <c r="I1" s="326"/>
      <c r="J1" s="326"/>
      <c r="K1" s="326"/>
      <c r="L1" s="326"/>
    </row>
    <row r="2" spans="1:14" ht="14.4" customHeight="1" thickBot="1" x14ac:dyDescent="0.35">
      <c r="A2" s="235" t="s">
        <v>282</v>
      </c>
      <c r="B2" s="207"/>
      <c r="C2" s="207"/>
      <c r="D2" s="207"/>
      <c r="E2" s="207"/>
      <c r="F2" s="207"/>
      <c r="G2" s="207"/>
      <c r="H2" s="207"/>
    </row>
    <row r="3" spans="1:14" ht="14.4" customHeight="1" thickBot="1" x14ac:dyDescent="0.35">
      <c r="A3" s="144"/>
      <c r="B3" s="144"/>
      <c r="C3" s="380" t="s">
        <v>15</v>
      </c>
      <c r="D3" s="379"/>
      <c r="E3" s="379" t="s">
        <v>16</v>
      </c>
      <c r="F3" s="379"/>
      <c r="G3" s="379"/>
      <c r="H3" s="379"/>
      <c r="I3" s="379" t="s">
        <v>150</v>
      </c>
      <c r="J3" s="379"/>
      <c r="K3" s="379"/>
      <c r="L3" s="381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46">
        <v>35</v>
      </c>
      <c r="B5" s="447" t="s">
        <v>690</v>
      </c>
      <c r="C5" s="450">
        <v>35452.269999999997</v>
      </c>
      <c r="D5" s="450">
        <v>149</v>
      </c>
      <c r="E5" s="450">
        <v>33910.159999999996</v>
      </c>
      <c r="F5" s="508">
        <v>0.95650179805129543</v>
      </c>
      <c r="G5" s="450">
        <v>134</v>
      </c>
      <c r="H5" s="508">
        <v>0.89932885906040272</v>
      </c>
      <c r="I5" s="450">
        <v>1542.1100000000001</v>
      </c>
      <c r="J5" s="508">
        <v>4.349820194870456E-2</v>
      </c>
      <c r="K5" s="450">
        <v>15</v>
      </c>
      <c r="L5" s="508">
        <v>0.10067114093959731</v>
      </c>
      <c r="M5" s="450" t="s">
        <v>69</v>
      </c>
      <c r="N5" s="151"/>
    </row>
    <row r="6" spans="1:14" ht="14.4" customHeight="1" x14ac:dyDescent="0.3">
      <c r="A6" s="446">
        <v>35</v>
      </c>
      <c r="B6" s="447" t="s">
        <v>702</v>
      </c>
      <c r="C6" s="450">
        <v>35452.269999999997</v>
      </c>
      <c r="D6" s="450">
        <v>139</v>
      </c>
      <c r="E6" s="450">
        <v>33910.159999999996</v>
      </c>
      <c r="F6" s="508">
        <v>0.95650179805129543</v>
      </c>
      <c r="G6" s="450">
        <v>124</v>
      </c>
      <c r="H6" s="508">
        <v>0.8920863309352518</v>
      </c>
      <c r="I6" s="450">
        <v>1542.1100000000001</v>
      </c>
      <c r="J6" s="508">
        <v>4.349820194870456E-2</v>
      </c>
      <c r="K6" s="450">
        <v>15</v>
      </c>
      <c r="L6" s="508">
        <v>0.1079136690647482</v>
      </c>
      <c r="M6" s="450" t="s">
        <v>1</v>
      </c>
      <c r="N6" s="151"/>
    </row>
    <row r="7" spans="1:14" ht="14.4" customHeight="1" x14ac:dyDescent="0.3">
      <c r="A7" s="446">
        <v>35</v>
      </c>
      <c r="B7" s="447" t="s">
        <v>703</v>
      </c>
      <c r="C7" s="450">
        <v>0</v>
      </c>
      <c r="D7" s="450">
        <v>10</v>
      </c>
      <c r="E7" s="450">
        <v>0</v>
      </c>
      <c r="F7" s="508" t="s">
        <v>531</v>
      </c>
      <c r="G7" s="450">
        <v>10</v>
      </c>
      <c r="H7" s="508">
        <v>1</v>
      </c>
      <c r="I7" s="450" t="s">
        <v>531</v>
      </c>
      <c r="J7" s="508" t="s">
        <v>531</v>
      </c>
      <c r="K7" s="450" t="s">
        <v>531</v>
      </c>
      <c r="L7" s="508">
        <v>0</v>
      </c>
      <c r="M7" s="450" t="s">
        <v>1</v>
      </c>
      <c r="N7" s="151"/>
    </row>
    <row r="8" spans="1:14" ht="14.4" customHeight="1" x14ac:dyDescent="0.3">
      <c r="A8" s="446" t="s">
        <v>529</v>
      </c>
      <c r="B8" s="447" t="s">
        <v>3</v>
      </c>
      <c r="C8" s="450">
        <v>35452.269999999997</v>
      </c>
      <c r="D8" s="450">
        <v>149</v>
      </c>
      <c r="E8" s="450">
        <v>33910.159999999996</v>
      </c>
      <c r="F8" s="508">
        <v>0.95650179805129543</v>
      </c>
      <c r="G8" s="450">
        <v>134</v>
      </c>
      <c r="H8" s="508">
        <v>0.89932885906040272</v>
      </c>
      <c r="I8" s="450">
        <v>1542.1100000000001</v>
      </c>
      <c r="J8" s="508">
        <v>4.349820194870456E-2</v>
      </c>
      <c r="K8" s="450">
        <v>15</v>
      </c>
      <c r="L8" s="508">
        <v>0.10067114093959731</v>
      </c>
      <c r="M8" s="450" t="s">
        <v>534</v>
      </c>
      <c r="N8" s="151"/>
    </row>
    <row r="10" spans="1:14" ht="14.4" customHeight="1" x14ac:dyDescent="0.3">
      <c r="A10" s="446">
        <v>35</v>
      </c>
      <c r="B10" s="447" t="s">
        <v>690</v>
      </c>
      <c r="C10" s="450" t="s">
        <v>531</v>
      </c>
      <c r="D10" s="450" t="s">
        <v>531</v>
      </c>
      <c r="E10" s="450" t="s">
        <v>531</v>
      </c>
      <c r="F10" s="508" t="s">
        <v>531</v>
      </c>
      <c r="G10" s="450" t="s">
        <v>531</v>
      </c>
      <c r="H10" s="508" t="s">
        <v>531</v>
      </c>
      <c r="I10" s="450" t="s">
        <v>531</v>
      </c>
      <c r="J10" s="508" t="s">
        <v>531</v>
      </c>
      <c r="K10" s="450" t="s">
        <v>531</v>
      </c>
      <c r="L10" s="508" t="s">
        <v>531</v>
      </c>
      <c r="M10" s="450" t="s">
        <v>69</v>
      </c>
      <c r="N10" s="151"/>
    </row>
    <row r="11" spans="1:14" ht="14.4" customHeight="1" x14ac:dyDescent="0.3">
      <c r="A11" s="446">
        <v>89301356</v>
      </c>
      <c r="B11" s="447" t="s">
        <v>702</v>
      </c>
      <c r="C11" s="450">
        <v>35452.269999999997</v>
      </c>
      <c r="D11" s="450">
        <v>139</v>
      </c>
      <c r="E11" s="450">
        <v>33910.159999999996</v>
      </c>
      <c r="F11" s="508">
        <v>0.95650179805129543</v>
      </c>
      <c r="G11" s="450">
        <v>124</v>
      </c>
      <c r="H11" s="508">
        <v>0.8920863309352518</v>
      </c>
      <c r="I11" s="450">
        <v>1542.1100000000001</v>
      </c>
      <c r="J11" s="508">
        <v>4.349820194870456E-2</v>
      </c>
      <c r="K11" s="450">
        <v>15</v>
      </c>
      <c r="L11" s="508">
        <v>0.1079136690647482</v>
      </c>
      <c r="M11" s="450" t="s">
        <v>1</v>
      </c>
      <c r="N11" s="151"/>
    </row>
    <row r="12" spans="1:14" ht="14.4" customHeight="1" x14ac:dyDescent="0.3">
      <c r="A12" s="446">
        <v>89301356</v>
      </c>
      <c r="B12" s="447" t="s">
        <v>703</v>
      </c>
      <c r="C12" s="450">
        <v>0</v>
      </c>
      <c r="D12" s="450">
        <v>10</v>
      </c>
      <c r="E12" s="450">
        <v>0</v>
      </c>
      <c r="F12" s="508" t="s">
        <v>531</v>
      </c>
      <c r="G12" s="450">
        <v>10</v>
      </c>
      <c r="H12" s="508">
        <v>1</v>
      </c>
      <c r="I12" s="450" t="s">
        <v>531</v>
      </c>
      <c r="J12" s="508" t="s">
        <v>531</v>
      </c>
      <c r="K12" s="450" t="s">
        <v>531</v>
      </c>
      <c r="L12" s="508">
        <v>0</v>
      </c>
      <c r="M12" s="450" t="s">
        <v>1</v>
      </c>
      <c r="N12" s="151"/>
    </row>
    <row r="13" spans="1:14" ht="14.4" customHeight="1" x14ac:dyDescent="0.3">
      <c r="A13" s="446" t="s">
        <v>704</v>
      </c>
      <c r="B13" s="447" t="s">
        <v>705</v>
      </c>
      <c r="C13" s="450">
        <v>35452.269999999997</v>
      </c>
      <c r="D13" s="450">
        <v>149</v>
      </c>
      <c r="E13" s="450">
        <v>33910.159999999996</v>
      </c>
      <c r="F13" s="508">
        <v>0.95650179805129543</v>
      </c>
      <c r="G13" s="450">
        <v>134</v>
      </c>
      <c r="H13" s="508">
        <v>0.89932885906040272</v>
      </c>
      <c r="I13" s="450">
        <v>1542.1100000000001</v>
      </c>
      <c r="J13" s="508">
        <v>4.349820194870456E-2</v>
      </c>
      <c r="K13" s="450">
        <v>15</v>
      </c>
      <c r="L13" s="508">
        <v>0.10067114093959731</v>
      </c>
      <c r="M13" s="450" t="s">
        <v>538</v>
      </c>
      <c r="N13" s="151"/>
    </row>
    <row r="14" spans="1:14" ht="14.4" customHeight="1" x14ac:dyDescent="0.3">
      <c r="A14" s="446" t="s">
        <v>531</v>
      </c>
      <c r="B14" s="447" t="s">
        <v>531</v>
      </c>
      <c r="C14" s="450" t="s">
        <v>531</v>
      </c>
      <c r="D14" s="450" t="s">
        <v>531</v>
      </c>
      <c r="E14" s="450" t="s">
        <v>531</v>
      </c>
      <c r="F14" s="508" t="s">
        <v>531</v>
      </c>
      <c r="G14" s="450" t="s">
        <v>531</v>
      </c>
      <c r="H14" s="508" t="s">
        <v>531</v>
      </c>
      <c r="I14" s="450" t="s">
        <v>531</v>
      </c>
      <c r="J14" s="508" t="s">
        <v>531</v>
      </c>
      <c r="K14" s="450" t="s">
        <v>531</v>
      </c>
      <c r="L14" s="508" t="s">
        <v>531</v>
      </c>
      <c r="M14" s="450" t="s">
        <v>539</v>
      </c>
      <c r="N14" s="151"/>
    </row>
    <row r="15" spans="1:14" ht="14.4" customHeight="1" x14ac:dyDescent="0.3">
      <c r="A15" s="446" t="s">
        <v>529</v>
      </c>
      <c r="B15" s="447" t="s">
        <v>706</v>
      </c>
      <c r="C15" s="450">
        <v>35452.269999999997</v>
      </c>
      <c r="D15" s="450">
        <v>149</v>
      </c>
      <c r="E15" s="450">
        <v>33910.159999999996</v>
      </c>
      <c r="F15" s="508">
        <v>0.95650179805129543</v>
      </c>
      <c r="G15" s="450">
        <v>134</v>
      </c>
      <c r="H15" s="508">
        <v>0.89932885906040272</v>
      </c>
      <c r="I15" s="450">
        <v>1542.1100000000001</v>
      </c>
      <c r="J15" s="508">
        <v>4.349820194870456E-2</v>
      </c>
      <c r="K15" s="450">
        <v>15</v>
      </c>
      <c r="L15" s="508">
        <v>0.10067114093959731</v>
      </c>
      <c r="M15" s="450" t="s">
        <v>534</v>
      </c>
      <c r="N15" s="151"/>
    </row>
  </sheetData>
  <autoFilter ref="A4:M4"/>
  <mergeCells count="4">
    <mergeCell ref="E3:H3"/>
    <mergeCell ref="C3:D3"/>
    <mergeCell ref="I3:L3"/>
    <mergeCell ref="A1:L1"/>
  </mergeCells>
  <conditionalFormatting sqref="F4 F9 F16:F1048576">
    <cfRule type="cellIs" dxfId="35" priority="15" stopIfTrue="1" operator="lessThan">
      <formula>0.6</formula>
    </cfRule>
  </conditionalFormatting>
  <conditionalFormatting sqref="B5:B8">
    <cfRule type="expression" dxfId="34" priority="10">
      <formula>AND(LEFT(M5,6)&lt;&gt;"mezera",M5&lt;&gt;"")</formula>
    </cfRule>
  </conditionalFormatting>
  <conditionalFormatting sqref="A5:A8">
    <cfRule type="expression" dxfId="33" priority="8">
      <formula>AND(M5&lt;&gt;"",M5&lt;&gt;"mezeraKL")</formula>
    </cfRule>
  </conditionalFormatting>
  <conditionalFormatting sqref="F5:F8">
    <cfRule type="cellIs" dxfId="32" priority="7" operator="lessThan">
      <formula>0.6</formula>
    </cfRule>
  </conditionalFormatting>
  <conditionalFormatting sqref="B5:L8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8">
    <cfRule type="expression" dxfId="29" priority="12">
      <formula>$M5&lt;&gt;""</formula>
    </cfRule>
  </conditionalFormatting>
  <conditionalFormatting sqref="B10:B15">
    <cfRule type="expression" dxfId="28" priority="4">
      <formula>AND(LEFT(M10,6)&lt;&gt;"mezera",M10&lt;&gt;"")</formula>
    </cfRule>
  </conditionalFormatting>
  <conditionalFormatting sqref="A10:A15">
    <cfRule type="expression" dxfId="27" priority="2">
      <formula>AND(M10&lt;&gt;"",M10&lt;&gt;"mezeraKL")</formula>
    </cfRule>
  </conditionalFormatting>
  <conditionalFormatting sqref="F10:F15">
    <cfRule type="cellIs" dxfId="26" priority="1" operator="lessThan">
      <formula>0.6</formula>
    </cfRule>
  </conditionalFormatting>
  <conditionalFormatting sqref="B10:L15">
    <cfRule type="expression" dxfId="25" priority="3">
      <formula>OR($M10="KL",$M10="SumaKL")</formula>
    </cfRule>
    <cfRule type="expression" dxfId="24" priority="5">
      <formula>$M10="SumaNS"</formula>
    </cfRule>
  </conditionalFormatting>
  <conditionalFormatting sqref="A10:L15">
    <cfRule type="expression" dxfId="23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2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8" bestFit="1" customWidth="1"/>
    <col min="3" max="3" width="11.109375" style="130" hidden="1" customWidth="1"/>
    <col min="4" max="4" width="7.33203125" style="208" bestFit="1" customWidth="1"/>
    <col min="5" max="5" width="7.33203125" style="130" hidden="1" customWidth="1"/>
    <col min="6" max="6" width="11.109375" style="208" bestFit="1" customWidth="1"/>
    <col min="7" max="7" width="5.33203125" style="211" customWidth="1"/>
    <col min="8" max="8" width="7.33203125" style="208" bestFit="1" customWidth="1"/>
    <col min="9" max="9" width="5.33203125" style="211" customWidth="1"/>
    <col min="10" max="10" width="11.109375" style="208" customWidth="1"/>
    <col min="11" max="11" width="5.33203125" style="211" customWidth="1"/>
    <col min="12" max="12" width="7.33203125" style="208" customWidth="1"/>
    <col min="13" max="13" width="5.33203125" style="211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63" t="s">
        <v>151</v>
      </c>
      <c r="B1" s="363"/>
      <c r="C1" s="363"/>
      <c r="D1" s="363"/>
      <c r="E1" s="363"/>
      <c r="F1" s="363"/>
      <c r="G1" s="363"/>
      <c r="H1" s="363"/>
      <c r="I1" s="363"/>
      <c r="J1" s="326"/>
      <c r="K1" s="326"/>
      <c r="L1" s="326"/>
      <c r="M1" s="326"/>
    </row>
    <row r="2" spans="1:13" ht="14.4" customHeight="1" thickBot="1" x14ac:dyDescent="0.35">
      <c r="A2" s="235" t="s">
        <v>282</v>
      </c>
      <c r="B2" s="215"/>
      <c r="C2" s="207"/>
      <c r="D2" s="215"/>
      <c r="E2" s="207"/>
      <c r="F2" s="215"/>
      <c r="G2" s="216"/>
      <c r="H2" s="215"/>
      <c r="I2" s="216"/>
    </row>
    <row r="3" spans="1:13" ht="14.4" customHeight="1" thickBot="1" x14ac:dyDescent="0.35">
      <c r="A3" s="144"/>
      <c r="B3" s="380" t="s">
        <v>15</v>
      </c>
      <c r="C3" s="382"/>
      <c r="D3" s="379"/>
      <c r="E3" s="143"/>
      <c r="F3" s="379" t="s">
        <v>16</v>
      </c>
      <c r="G3" s="379"/>
      <c r="H3" s="379"/>
      <c r="I3" s="379"/>
      <c r="J3" s="379" t="s">
        <v>150</v>
      </c>
      <c r="K3" s="379"/>
      <c r="L3" s="379"/>
      <c r="M3" s="381"/>
    </row>
    <row r="4" spans="1:13" ht="14.4" customHeight="1" thickBot="1" x14ac:dyDescent="0.35">
      <c r="A4" s="492" t="s">
        <v>137</v>
      </c>
      <c r="B4" s="493" t="s">
        <v>19</v>
      </c>
      <c r="C4" s="512"/>
      <c r="D4" s="493" t="s">
        <v>20</v>
      </c>
      <c r="E4" s="512"/>
      <c r="F4" s="493" t="s">
        <v>19</v>
      </c>
      <c r="G4" s="496" t="s">
        <v>2</v>
      </c>
      <c r="H4" s="493" t="s">
        <v>20</v>
      </c>
      <c r="I4" s="496" t="s">
        <v>2</v>
      </c>
      <c r="J4" s="493" t="s">
        <v>19</v>
      </c>
      <c r="K4" s="496" t="s">
        <v>2</v>
      </c>
      <c r="L4" s="493" t="s">
        <v>20</v>
      </c>
      <c r="M4" s="497" t="s">
        <v>2</v>
      </c>
    </row>
    <row r="5" spans="1:13" ht="14.4" customHeight="1" x14ac:dyDescent="0.3">
      <c r="A5" s="509" t="s">
        <v>707</v>
      </c>
      <c r="B5" s="504">
        <v>6122.48</v>
      </c>
      <c r="C5" s="459">
        <v>1</v>
      </c>
      <c r="D5" s="514">
        <v>39</v>
      </c>
      <c r="E5" s="519" t="s">
        <v>707</v>
      </c>
      <c r="F5" s="504">
        <v>5503.3099999999995</v>
      </c>
      <c r="G5" s="481">
        <v>0.8988694123949772</v>
      </c>
      <c r="H5" s="462">
        <v>35</v>
      </c>
      <c r="I5" s="498">
        <v>0.89743589743589747</v>
      </c>
      <c r="J5" s="522">
        <v>619.17000000000007</v>
      </c>
      <c r="K5" s="481">
        <v>0.10113058760502282</v>
      </c>
      <c r="L5" s="462">
        <v>4</v>
      </c>
      <c r="M5" s="498">
        <v>0.10256410256410256</v>
      </c>
    </row>
    <row r="6" spans="1:13" ht="14.4" customHeight="1" x14ac:dyDescent="0.3">
      <c r="A6" s="510" t="s">
        <v>708</v>
      </c>
      <c r="B6" s="513">
        <v>2664.86</v>
      </c>
      <c r="C6" s="465">
        <v>1</v>
      </c>
      <c r="D6" s="515">
        <v>22</v>
      </c>
      <c r="E6" s="520" t="s">
        <v>708</v>
      </c>
      <c r="F6" s="513">
        <v>2471.7200000000003</v>
      </c>
      <c r="G6" s="517">
        <v>0.92752339710153631</v>
      </c>
      <c r="H6" s="468">
        <v>21</v>
      </c>
      <c r="I6" s="518">
        <v>0.95454545454545459</v>
      </c>
      <c r="J6" s="523">
        <v>193.14</v>
      </c>
      <c r="K6" s="517">
        <v>7.2476602898463707E-2</v>
      </c>
      <c r="L6" s="468">
        <v>1</v>
      </c>
      <c r="M6" s="518">
        <v>4.5454545454545456E-2</v>
      </c>
    </row>
    <row r="7" spans="1:13" ht="14.4" customHeight="1" x14ac:dyDescent="0.3">
      <c r="A7" s="510" t="s">
        <v>709</v>
      </c>
      <c r="B7" s="513">
        <v>23466.239999999991</v>
      </c>
      <c r="C7" s="465">
        <v>1</v>
      </c>
      <c r="D7" s="515">
        <v>68</v>
      </c>
      <c r="E7" s="520" t="s">
        <v>709</v>
      </c>
      <c r="F7" s="513">
        <v>22874.439999999991</v>
      </c>
      <c r="G7" s="517">
        <v>0.97478079146893581</v>
      </c>
      <c r="H7" s="468">
        <v>63</v>
      </c>
      <c r="I7" s="518">
        <v>0.92647058823529416</v>
      </c>
      <c r="J7" s="523">
        <v>591.79999999999995</v>
      </c>
      <c r="K7" s="517">
        <v>2.521920853106421E-2</v>
      </c>
      <c r="L7" s="468">
        <v>5</v>
      </c>
      <c r="M7" s="518">
        <v>7.3529411764705885E-2</v>
      </c>
    </row>
    <row r="8" spans="1:13" ht="14.4" customHeight="1" x14ac:dyDescent="0.3">
      <c r="A8" s="510" t="s">
        <v>710</v>
      </c>
      <c r="B8" s="513">
        <v>991.04000000000008</v>
      </c>
      <c r="C8" s="465">
        <v>1</v>
      </c>
      <c r="D8" s="515">
        <v>3</v>
      </c>
      <c r="E8" s="520" t="s">
        <v>710</v>
      </c>
      <c r="F8" s="513">
        <v>991.04000000000008</v>
      </c>
      <c r="G8" s="517">
        <v>1</v>
      </c>
      <c r="H8" s="468">
        <v>3</v>
      </c>
      <c r="I8" s="518">
        <v>1</v>
      </c>
      <c r="J8" s="523"/>
      <c r="K8" s="517">
        <v>0</v>
      </c>
      <c r="L8" s="468"/>
      <c r="M8" s="518">
        <v>0</v>
      </c>
    </row>
    <row r="9" spans="1:13" ht="14.4" customHeight="1" x14ac:dyDescent="0.3">
      <c r="A9" s="510" t="s">
        <v>711</v>
      </c>
      <c r="B9" s="513">
        <v>0</v>
      </c>
      <c r="C9" s="465"/>
      <c r="D9" s="515">
        <v>3</v>
      </c>
      <c r="E9" s="520" t="s">
        <v>711</v>
      </c>
      <c r="F9" s="513"/>
      <c r="G9" s="517"/>
      <c r="H9" s="468"/>
      <c r="I9" s="518">
        <v>0</v>
      </c>
      <c r="J9" s="523">
        <v>0</v>
      </c>
      <c r="K9" s="517"/>
      <c r="L9" s="468">
        <v>3</v>
      </c>
      <c r="M9" s="518">
        <v>1</v>
      </c>
    </row>
    <row r="10" spans="1:13" ht="14.4" customHeight="1" x14ac:dyDescent="0.3">
      <c r="A10" s="510" t="s">
        <v>712</v>
      </c>
      <c r="B10" s="513">
        <v>995.1</v>
      </c>
      <c r="C10" s="465">
        <v>1</v>
      </c>
      <c r="D10" s="515">
        <v>7</v>
      </c>
      <c r="E10" s="520" t="s">
        <v>712</v>
      </c>
      <c r="F10" s="513">
        <v>995.1</v>
      </c>
      <c r="G10" s="517">
        <v>1</v>
      </c>
      <c r="H10" s="468">
        <v>6</v>
      </c>
      <c r="I10" s="518">
        <v>0.8571428571428571</v>
      </c>
      <c r="J10" s="523">
        <v>0</v>
      </c>
      <c r="K10" s="517">
        <v>0</v>
      </c>
      <c r="L10" s="468">
        <v>1</v>
      </c>
      <c r="M10" s="518">
        <v>0.14285714285714285</v>
      </c>
    </row>
    <row r="11" spans="1:13" ht="14.4" customHeight="1" x14ac:dyDescent="0.3">
      <c r="A11" s="510" t="s">
        <v>713</v>
      </c>
      <c r="B11" s="513">
        <v>1155.8600000000001</v>
      </c>
      <c r="C11" s="465">
        <v>1</v>
      </c>
      <c r="D11" s="515">
        <v>6</v>
      </c>
      <c r="E11" s="520" t="s">
        <v>713</v>
      </c>
      <c r="F11" s="513">
        <v>1017.8600000000001</v>
      </c>
      <c r="G11" s="517">
        <v>0.88060837817728788</v>
      </c>
      <c r="H11" s="468">
        <v>5</v>
      </c>
      <c r="I11" s="518">
        <v>0.83333333333333337</v>
      </c>
      <c r="J11" s="523">
        <v>138</v>
      </c>
      <c r="K11" s="517">
        <v>0.11939162182271208</v>
      </c>
      <c r="L11" s="468">
        <v>1</v>
      </c>
      <c r="M11" s="518">
        <v>0.16666666666666666</v>
      </c>
    </row>
    <row r="12" spans="1:13" ht="14.4" customHeight="1" thickBot="1" x14ac:dyDescent="0.35">
      <c r="A12" s="511" t="s">
        <v>714</v>
      </c>
      <c r="B12" s="505">
        <v>56.69</v>
      </c>
      <c r="C12" s="471">
        <v>1</v>
      </c>
      <c r="D12" s="516">
        <v>1</v>
      </c>
      <c r="E12" s="521" t="s">
        <v>714</v>
      </c>
      <c r="F12" s="505">
        <v>56.69</v>
      </c>
      <c r="G12" s="482">
        <v>1</v>
      </c>
      <c r="H12" s="474">
        <v>1</v>
      </c>
      <c r="I12" s="499">
        <v>1</v>
      </c>
      <c r="J12" s="524"/>
      <c r="K12" s="482">
        <v>0</v>
      </c>
      <c r="L12" s="474"/>
      <c r="M12" s="499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36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9" customWidth="1"/>
    <col min="5" max="5" width="13.5546875" style="209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10" customWidth="1"/>
    <col min="13" max="13" width="11.109375" style="210" customWidth="1"/>
    <col min="14" max="14" width="7.77734375" style="130" customWidth="1"/>
    <col min="15" max="15" width="7.77734375" style="220" customWidth="1"/>
    <col min="16" max="16" width="11.109375" style="210" customWidth="1"/>
    <col min="17" max="17" width="5.44140625" style="211" bestFit="1" customWidth="1"/>
    <col min="18" max="18" width="7.77734375" style="130" customWidth="1"/>
    <col min="19" max="19" width="5.44140625" style="211" bestFit="1" customWidth="1"/>
    <col min="20" max="20" width="7.77734375" style="220" customWidth="1"/>
    <col min="21" max="21" width="5.44140625" style="211" bestFit="1" customWidth="1"/>
    <col min="22" max="16384" width="8.88671875" style="130"/>
  </cols>
  <sheetData>
    <row r="1" spans="1:21" ht="18.600000000000001" customHeight="1" thickBot="1" x14ac:dyDescent="0.4">
      <c r="A1" s="354" t="s">
        <v>1057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</row>
    <row r="2" spans="1:21" ht="14.4" customHeight="1" thickBot="1" x14ac:dyDescent="0.35">
      <c r="A2" s="235" t="s">
        <v>282</v>
      </c>
      <c r="B2" s="217"/>
      <c r="C2" s="207"/>
      <c r="D2" s="207"/>
      <c r="E2" s="218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</row>
    <row r="3" spans="1:21" ht="14.4" customHeight="1" thickBot="1" x14ac:dyDescent="0.35">
      <c r="A3" s="386"/>
      <c r="B3" s="387"/>
      <c r="C3" s="387"/>
      <c r="D3" s="387"/>
      <c r="E3" s="387"/>
      <c r="F3" s="387"/>
      <c r="G3" s="387"/>
      <c r="H3" s="387"/>
      <c r="I3" s="387"/>
      <c r="J3" s="387"/>
      <c r="K3" s="388" t="s">
        <v>129</v>
      </c>
      <c r="L3" s="389"/>
      <c r="M3" s="66">
        <f>SUBTOTAL(9,M7:M1048576)</f>
        <v>35452.270000000004</v>
      </c>
      <c r="N3" s="66">
        <f>SUBTOTAL(9,N7:N1048576)</f>
        <v>246</v>
      </c>
      <c r="O3" s="66">
        <f>SUBTOTAL(9,O7:O1048576)</f>
        <v>149</v>
      </c>
      <c r="P3" s="66">
        <f>SUBTOTAL(9,P7:P1048576)</f>
        <v>33910.160000000003</v>
      </c>
      <c r="Q3" s="67">
        <f>IF(M3=0,0,P3/M3)</f>
        <v>0.95650179805129543</v>
      </c>
      <c r="R3" s="66">
        <f>SUBTOTAL(9,R7:R1048576)</f>
        <v>221</v>
      </c>
      <c r="S3" s="67">
        <f>IF(N3=0,0,R3/N3)</f>
        <v>0.89837398373983735</v>
      </c>
      <c r="T3" s="66">
        <f>SUBTOTAL(9,T7:T1048576)</f>
        <v>134</v>
      </c>
      <c r="U3" s="68">
        <f>IF(O3=0,0,T3/O3)</f>
        <v>0.89932885906040272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90" t="s">
        <v>15</v>
      </c>
      <c r="N4" s="391"/>
      <c r="O4" s="391"/>
      <c r="P4" s="392" t="s">
        <v>21</v>
      </c>
      <c r="Q4" s="391"/>
      <c r="R4" s="391"/>
      <c r="S4" s="391"/>
      <c r="T4" s="391"/>
      <c r="U4" s="393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3" t="s">
        <v>22</v>
      </c>
      <c r="Q5" s="384"/>
      <c r="R5" s="383" t="s">
        <v>13</v>
      </c>
      <c r="S5" s="384"/>
      <c r="T5" s="383" t="s">
        <v>20</v>
      </c>
      <c r="U5" s="385"/>
    </row>
    <row r="6" spans="1:21" s="209" customFormat="1" ht="14.4" customHeight="1" thickBot="1" x14ac:dyDescent="0.35">
      <c r="A6" s="525" t="s">
        <v>23</v>
      </c>
      <c r="B6" s="526" t="s">
        <v>5</v>
      </c>
      <c r="C6" s="525" t="s">
        <v>24</v>
      </c>
      <c r="D6" s="526" t="s">
        <v>6</v>
      </c>
      <c r="E6" s="526" t="s">
        <v>153</v>
      </c>
      <c r="F6" s="526" t="s">
        <v>25</v>
      </c>
      <c r="G6" s="526" t="s">
        <v>26</v>
      </c>
      <c r="H6" s="526" t="s">
        <v>8</v>
      </c>
      <c r="I6" s="526" t="s">
        <v>10</v>
      </c>
      <c r="J6" s="526" t="s">
        <v>11</v>
      </c>
      <c r="K6" s="526" t="s">
        <v>12</v>
      </c>
      <c r="L6" s="526" t="s">
        <v>27</v>
      </c>
      <c r="M6" s="527" t="s">
        <v>14</v>
      </c>
      <c r="N6" s="528" t="s">
        <v>28</v>
      </c>
      <c r="O6" s="528" t="s">
        <v>28</v>
      </c>
      <c r="P6" s="528" t="s">
        <v>14</v>
      </c>
      <c r="Q6" s="528" t="s">
        <v>2</v>
      </c>
      <c r="R6" s="528" t="s">
        <v>28</v>
      </c>
      <c r="S6" s="528" t="s">
        <v>2</v>
      </c>
      <c r="T6" s="528" t="s">
        <v>28</v>
      </c>
      <c r="U6" s="529" t="s">
        <v>2</v>
      </c>
    </row>
    <row r="7" spans="1:21" ht="14.4" customHeight="1" x14ac:dyDescent="0.3">
      <c r="A7" s="530">
        <v>35</v>
      </c>
      <c r="B7" s="531" t="s">
        <v>690</v>
      </c>
      <c r="C7" s="531">
        <v>89301356</v>
      </c>
      <c r="D7" s="532" t="s">
        <v>1056</v>
      </c>
      <c r="E7" s="533" t="s">
        <v>707</v>
      </c>
      <c r="F7" s="531" t="s">
        <v>702</v>
      </c>
      <c r="G7" s="531" t="s">
        <v>715</v>
      </c>
      <c r="H7" s="531" t="s">
        <v>531</v>
      </c>
      <c r="I7" s="531" t="s">
        <v>716</v>
      </c>
      <c r="J7" s="531" t="s">
        <v>717</v>
      </c>
      <c r="K7" s="531" t="s">
        <v>718</v>
      </c>
      <c r="L7" s="534">
        <v>42.42</v>
      </c>
      <c r="M7" s="534">
        <v>42.42</v>
      </c>
      <c r="N7" s="531">
        <v>1</v>
      </c>
      <c r="O7" s="535">
        <v>1</v>
      </c>
      <c r="P7" s="534">
        <v>42.42</v>
      </c>
      <c r="Q7" s="536">
        <v>1</v>
      </c>
      <c r="R7" s="531">
        <v>1</v>
      </c>
      <c r="S7" s="536">
        <v>1</v>
      </c>
      <c r="T7" s="535">
        <v>1</v>
      </c>
      <c r="U7" s="122">
        <v>1</v>
      </c>
    </row>
    <row r="8" spans="1:21" ht="14.4" customHeight="1" x14ac:dyDescent="0.3">
      <c r="A8" s="464">
        <v>35</v>
      </c>
      <c r="B8" s="465" t="s">
        <v>690</v>
      </c>
      <c r="C8" s="465">
        <v>89301356</v>
      </c>
      <c r="D8" s="537" t="s">
        <v>1056</v>
      </c>
      <c r="E8" s="538" t="s">
        <v>707</v>
      </c>
      <c r="F8" s="465" t="s">
        <v>702</v>
      </c>
      <c r="G8" s="465" t="s">
        <v>719</v>
      </c>
      <c r="H8" s="465" t="s">
        <v>531</v>
      </c>
      <c r="I8" s="465" t="s">
        <v>720</v>
      </c>
      <c r="J8" s="465" t="s">
        <v>721</v>
      </c>
      <c r="K8" s="465" t="s">
        <v>722</v>
      </c>
      <c r="L8" s="466">
        <v>124.19</v>
      </c>
      <c r="M8" s="466">
        <v>124.19</v>
      </c>
      <c r="N8" s="465">
        <v>1</v>
      </c>
      <c r="O8" s="539">
        <v>0.5</v>
      </c>
      <c r="P8" s="466">
        <v>124.19</v>
      </c>
      <c r="Q8" s="517">
        <v>1</v>
      </c>
      <c r="R8" s="465">
        <v>1</v>
      </c>
      <c r="S8" s="517">
        <v>1</v>
      </c>
      <c r="T8" s="539">
        <v>0.5</v>
      </c>
      <c r="U8" s="518">
        <v>1</v>
      </c>
    </row>
    <row r="9" spans="1:21" ht="14.4" customHeight="1" x14ac:dyDescent="0.3">
      <c r="A9" s="464">
        <v>35</v>
      </c>
      <c r="B9" s="465" t="s">
        <v>690</v>
      </c>
      <c r="C9" s="465">
        <v>89301356</v>
      </c>
      <c r="D9" s="537" t="s">
        <v>1056</v>
      </c>
      <c r="E9" s="538" t="s">
        <v>707</v>
      </c>
      <c r="F9" s="465" t="s">
        <v>702</v>
      </c>
      <c r="G9" s="465" t="s">
        <v>723</v>
      </c>
      <c r="H9" s="465" t="s">
        <v>682</v>
      </c>
      <c r="I9" s="465" t="s">
        <v>724</v>
      </c>
      <c r="J9" s="465" t="s">
        <v>725</v>
      </c>
      <c r="K9" s="465" t="s">
        <v>726</v>
      </c>
      <c r="L9" s="466">
        <v>178.27</v>
      </c>
      <c r="M9" s="466">
        <v>356.54</v>
      </c>
      <c r="N9" s="465">
        <v>2</v>
      </c>
      <c r="O9" s="539">
        <v>1</v>
      </c>
      <c r="P9" s="466"/>
      <c r="Q9" s="517">
        <v>0</v>
      </c>
      <c r="R9" s="465"/>
      <c r="S9" s="517">
        <v>0</v>
      </c>
      <c r="T9" s="539"/>
      <c r="U9" s="518">
        <v>0</v>
      </c>
    </row>
    <row r="10" spans="1:21" ht="14.4" customHeight="1" x14ac:dyDescent="0.3">
      <c r="A10" s="464">
        <v>35</v>
      </c>
      <c r="B10" s="465" t="s">
        <v>690</v>
      </c>
      <c r="C10" s="465">
        <v>89301356</v>
      </c>
      <c r="D10" s="537" t="s">
        <v>1056</v>
      </c>
      <c r="E10" s="538" t="s">
        <v>707</v>
      </c>
      <c r="F10" s="465" t="s">
        <v>702</v>
      </c>
      <c r="G10" s="465" t="s">
        <v>723</v>
      </c>
      <c r="H10" s="465" t="s">
        <v>682</v>
      </c>
      <c r="I10" s="465" t="s">
        <v>724</v>
      </c>
      <c r="J10" s="465" t="s">
        <v>725</v>
      </c>
      <c r="K10" s="465" t="s">
        <v>726</v>
      </c>
      <c r="L10" s="466">
        <v>184.22</v>
      </c>
      <c r="M10" s="466">
        <v>184.22</v>
      </c>
      <c r="N10" s="465">
        <v>1</v>
      </c>
      <c r="O10" s="539">
        <v>1</v>
      </c>
      <c r="P10" s="466">
        <v>184.22</v>
      </c>
      <c r="Q10" s="517">
        <v>1</v>
      </c>
      <c r="R10" s="465">
        <v>1</v>
      </c>
      <c r="S10" s="517">
        <v>1</v>
      </c>
      <c r="T10" s="539">
        <v>1</v>
      </c>
      <c r="U10" s="518">
        <v>1</v>
      </c>
    </row>
    <row r="11" spans="1:21" ht="14.4" customHeight="1" x14ac:dyDescent="0.3">
      <c r="A11" s="464">
        <v>35</v>
      </c>
      <c r="B11" s="465" t="s">
        <v>690</v>
      </c>
      <c r="C11" s="465">
        <v>89301356</v>
      </c>
      <c r="D11" s="537" t="s">
        <v>1056</v>
      </c>
      <c r="E11" s="538" t="s">
        <v>707</v>
      </c>
      <c r="F11" s="465" t="s">
        <v>702</v>
      </c>
      <c r="G11" s="465" t="s">
        <v>727</v>
      </c>
      <c r="H11" s="465" t="s">
        <v>531</v>
      </c>
      <c r="I11" s="465" t="s">
        <v>728</v>
      </c>
      <c r="J11" s="465" t="s">
        <v>729</v>
      </c>
      <c r="K11" s="465" t="s">
        <v>730</v>
      </c>
      <c r="L11" s="466">
        <v>115.3</v>
      </c>
      <c r="M11" s="466">
        <v>230.6</v>
      </c>
      <c r="N11" s="465">
        <v>2</v>
      </c>
      <c r="O11" s="539">
        <v>1</v>
      </c>
      <c r="P11" s="466">
        <v>230.6</v>
      </c>
      <c r="Q11" s="517">
        <v>1</v>
      </c>
      <c r="R11" s="465">
        <v>2</v>
      </c>
      <c r="S11" s="517">
        <v>1</v>
      </c>
      <c r="T11" s="539">
        <v>1</v>
      </c>
      <c r="U11" s="518">
        <v>1</v>
      </c>
    </row>
    <row r="12" spans="1:21" ht="14.4" customHeight="1" x14ac:dyDescent="0.3">
      <c r="A12" s="464">
        <v>35</v>
      </c>
      <c r="B12" s="465" t="s">
        <v>690</v>
      </c>
      <c r="C12" s="465">
        <v>89301356</v>
      </c>
      <c r="D12" s="537" t="s">
        <v>1056</v>
      </c>
      <c r="E12" s="538" t="s">
        <v>707</v>
      </c>
      <c r="F12" s="465" t="s">
        <v>702</v>
      </c>
      <c r="G12" s="465" t="s">
        <v>727</v>
      </c>
      <c r="H12" s="465" t="s">
        <v>531</v>
      </c>
      <c r="I12" s="465" t="s">
        <v>731</v>
      </c>
      <c r="J12" s="465" t="s">
        <v>729</v>
      </c>
      <c r="K12" s="465" t="s">
        <v>732</v>
      </c>
      <c r="L12" s="466">
        <v>230.59</v>
      </c>
      <c r="M12" s="466">
        <v>691.77</v>
      </c>
      <c r="N12" s="465">
        <v>3</v>
      </c>
      <c r="O12" s="539">
        <v>1.5</v>
      </c>
      <c r="P12" s="466">
        <v>691.77</v>
      </c>
      <c r="Q12" s="517">
        <v>1</v>
      </c>
      <c r="R12" s="465">
        <v>3</v>
      </c>
      <c r="S12" s="517">
        <v>1</v>
      </c>
      <c r="T12" s="539">
        <v>1.5</v>
      </c>
      <c r="U12" s="518">
        <v>1</v>
      </c>
    </row>
    <row r="13" spans="1:21" ht="14.4" customHeight="1" x14ac:dyDescent="0.3">
      <c r="A13" s="464">
        <v>35</v>
      </c>
      <c r="B13" s="465" t="s">
        <v>690</v>
      </c>
      <c r="C13" s="465">
        <v>89301356</v>
      </c>
      <c r="D13" s="537" t="s">
        <v>1056</v>
      </c>
      <c r="E13" s="538" t="s">
        <v>707</v>
      </c>
      <c r="F13" s="465" t="s">
        <v>702</v>
      </c>
      <c r="G13" s="465" t="s">
        <v>733</v>
      </c>
      <c r="H13" s="465" t="s">
        <v>531</v>
      </c>
      <c r="I13" s="465" t="s">
        <v>734</v>
      </c>
      <c r="J13" s="465" t="s">
        <v>735</v>
      </c>
      <c r="K13" s="465" t="s">
        <v>736</v>
      </c>
      <c r="L13" s="466">
        <v>0</v>
      </c>
      <c r="M13" s="466">
        <v>0</v>
      </c>
      <c r="N13" s="465">
        <v>1</v>
      </c>
      <c r="O13" s="539">
        <v>1</v>
      </c>
      <c r="P13" s="466">
        <v>0</v>
      </c>
      <c r="Q13" s="517"/>
      <c r="R13" s="465">
        <v>1</v>
      </c>
      <c r="S13" s="517">
        <v>1</v>
      </c>
      <c r="T13" s="539">
        <v>1</v>
      </c>
      <c r="U13" s="518">
        <v>1</v>
      </c>
    </row>
    <row r="14" spans="1:21" ht="14.4" customHeight="1" x14ac:dyDescent="0.3">
      <c r="A14" s="464">
        <v>35</v>
      </c>
      <c r="B14" s="465" t="s">
        <v>690</v>
      </c>
      <c r="C14" s="465">
        <v>89301356</v>
      </c>
      <c r="D14" s="537" t="s">
        <v>1056</v>
      </c>
      <c r="E14" s="538" t="s">
        <v>707</v>
      </c>
      <c r="F14" s="465" t="s">
        <v>702</v>
      </c>
      <c r="G14" s="465" t="s">
        <v>737</v>
      </c>
      <c r="H14" s="465" t="s">
        <v>531</v>
      </c>
      <c r="I14" s="465" t="s">
        <v>738</v>
      </c>
      <c r="J14" s="465" t="s">
        <v>739</v>
      </c>
      <c r="K14" s="465" t="s">
        <v>740</v>
      </c>
      <c r="L14" s="466">
        <v>50.27</v>
      </c>
      <c r="M14" s="466">
        <v>150.81</v>
      </c>
      <c r="N14" s="465">
        <v>3</v>
      </c>
      <c r="O14" s="539">
        <v>2</v>
      </c>
      <c r="P14" s="466">
        <v>150.81</v>
      </c>
      <c r="Q14" s="517">
        <v>1</v>
      </c>
      <c r="R14" s="465">
        <v>3</v>
      </c>
      <c r="S14" s="517">
        <v>1</v>
      </c>
      <c r="T14" s="539">
        <v>2</v>
      </c>
      <c r="U14" s="518">
        <v>1</v>
      </c>
    </row>
    <row r="15" spans="1:21" ht="14.4" customHeight="1" x14ac:dyDescent="0.3">
      <c r="A15" s="464">
        <v>35</v>
      </c>
      <c r="B15" s="465" t="s">
        <v>690</v>
      </c>
      <c r="C15" s="465">
        <v>89301356</v>
      </c>
      <c r="D15" s="537" t="s">
        <v>1056</v>
      </c>
      <c r="E15" s="538" t="s">
        <v>707</v>
      </c>
      <c r="F15" s="465" t="s">
        <v>702</v>
      </c>
      <c r="G15" s="465" t="s">
        <v>741</v>
      </c>
      <c r="H15" s="465" t="s">
        <v>531</v>
      </c>
      <c r="I15" s="465" t="s">
        <v>557</v>
      </c>
      <c r="J15" s="465" t="s">
        <v>558</v>
      </c>
      <c r="K15" s="465" t="s">
        <v>742</v>
      </c>
      <c r="L15" s="466">
        <v>0</v>
      </c>
      <c r="M15" s="466">
        <v>0</v>
      </c>
      <c r="N15" s="465">
        <v>1</v>
      </c>
      <c r="O15" s="539">
        <v>0.5</v>
      </c>
      <c r="P15" s="466"/>
      <c r="Q15" s="517"/>
      <c r="R15" s="465"/>
      <c r="S15" s="517">
        <v>0</v>
      </c>
      <c r="T15" s="539"/>
      <c r="U15" s="518">
        <v>0</v>
      </c>
    </row>
    <row r="16" spans="1:21" ht="14.4" customHeight="1" x14ac:dyDescent="0.3">
      <c r="A16" s="464">
        <v>35</v>
      </c>
      <c r="B16" s="465" t="s">
        <v>690</v>
      </c>
      <c r="C16" s="465">
        <v>89301356</v>
      </c>
      <c r="D16" s="537" t="s">
        <v>1056</v>
      </c>
      <c r="E16" s="538" t="s">
        <v>707</v>
      </c>
      <c r="F16" s="465" t="s">
        <v>702</v>
      </c>
      <c r="G16" s="465" t="s">
        <v>743</v>
      </c>
      <c r="H16" s="465" t="s">
        <v>531</v>
      </c>
      <c r="I16" s="465" t="s">
        <v>744</v>
      </c>
      <c r="J16" s="465" t="s">
        <v>745</v>
      </c>
      <c r="K16" s="465" t="s">
        <v>746</v>
      </c>
      <c r="L16" s="466">
        <v>59.82</v>
      </c>
      <c r="M16" s="466">
        <v>59.82</v>
      </c>
      <c r="N16" s="465">
        <v>1</v>
      </c>
      <c r="O16" s="539">
        <v>0.5</v>
      </c>
      <c r="P16" s="466">
        <v>59.82</v>
      </c>
      <c r="Q16" s="517">
        <v>1</v>
      </c>
      <c r="R16" s="465">
        <v>1</v>
      </c>
      <c r="S16" s="517">
        <v>1</v>
      </c>
      <c r="T16" s="539">
        <v>0.5</v>
      </c>
      <c r="U16" s="518">
        <v>1</v>
      </c>
    </row>
    <row r="17" spans="1:21" ht="14.4" customHeight="1" x14ac:dyDescent="0.3">
      <c r="A17" s="464">
        <v>35</v>
      </c>
      <c r="B17" s="465" t="s">
        <v>690</v>
      </c>
      <c r="C17" s="465">
        <v>89301356</v>
      </c>
      <c r="D17" s="537" t="s">
        <v>1056</v>
      </c>
      <c r="E17" s="538" t="s">
        <v>707</v>
      </c>
      <c r="F17" s="465" t="s">
        <v>702</v>
      </c>
      <c r="G17" s="465" t="s">
        <v>747</v>
      </c>
      <c r="H17" s="465" t="s">
        <v>531</v>
      </c>
      <c r="I17" s="465" t="s">
        <v>748</v>
      </c>
      <c r="J17" s="465" t="s">
        <v>749</v>
      </c>
      <c r="K17" s="465" t="s">
        <v>750</v>
      </c>
      <c r="L17" s="466">
        <v>0</v>
      </c>
      <c r="M17" s="466">
        <v>0</v>
      </c>
      <c r="N17" s="465">
        <v>1</v>
      </c>
      <c r="O17" s="539">
        <v>0.5</v>
      </c>
      <c r="P17" s="466">
        <v>0</v>
      </c>
      <c r="Q17" s="517"/>
      <c r="R17" s="465">
        <v>1</v>
      </c>
      <c r="S17" s="517">
        <v>1</v>
      </c>
      <c r="T17" s="539">
        <v>0.5</v>
      </c>
      <c r="U17" s="518">
        <v>1</v>
      </c>
    </row>
    <row r="18" spans="1:21" ht="14.4" customHeight="1" x14ac:dyDescent="0.3">
      <c r="A18" s="464">
        <v>35</v>
      </c>
      <c r="B18" s="465" t="s">
        <v>690</v>
      </c>
      <c r="C18" s="465">
        <v>89301356</v>
      </c>
      <c r="D18" s="537" t="s">
        <v>1056</v>
      </c>
      <c r="E18" s="538" t="s">
        <v>707</v>
      </c>
      <c r="F18" s="465" t="s">
        <v>702</v>
      </c>
      <c r="G18" s="465" t="s">
        <v>747</v>
      </c>
      <c r="H18" s="465" t="s">
        <v>531</v>
      </c>
      <c r="I18" s="465" t="s">
        <v>751</v>
      </c>
      <c r="J18" s="465" t="s">
        <v>752</v>
      </c>
      <c r="K18" s="465" t="s">
        <v>753</v>
      </c>
      <c r="L18" s="466">
        <v>0</v>
      </c>
      <c r="M18" s="466">
        <v>0</v>
      </c>
      <c r="N18" s="465">
        <v>1</v>
      </c>
      <c r="O18" s="539">
        <v>0.5</v>
      </c>
      <c r="P18" s="466">
        <v>0</v>
      </c>
      <c r="Q18" s="517"/>
      <c r="R18" s="465">
        <v>1</v>
      </c>
      <c r="S18" s="517">
        <v>1</v>
      </c>
      <c r="T18" s="539">
        <v>0.5</v>
      </c>
      <c r="U18" s="518">
        <v>1</v>
      </c>
    </row>
    <row r="19" spans="1:21" ht="14.4" customHeight="1" x14ac:dyDescent="0.3">
      <c r="A19" s="464">
        <v>35</v>
      </c>
      <c r="B19" s="465" t="s">
        <v>690</v>
      </c>
      <c r="C19" s="465">
        <v>89301356</v>
      </c>
      <c r="D19" s="537" t="s">
        <v>1056</v>
      </c>
      <c r="E19" s="538" t="s">
        <v>707</v>
      </c>
      <c r="F19" s="465" t="s">
        <v>702</v>
      </c>
      <c r="G19" s="465" t="s">
        <v>754</v>
      </c>
      <c r="H19" s="465" t="s">
        <v>531</v>
      </c>
      <c r="I19" s="465" t="s">
        <v>755</v>
      </c>
      <c r="J19" s="465" t="s">
        <v>756</v>
      </c>
      <c r="K19" s="465" t="s">
        <v>757</v>
      </c>
      <c r="L19" s="466">
        <v>38.65</v>
      </c>
      <c r="M19" s="466">
        <v>38.65</v>
      </c>
      <c r="N19" s="465">
        <v>1</v>
      </c>
      <c r="O19" s="539">
        <v>0.5</v>
      </c>
      <c r="P19" s="466"/>
      <c r="Q19" s="517">
        <v>0</v>
      </c>
      <c r="R19" s="465"/>
      <c r="S19" s="517">
        <v>0</v>
      </c>
      <c r="T19" s="539"/>
      <c r="U19" s="518">
        <v>0</v>
      </c>
    </row>
    <row r="20" spans="1:21" ht="14.4" customHeight="1" x14ac:dyDescent="0.3">
      <c r="A20" s="464">
        <v>35</v>
      </c>
      <c r="B20" s="465" t="s">
        <v>690</v>
      </c>
      <c r="C20" s="465">
        <v>89301356</v>
      </c>
      <c r="D20" s="537" t="s">
        <v>1056</v>
      </c>
      <c r="E20" s="538" t="s">
        <v>707</v>
      </c>
      <c r="F20" s="465" t="s">
        <v>702</v>
      </c>
      <c r="G20" s="465" t="s">
        <v>758</v>
      </c>
      <c r="H20" s="465" t="s">
        <v>682</v>
      </c>
      <c r="I20" s="465" t="s">
        <v>759</v>
      </c>
      <c r="J20" s="465" t="s">
        <v>760</v>
      </c>
      <c r="K20" s="465" t="s">
        <v>761</v>
      </c>
      <c r="L20" s="466">
        <v>50.57</v>
      </c>
      <c r="M20" s="466">
        <v>151.71</v>
      </c>
      <c r="N20" s="465">
        <v>3</v>
      </c>
      <c r="O20" s="539">
        <v>1.5</v>
      </c>
      <c r="P20" s="466">
        <v>151.71</v>
      </c>
      <c r="Q20" s="517">
        <v>1</v>
      </c>
      <c r="R20" s="465">
        <v>3</v>
      </c>
      <c r="S20" s="517">
        <v>1</v>
      </c>
      <c r="T20" s="539">
        <v>1.5</v>
      </c>
      <c r="U20" s="518">
        <v>1</v>
      </c>
    </row>
    <row r="21" spans="1:21" ht="14.4" customHeight="1" x14ac:dyDescent="0.3">
      <c r="A21" s="464">
        <v>35</v>
      </c>
      <c r="B21" s="465" t="s">
        <v>690</v>
      </c>
      <c r="C21" s="465">
        <v>89301356</v>
      </c>
      <c r="D21" s="537" t="s">
        <v>1056</v>
      </c>
      <c r="E21" s="538" t="s">
        <v>707</v>
      </c>
      <c r="F21" s="465" t="s">
        <v>702</v>
      </c>
      <c r="G21" s="465" t="s">
        <v>762</v>
      </c>
      <c r="H21" s="465" t="s">
        <v>531</v>
      </c>
      <c r="I21" s="465" t="s">
        <v>763</v>
      </c>
      <c r="J21" s="465" t="s">
        <v>764</v>
      </c>
      <c r="K21" s="465" t="s">
        <v>765</v>
      </c>
      <c r="L21" s="466">
        <v>0</v>
      </c>
      <c r="M21" s="466">
        <v>0</v>
      </c>
      <c r="N21" s="465">
        <v>3</v>
      </c>
      <c r="O21" s="539">
        <v>1.5</v>
      </c>
      <c r="P21" s="466">
        <v>0</v>
      </c>
      <c r="Q21" s="517"/>
      <c r="R21" s="465">
        <v>3</v>
      </c>
      <c r="S21" s="517">
        <v>1</v>
      </c>
      <c r="T21" s="539">
        <v>1.5</v>
      </c>
      <c r="U21" s="518">
        <v>1</v>
      </c>
    </row>
    <row r="22" spans="1:21" ht="14.4" customHeight="1" x14ac:dyDescent="0.3">
      <c r="A22" s="464">
        <v>35</v>
      </c>
      <c r="B22" s="465" t="s">
        <v>690</v>
      </c>
      <c r="C22" s="465">
        <v>89301356</v>
      </c>
      <c r="D22" s="537" t="s">
        <v>1056</v>
      </c>
      <c r="E22" s="538" t="s">
        <v>707</v>
      </c>
      <c r="F22" s="465" t="s">
        <v>702</v>
      </c>
      <c r="G22" s="465" t="s">
        <v>762</v>
      </c>
      <c r="H22" s="465" t="s">
        <v>531</v>
      </c>
      <c r="I22" s="465" t="s">
        <v>766</v>
      </c>
      <c r="J22" s="465" t="s">
        <v>764</v>
      </c>
      <c r="K22" s="465" t="s">
        <v>767</v>
      </c>
      <c r="L22" s="466">
        <v>0</v>
      </c>
      <c r="M22" s="466">
        <v>0</v>
      </c>
      <c r="N22" s="465">
        <v>1</v>
      </c>
      <c r="O22" s="539">
        <v>0.5</v>
      </c>
      <c r="P22" s="466">
        <v>0</v>
      </c>
      <c r="Q22" s="517"/>
      <c r="R22" s="465">
        <v>1</v>
      </c>
      <c r="S22" s="517">
        <v>1</v>
      </c>
      <c r="T22" s="539">
        <v>0.5</v>
      </c>
      <c r="U22" s="518">
        <v>1</v>
      </c>
    </row>
    <row r="23" spans="1:21" ht="14.4" customHeight="1" x14ac:dyDescent="0.3">
      <c r="A23" s="464">
        <v>35</v>
      </c>
      <c r="B23" s="465" t="s">
        <v>690</v>
      </c>
      <c r="C23" s="465">
        <v>89301356</v>
      </c>
      <c r="D23" s="537" t="s">
        <v>1056</v>
      </c>
      <c r="E23" s="538" t="s">
        <v>707</v>
      </c>
      <c r="F23" s="465" t="s">
        <v>702</v>
      </c>
      <c r="G23" s="465" t="s">
        <v>768</v>
      </c>
      <c r="H23" s="465" t="s">
        <v>531</v>
      </c>
      <c r="I23" s="465" t="s">
        <v>769</v>
      </c>
      <c r="J23" s="465" t="s">
        <v>770</v>
      </c>
      <c r="K23" s="465" t="s">
        <v>736</v>
      </c>
      <c r="L23" s="466">
        <v>120.37</v>
      </c>
      <c r="M23" s="466">
        <v>120.37</v>
      </c>
      <c r="N23" s="465">
        <v>1</v>
      </c>
      <c r="O23" s="539">
        <v>1</v>
      </c>
      <c r="P23" s="466"/>
      <c r="Q23" s="517">
        <v>0</v>
      </c>
      <c r="R23" s="465"/>
      <c r="S23" s="517">
        <v>0</v>
      </c>
      <c r="T23" s="539"/>
      <c r="U23" s="518">
        <v>0</v>
      </c>
    </row>
    <row r="24" spans="1:21" ht="14.4" customHeight="1" x14ac:dyDescent="0.3">
      <c r="A24" s="464">
        <v>35</v>
      </c>
      <c r="B24" s="465" t="s">
        <v>690</v>
      </c>
      <c r="C24" s="465">
        <v>89301356</v>
      </c>
      <c r="D24" s="537" t="s">
        <v>1056</v>
      </c>
      <c r="E24" s="538" t="s">
        <v>707</v>
      </c>
      <c r="F24" s="465" t="s">
        <v>702</v>
      </c>
      <c r="G24" s="465" t="s">
        <v>771</v>
      </c>
      <c r="H24" s="465" t="s">
        <v>531</v>
      </c>
      <c r="I24" s="465" t="s">
        <v>772</v>
      </c>
      <c r="J24" s="465" t="s">
        <v>773</v>
      </c>
      <c r="K24" s="465" t="s">
        <v>774</v>
      </c>
      <c r="L24" s="466">
        <v>153.52000000000001</v>
      </c>
      <c r="M24" s="466">
        <v>307.04000000000002</v>
      </c>
      <c r="N24" s="465">
        <v>2</v>
      </c>
      <c r="O24" s="539">
        <v>2</v>
      </c>
      <c r="P24" s="466">
        <v>307.04000000000002</v>
      </c>
      <c r="Q24" s="517">
        <v>1</v>
      </c>
      <c r="R24" s="465">
        <v>2</v>
      </c>
      <c r="S24" s="517">
        <v>1</v>
      </c>
      <c r="T24" s="539">
        <v>2</v>
      </c>
      <c r="U24" s="518">
        <v>1</v>
      </c>
    </row>
    <row r="25" spans="1:21" ht="14.4" customHeight="1" x14ac:dyDescent="0.3">
      <c r="A25" s="464">
        <v>35</v>
      </c>
      <c r="B25" s="465" t="s">
        <v>690</v>
      </c>
      <c r="C25" s="465">
        <v>89301356</v>
      </c>
      <c r="D25" s="537" t="s">
        <v>1056</v>
      </c>
      <c r="E25" s="538" t="s">
        <v>707</v>
      </c>
      <c r="F25" s="465" t="s">
        <v>702</v>
      </c>
      <c r="G25" s="465" t="s">
        <v>775</v>
      </c>
      <c r="H25" s="465" t="s">
        <v>531</v>
      </c>
      <c r="I25" s="465" t="s">
        <v>776</v>
      </c>
      <c r="J25" s="465" t="s">
        <v>777</v>
      </c>
      <c r="K25" s="465" t="s">
        <v>778</v>
      </c>
      <c r="L25" s="466">
        <v>228.89</v>
      </c>
      <c r="M25" s="466">
        <v>228.89</v>
      </c>
      <c r="N25" s="465">
        <v>1</v>
      </c>
      <c r="O25" s="539">
        <v>0.5</v>
      </c>
      <c r="P25" s="466">
        <v>228.89</v>
      </c>
      <c r="Q25" s="517">
        <v>1</v>
      </c>
      <c r="R25" s="465">
        <v>1</v>
      </c>
      <c r="S25" s="517">
        <v>1</v>
      </c>
      <c r="T25" s="539">
        <v>0.5</v>
      </c>
      <c r="U25" s="518">
        <v>1</v>
      </c>
    </row>
    <row r="26" spans="1:21" ht="14.4" customHeight="1" x14ac:dyDescent="0.3">
      <c r="A26" s="464">
        <v>35</v>
      </c>
      <c r="B26" s="465" t="s">
        <v>690</v>
      </c>
      <c r="C26" s="465">
        <v>89301356</v>
      </c>
      <c r="D26" s="537" t="s">
        <v>1056</v>
      </c>
      <c r="E26" s="538" t="s">
        <v>707</v>
      </c>
      <c r="F26" s="465" t="s">
        <v>702</v>
      </c>
      <c r="G26" s="465" t="s">
        <v>779</v>
      </c>
      <c r="H26" s="465" t="s">
        <v>682</v>
      </c>
      <c r="I26" s="465" t="s">
        <v>780</v>
      </c>
      <c r="J26" s="465" t="s">
        <v>781</v>
      </c>
      <c r="K26" s="465" t="s">
        <v>782</v>
      </c>
      <c r="L26" s="466">
        <v>0</v>
      </c>
      <c r="M26" s="466">
        <v>0</v>
      </c>
      <c r="N26" s="465">
        <v>1</v>
      </c>
      <c r="O26" s="539">
        <v>1</v>
      </c>
      <c r="P26" s="466">
        <v>0</v>
      </c>
      <c r="Q26" s="517"/>
      <c r="R26" s="465">
        <v>1</v>
      </c>
      <c r="S26" s="517">
        <v>1</v>
      </c>
      <c r="T26" s="539">
        <v>1</v>
      </c>
      <c r="U26" s="518">
        <v>1</v>
      </c>
    </row>
    <row r="27" spans="1:21" ht="14.4" customHeight="1" x14ac:dyDescent="0.3">
      <c r="A27" s="464">
        <v>35</v>
      </c>
      <c r="B27" s="465" t="s">
        <v>690</v>
      </c>
      <c r="C27" s="465">
        <v>89301356</v>
      </c>
      <c r="D27" s="537" t="s">
        <v>1056</v>
      </c>
      <c r="E27" s="538" t="s">
        <v>707</v>
      </c>
      <c r="F27" s="465" t="s">
        <v>702</v>
      </c>
      <c r="G27" s="465" t="s">
        <v>783</v>
      </c>
      <c r="H27" s="465" t="s">
        <v>531</v>
      </c>
      <c r="I27" s="465" t="s">
        <v>784</v>
      </c>
      <c r="J27" s="465" t="s">
        <v>785</v>
      </c>
      <c r="K27" s="465" t="s">
        <v>786</v>
      </c>
      <c r="L27" s="466">
        <v>0</v>
      </c>
      <c r="M27" s="466">
        <v>0</v>
      </c>
      <c r="N27" s="465">
        <v>1</v>
      </c>
      <c r="O27" s="539">
        <v>0.5</v>
      </c>
      <c r="P27" s="466">
        <v>0</v>
      </c>
      <c r="Q27" s="517"/>
      <c r="R27" s="465">
        <v>1</v>
      </c>
      <c r="S27" s="517">
        <v>1</v>
      </c>
      <c r="T27" s="539">
        <v>0.5</v>
      </c>
      <c r="U27" s="518">
        <v>1</v>
      </c>
    </row>
    <row r="28" spans="1:21" ht="14.4" customHeight="1" x14ac:dyDescent="0.3">
      <c r="A28" s="464">
        <v>35</v>
      </c>
      <c r="B28" s="465" t="s">
        <v>690</v>
      </c>
      <c r="C28" s="465">
        <v>89301356</v>
      </c>
      <c r="D28" s="537" t="s">
        <v>1056</v>
      </c>
      <c r="E28" s="538" t="s">
        <v>707</v>
      </c>
      <c r="F28" s="465" t="s">
        <v>702</v>
      </c>
      <c r="G28" s="465" t="s">
        <v>787</v>
      </c>
      <c r="H28" s="465" t="s">
        <v>531</v>
      </c>
      <c r="I28" s="465" t="s">
        <v>788</v>
      </c>
      <c r="J28" s="465" t="s">
        <v>664</v>
      </c>
      <c r="K28" s="465" t="s">
        <v>789</v>
      </c>
      <c r="L28" s="466">
        <v>56.69</v>
      </c>
      <c r="M28" s="466">
        <v>56.69</v>
      </c>
      <c r="N28" s="465">
        <v>1</v>
      </c>
      <c r="O28" s="539">
        <v>0.5</v>
      </c>
      <c r="P28" s="466"/>
      <c r="Q28" s="517">
        <v>0</v>
      </c>
      <c r="R28" s="465"/>
      <c r="S28" s="517">
        <v>0</v>
      </c>
      <c r="T28" s="539"/>
      <c r="U28" s="518">
        <v>0</v>
      </c>
    </row>
    <row r="29" spans="1:21" ht="14.4" customHeight="1" x14ac:dyDescent="0.3">
      <c r="A29" s="464">
        <v>35</v>
      </c>
      <c r="B29" s="465" t="s">
        <v>690</v>
      </c>
      <c r="C29" s="465">
        <v>89301356</v>
      </c>
      <c r="D29" s="537" t="s">
        <v>1056</v>
      </c>
      <c r="E29" s="538" t="s">
        <v>707</v>
      </c>
      <c r="F29" s="465" t="s">
        <v>702</v>
      </c>
      <c r="G29" s="465" t="s">
        <v>787</v>
      </c>
      <c r="H29" s="465" t="s">
        <v>531</v>
      </c>
      <c r="I29" s="465" t="s">
        <v>790</v>
      </c>
      <c r="J29" s="465" t="s">
        <v>791</v>
      </c>
      <c r="K29" s="465" t="s">
        <v>792</v>
      </c>
      <c r="L29" s="466">
        <v>125.55</v>
      </c>
      <c r="M29" s="466">
        <v>125.55</v>
      </c>
      <c r="N29" s="465">
        <v>1</v>
      </c>
      <c r="O29" s="539">
        <v>0.5</v>
      </c>
      <c r="P29" s="466">
        <v>125.55</v>
      </c>
      <c r="Q29" s="517">
        <v>1</v>
      </c>
      <c r="R29" s="465">
        <v>1</v>
      </c>
      <c r="S29" s="517">
        <v>1</v>
      </c>
      <c r="T29" s="539">
        <v>0.5</v>
      </c>
      <c r="U29" s="518">
        <v>1</v>
      </c>
    </row>
    <row r="30" spans="1:21" ht="14.4" customHeight="1" x14ac:dyDescent="0.3">
      <c r="A30" s="464">
        <v>35</v>
      </c>
      <c r="B30" s="465" t="s">
        <v>690</v>
      </c>
      <c r="C30" s="465">
        <v>89301356</v>
      </c>
      <c r="D30" s="537" t="s">
        <v>1056</v>
      </c>
      <c r="E30" s="538" t="s">
        <v>707</v>
      </c>
      <c r="F30" s="465" t="s">
        <v>702</v>
      </c>
      <c r="G30" s="465" t="s">
        <v>793</v>
      </c>
      <c r="H30" s="465" t="s">
        <v>531</v>
      </c>
      <c r="I30" s="465" t="s">
        <v>794</v>
      </c>
      <c r="J30" s="465" t="s">
        <v>795</v>
      </c>
      <c r="K30" s="465" t="s">
        <v>796</v>
      </c>
      <c r="L30" s="466">
        <v>73.260000000000005</v>
      </c>
      <c r="M30" s="466">
        <v>73.260000000000005</v>
      </c>
      <c r="N30" s="465">
        <v>1</v>
      </c>
      <c r="O30" s="539">
        <v>0.5</v>
      </c>
      <c r="P30" s="466">
        <v>73.260000000000005</v>
      </c>
      <c r="Q30" s="517">
        <v>1</v>
      </c>
      <c r="R30" s="465">
        <v>1</v>
      </c>
      <c r="S30" s="517">
        <v>1</v>
      </c>
      <c r="T30" s="539">
        <v>0.5</v>
      </c>
      <c r="U30" s="518">
        <v>1</v>
      </c>
    </row>
    <row r="31" spans="1:21" ht="14.4" customHeight="1" x14ac:dyDescent="0.3">
      <c r="A31" s="464">
        <v>35</v>
      </c>
      <c r="B31" s="465" t="s">
        <v>690</v>
      </c>
      <c r="C31" s="465">
        <v>89301356</v>
      </c>
      <c r="D31" s="537" t="s">
        <v>1056</v>
      </c>
      <c r="E31" s="538" t="s">
        <v>707</v>
      </c>
      <c r="F31" s="465" t="s">
        <v>702</v>
      </c>
      <c r="G31" s="465" t="s">
        <v>797</v>
      </c>
      <c r="H31" s="465" t="s">
        <v>682</v>
      </c>
      <c r="I31" s="465" t="s">
        <v>798</v>
      </c>
      <c r="J31" s="465" t="s">
        <v>799</v>
      </c>
      <c r="K31" s="465" t="s">
        <v>800</v>
      </c>
      <c r="L31" s="466">
        <v>140.03</v>
      </c>
      <c r="M31" s="466">
        <v>1260.27</v>
      </c>
      <c r="N31" s="465">
        <v>9</v>
      </c>
      <c r="O31" s="539">
        <v>3.5</v>
      </c>
      <c r="P31" s="466">
        <v>1260.27</v>
      </c>
      <c r="Q31" s="517">
        <v>1</v>
      </c>
      <c r="R31" s="465">
        <v>9</v>
      </c>
      <c r="S31" s="517">
        <v>1</v>
      </c>
      <c r="T31" s="539">
        <v>3.5</v>
      </c>
      <c r="U31" s="518">
        <v>1</v>
      </c>
    </row>
    <row r="32" spans="1:21" ht="14.4" customHeight="1" x14ac:dyDescent="0.3">
      <c r="A32" s="464">
        <v>35</v>
      </c>
      <c r="B32" s="465" t="s">
        <v>690</v>
      </c>
      <c r="C32" s="465">
        <v>89301356</v>
      </c>
      <c r="D32" s="537" t="s">
        <v>1056</v>
      </c>
      <c r="E32" s="538" t="s">
        <v>707</v>
      </c>
      <c r="F32" s="465" t="s">
        <v>702</v>
      </c>
      <c r="G32" s="465" t="s">
        <v>801</v>
      </c>
      <c r="H32" s="465" t="s">
        <v>682</v>
      </c>
      <c r="I32" s="465" t="s">
        <v>802</v>
      </c>
      <c r="J32" s="465" t="s">
        <v>803</v>
      </c>
      <c r="K32" s="465" t="s">
        <v>804</v>
      </c>
      <c r="L32" s="466">
        <v>605.65</v>
      </c>
      <c r="M32" s="466">
        <v>1816.9499999999998</v>
      </c>
      <c r="N32" s="465">
        <v>3</v>
      </c>
      <c r="O32" s="539">
        <v>1.5</v>
      </c>
      <c r="P32" s="466">
        <v>1816.9499999999998</v>
      </c>
      <c r="Q32" s="517">
        <v>1</v>
      </c>
      <c r="R32" s="465">
        <v>3</v>
      </c>
      <c r="S32" s="517">
        <v>1</v>
      </c>
      <c r="T32" s="539">
        <v>1.5</v>
      </c>
      <c r="U32" s="518">
        <v>1</v>
      </c>
    </row>
    <row r="33" spans="1:21" ht="14.4" customHeight="1" x14ac:dyDescent="0.3">
      <c r="A33" s="464">
        <v>35</v>
      </c>
      <c r="B33" s="465" t="s">
        <v>690</v>
      </c>
      <c r="C33" s="465">
        <v>89301356</v>
      </c>
      <c r="D33" s="537" t="s">
        <v>1056</v>
      </c>
      <c r="E33" s="538" t="s">
        <v>707</v>
      </c>
      <c r="F33" s="465" t="s">
        <v>702</v>
      </c>
      <c r="G33" s="465" t="s">
        <v>805</v>
      </c>
      <c r="H33" s="465" t="s">
        <v>531</v>
      </c>
      <c r="I33" s="465" t="s">
        <v>806</v>
      </c>
      <c r="J33" s="465" t="s">
        <v>807</v>
      </c>
      <c r="K33" s="465" t="s">
        <v>808</v>
      </c>
      <c r="L33" s="466">
        <v>6.47</v>
      </c>
      <c r="M33" s="466">
        <v>32.35</v>
      </c>
      <c r="N33" s="465">
        <v>5</v>
      </c>
      <c r="O33" s="539">
        <v>2</v>
      </c>
      <c r="P33" s="466">
        <v>32.35</v>
      </c>
      <c r="Q33" s="517">
        <v>1</v>
      </c>
      <c r="R33" s="465">
        <v>5</v>
      </c>
      <c r="S33" s="517">
        <v>1</v>
      </c>
      <c r="T33" s="539">
        <v>2</v>
      </c>
      <c r="U33" s="518">
        <v>1</v>
      </c>
    </row>
    <row r="34" spans="1:21" ht="14.4" customHeight="1" x14ac:dyDescent="0.3">
      <c r="A34" s="464">
        <v>35</v>
      </c>
      <c r="B34" s="465" t="s">
        <v>690</v>
      </c>
      <c r="C34" s="465">
        <v>89301356</v>
      </c>
      <c r="D34" s="537" t="s">
        <v>1056</v>
      </c>
      <c r="E34" s="538" t="s">
        <v>707</v>
      </c>
      <c r="F34" s="465" t="s">
        <v>702</v>
      </c>
      <c r="G34" s="465" t="s">
        <v>809</v>
      </c>
      <c r="H34" s="465" t="s">
        <v>531</v>
      </c>
      <c r="I34" s="465" t="s">
        <v>810</v>
      </c>
      <c r="J34" s="465" t="s">
        <v>811</v>
      </c>
      <c r="K34" s="465" t="s">
        <v>812</v>
      </c>
      <c r="L34" s="466">
        <v>0</v>
      </c>
      <c r="M34" s="466">
        <v>0</v>
      </c>
      <c r="N34" s="465">
        <v>1</v>
      </c>
      <c r="O34" s="539">
        <v>1</v>
      </c>
      <c r="P34" s="466">
        <v>0</v>
      </c>
      <c r="Q34" s="517"/>
      <c r="R34" s="465">
        <v>1</v>
      </c>
      <c r="S34" s="517">
        <v>1</v>
      </c>
      <c r="T34" s="539">
        <v>1</v>
      </c>
      <c r="U34" s="518">
        <v>1</v>
      </c>
    </row>
    <row r="35" spans="1:21" ht="14.4" customHeight="1" x14ac:dyDescent="0.3">
      <c r="A35" s="464">
        <v>35</v>
      </c>
      <c r="B35" s="465" t="s">
        <v>690</v>
      </c>
      <c r="C35" s="465">
        <v>89301356</v>
      </c>
      <c r="D35" s="537" t="s">
        <v>1056</v>
      </c>
      <c r="E35" s="538" t="s">
        <v>707</v>
      </c>
      <c r="F35" s="465" t="s">
        <v>702</v>
      </c>
      <c r="G35" s="465" t="s">
        <v>813</v>
      </c>
      <c r="H35" s="465" t="s">
        <v>531</v>
      </c>
      <c r="I35" s="465" t="s">
        <v>814</v>
      </c>
      <c r="J35" s="465" t="s">
        <v>815</v>
      </c>
      <c r="K35" s="465" t="s">
        <v>816</v>
      </c>
      <c r="L35" s="466">
        <v>23.46</v>
      </c>
      <c r="M35" s="466">
        <v>70.38</v>
      </c>
      <c r="N35" s="465">
        <v>3</v>
      </c>
      <c r="O35" s="539">
        <v>1.5</v>
      </c>
      <c r="P35" s="466">
        <v>23.46</v>
      </c>
      <c r="Q35" s="517">
        <v>0.33333333333333337</v>
      </c>
      <c r="R35" s="465">
        <v>1</v>
      </c>
      <c r="S35" s="517">
        <v>0.33333333333333331</v>
      </c>
      <c r="T35" s="539">
        <v>1</v>
      </c>
      <c r="U35" s="518">
        <v>0.66666666666666663</v>
      </c>
    </row>
    <row r="36" spans="1:21" ht="14.4" customHeight="1" x14ac:dyDescent="0.3">
      <c r="A36" s="464">
        <v>35</v>
      </c>
      <c r="B36" s="465" t="s">
        <v>690</v>
      </c>
      <c r="C36" s="465">
        <v>89301356</v>
      </c>
      <c r="D36" s="537" t="s">
        <v>1056</v>
      </c>
      <c r="E36" s="538" t="s">
        <v>707</v>
      </c>
      <c r="F36" s="465" t="s">
        <v>703</v>
      </c>
      <c r="G36" s="465" t="s">
        <v>817</v>
      </c>
      <c r="H36" s="465" t="s">
        <v>531</v>
      </c>
      <c r="I36" s="465" t="s">
        <v>818</v>
      </c>
      <c r="J36" s="465" t="s">
        <v>819</v>
      </c>
      <c r="K36" s="465"/>
      <c r="L36" s="466">
        <v>0</v>
      </c>
      <c r="M36" s="466">
        <v>0</v>
      </c>
      <c r="N36" s="465">
        <v>5</v>
      </c>
      <c r="O36" s="539">
        <v>3</v>
      </c>
      <c r="P36" s="466">
        <v>0</v>
      </c>
      <c r="Q36" s="517"/>
      <c r="R36" s="465">
        <v>5</v>
      </c>
      <c r="S36" s="517">
        <v>1</v>
      </c>
      <c r="T36" s="539">
        <v>3</v>
      </c>
      <c r="U36" s="518">
        <v>1</v>
      </c>
    </row>
    <row r="37" spans="1:21" ht="14.4" customHeight="1" x14ac:dyDescent="0.3">
      <c r="A37" s="464">
        <v>35</v>
      </c>
      <c r="B37" s="465" t="s">
        <v>690</v>
      </c>
      <c r="C37" s="465">
        <v>89301356</v>
      </c>
      <c r="D37" s="537" t="s">
        <v>1056</v>
      </c>
      <c r="E37" s="538" t="s">
        <v>707</v>
      </c>
      <c r="F37" s="465" t="s">
        <v>703</v>
      </c>
      <c r="G37" s="465" t="s">
        <v>817</v>
      </c>
      <c r="H37" s="465" t="s">
        <v>531</v>
      </c>
      <c r="I37" s="465" t="s">
        <v>820</v>
      </c>
      <c r="J37" s="465" t="s">
        <v>819</v>
      </c>
      <c r="K37" s="465"/>
      <c r="L37" s="466">
        <v>0</v>
      </c>
      <c r="M37" s="466">
        <v>0</v>
      </c>
      <c r="N37" s="465">
        <v>3</v>
      </c>
      <c r="O37" s="539">
        <v>1.5</v>
      </c>
      <c r="P37" s="466">
        <v>0</v>
      </c>
      <c r="Q37" s="517"/>
      <c r="R37" s="465">
        <v>3</v>
      </c>
      <c r="S37" s="517">
        <v>1</v>
      </c>
      <c r="T37" s="539">
        <v>1.5</v>
      </c>
      <c r="U37" s="518">
        <v>1</v>
      </c>
    </row>
    <row r="38" spans="1:21" ht="14.4" customHeight="1" x14ac:dyDescent="0.3">
      <c r="A38" s="464">
        <v>35</v>
      </c>
      <c r="B38" s="465" t="s">
        <v>690</v>
      </c>
      <c r="C38" s="465">
        <v>89301356</v>
      </c>
      <c r="D38" s="537" t="s">
        <v>1056</v>
      </c>
      <c r="E38" s="538" t="s">
        <v>707</v>
      </c>
      <c r="F38" s="465" t="s">
        <v>703</v>
      </c>
      <c r="G38" s="465" t="s">
        <v>817</v>
      </c>
      <c r="H38" s="465" t="s">
        <v>531</v>
      </c>
      <c r="I38" s="465" t="s">
        <v>821</v>
      </c>
      <c r="J38" s="465" t="s">
        <v>819</v>
      </c>
      <c r="K38" s="465"/>
      <c r="L38" s="466">
        <v>0</v>
      </c>
      <c r="M38" s="466">
        <v>0</v>
      </c>
      <c r="N38" s="465">
        <v>3</v>
      </c>
      <c r="O38" s="539">
        <v>3</v>
      </c>
      <c r="P38" s="466">
        <v>0</v>
      </c>
      <c r="Q38" s="517"/>
      <c r="R38" s="465">
        <v>3</v>
      </c>
      <c r="S38" s="517">
        <v>1</v>
      </c>
      <c r="T38" s="539">
        <v>3</v>
      </c>
      <c r="U38" s="518">
        <v>1</v>
      </c>
    </row>
    <row r="39" spans="1:21" ht="14.4" customHeight="1" x14ac:dyDescent="0.3">
      <c r="A39" s="464">
        <v>35</v>
      </c>
      <c r="B39" s="465" t="s">
        <v>690</v>
      </c>
      <c r="C39" s="465">
        <v>89301356</v>
      </c>
      <c r="D39" s="537" t="s">
        <v>1056</v>
      </c>
      <c r="E39" s="538" t="s">
        <v>707</v>
      </c>
      <c r="F39" s="465" t="s">
        <v>703</v>
      </c>
      <c r="G39" s="465" t="s">
        <v>817</v>
      </c>
      <c r="H39" s="465" t="s">
        <v>531</v>
      </c>
      <c r="I39" s="465" t="s">
        <v>822</v>
      </c>
      <c r="J39" s="465" t="s">
        <v>819</v>
      </c>
      <c r="K39" s="465"/>
      <c r="L39" s="466">
        <v>0</v>
      </c>
      <c r="M39" s="466">
        <v>0</v>
      </c>
      <c r="N39" s="465">
        <v>1</v>
      </c>
      <c r="O39" s="539">
        <v>0.5</v>
      </c>
      <c r="P39" s="466">
        <v>0</v>
      </c>
      <c r="Q39" s="517"/>
      <c r="R39" s="465">
        <v>1</v>
      </c>
      <c r="S39" s="517">
        <v>1</v>
      </c>
      <c r="T39" s="539">
        <v>0.5</v>
      </c>
      <c r="U39" s="518">
        <v>1</v>
      </c>
    </row>
    <row r="40" spans="1:21" ht="14.4" customHeight="1" x14ac:dyDescent="0.3">
      <c r="A40" s="464">
        <v>35</v>
      </c>
      <c r="B40" s="465" t="s">
        <v>690</v>
      </c>
      <c r="C40" s="465">
        <v>89301356</v>
      </c>
      <c r="D40" s="537" t="s">
        <v>1056</v>
      </c>
      <c r="E40" s="538" t="s">
        <v>708</v>
      </c>
      <c r="F40" s="465" t="s">
        <v>702</v>
      </c>
      <c r="G40" s="465" t="s">
        <v>823</v>
      </c>
      <c r="H40" s="465" t="s">
        <v>682</v>
      </c>
      <c r="I40" s="465" t="s">
        <v>824</v>
      </c>
      <c r="J40" s="465" t="s">
        <v>825</v>
      </c>
      <c r="K40" s="465" t="s">
        <v>826</v>
      </c>
      <c r="L40" s="466">
        <v>333.31</v>
      </c>
      <c r="M40" s="466">
        <v>666.62</v>
      </c>
      <c r="N40" s="465">
        <v>2</v>
      </c>
      <c r="O40" s="539">
        <v>1</v>
      </c>
      <c r="P40" s="466">
        <v>666.62</v>
      </c>
      <c r="Q40" s="517">
        <v>1</v>
      </c>
      <c r="R40" s="465">
        <v>2</v>
      </c>
      <c r="S40" s="517">
        <v>1</v>
      </c>
      <c r="T40" s="539">
        <v>1</v>
      </c>
      <c r="U40" s="518">
        <v>1</v>
      </c>
    </row>
    <row r="41" spans="1:21" ht="14.4" customHeight="1" x14ac:dyDescent="0.3">
      <c r="A41" s="464">
        <v>35</v>
      </c>
      <c r="B41" s="465" t="s">
        <v>690</v>
      </c>
      <c r="C41" s="465">
        <v>89301356</v>
      </c>
      <c r="D41" s="537" t="s">
        <v>1056</v>
      </c>
      <c r="E41" s="538" t="s">
        <v>708</v>
      </c>
      <c r="F41" s="465" t="s">
        <v>702</v>
      </c>
      <c r="G41" s="465" t="s">
        <v>827</v>
      </c>
      <c r="H41" s="465" t="s">
        <v>531</v>
      </c>
      <c r="I41" s="465" t="s">
        <v>828</v>
      </c>
      <c r="J41" s="465" t="s">
        <v>829</v>
      </c>
      <c r="K41" s="465" t="s">
        <v>830</v>
      </c>
      <c r="L41" s="466">
        <v>58</v>
      </c>
      <c r="M41" s="466">
        <v>58</v>
      </c>
      <c r="N41" s="465">
        <v>1</v>
      </c>
      <c r="O41" s="539">
        <v>1</v>
      </c>
      <c r="P41" s="466">
        <v>58</v>
      </c>
      <c r="Q41" s="517">
        <v>1</v>
      </c>
      <c r="R41" s="465">
        <v>1</v>
      </c>
      <c r="S41" s="517">
        <v>1</v>
      </c>
      <c r="T41" s="539">
        <v>1</v>
      </c>
      <c r="U41" s="518">
        <v>1</v>
      </c>
    </row>
    <row r="42" spans="1:21" ht="14.4" customHeight="1" x14ac:dyDescent="0.3">
      <c r="A42" s="464">
        <v>35</v>
      </c>
      <c r="B42" s="465" t="s">
        <v>690</v>
      </c>
      <c r="C42" s="465">
        <v>89301356</v>
      </c>
      <c r="D42" s="537" t="s">
        <v>1056</v>
      </c>
      <c r="E42" s="538" t="s">
        <v>708</v>
      </c>
      <c r="F42" s="465" t="s">
        <v>702</v>
      </c>
      <c r="G42" s="465" t="s">
        <v>831</v>
      </c>
      <c r="H42" s="465" t="s">
        <v>531</v>
      </c>
      <c r="I42" s="465" t="s">
        <v>832</v>
      </c>
      <c r="J42" s="465" t="s">
        <v>833</v>
      </c>
      <c r="K42" s="465" t="s">
        <v>834</v>
      </c>
      <c r="L42" s="466">
        <v>106.49</v>
      </c>
      <c r="M42" s="466">
        <v>106.49</v>
      </c>
      <c r="N42" s="465">
        <v>1</v>
      </c>
      <c r="O42" s="539">
        <v>1</v>
      </c>
      <c r="P42" s="466">
        <v>106.49</v>
      </c>
      <c r="Q42" s="517">
        <v>1</v>
      </c>
      <c r="R42" s="465">
        <v>1</v>
      </c>
      <c r="S42" s="517">
        <v>1</v>
      </c>
      <c r="T42" s="539">
        <v>1</v>
      </c>
      <c r="U42" s="518">
        <v>1</v>
      </c>
    </row>
    <row r="43" spans="1:21" ht="14.4" customHeight="1" x14ac:dyDescent="0.3">
      <c r="A43" s="464">
        <v>35</v>
      </c>
      <c r="B43" s="465" t="s">
        <v>690</v>
      </c>
      <c r="C43" s="465">
        <v>89301356</v>
      </c>
      <c r="D43" s="537" t="s">
        <v>1056</v>
      </c>
      <c r="E43" s="538" t="s">
        <v>708</v>
      </c>
      <c r="F43" s="465" t="s">
        <v>702</v>
      </c>
      <c r="G43" s="465" t="s">
        <v>835</v>
      </c>
      <c r="H43" s="465" t="s">
        <v>531</v>
      </c>
      <c r="I43" s="465" t="s">
        <v>836</v>
      </c>
      <c r="J43" s="465" t="s">
        <v>569</v>
      </c>
      <c r="K43" s="465" t="s">
        <v>837</v>
      </c>
      <c r="L43" s="466">
        <v>0</v>
      </c>
      <c r="M43" s="466">
        <v>0</v>
      </c>
      <c r="N43" s="465">
        <v>2</v>
      </c>
      <c r="O43" s="539">
        <v>1</v>
      </c>
      <c r="P43" s="466">
        <v>0</v>
      </c>
      <c r="Q43" s="517"/>
      <c r="R43" s="465">
        <v>2</v>
      </c>
      <c r="S43" s="517">
        <v>1</v>
      </c>
      <c r="T43" s="539">
        <v>1</v>
      </c>
      <c r="U43" s="518">
        <v>1</v>
      </c>
    </row>
    <row r="44" spans="1:21" ht="14.4" customHeight="1" x14ac:dyDescent="0.3">
      <c r="A44" s="464">
        <v>35</v>
      </c>
      <c r="B44" s="465" t="s">
        <v>690</v>
      </c>
      <c r="C44" s="465">
        <v>89301356</v>
      </c>
      <c r="D44" s="537" t="s">
        <v>1056</v>
      </c>
      <c r="E44" s="538" t="s">
        <v>708</v>
      </c>
      <c r="F44" s="465" t="s">
        <v>702</v>
      </c>
      <c r="G44" s="465" t="s">
        <v>838</v>
      </c>
      <c r="H44" s="465" t="s">
        <v>531</v>
      </c>
      <c r="I44" s="465" t="s">
        <v>839</v>
      </c>
      <c r="J44" s="465" t="s">
        <v>840</v>
      </c>
      <c r="K44" s="465" t="s">
        <v>841</v>
      </c>
      <c r="L44" s="466">
        <v>0</v>
      </c>
      <c r="M44" s="466">
        <v>0</v>
      </c>
      <c r="N44" s="465">
        <v>2</v>
      </c>
      <c r="O44" s="539">
        <v>2</v>
      </c>
      <c r="P44" s="466">
        <v>0</v>
      </c>
      <c r="Q44" s="517"/>
      <c r="R44" s="465">
        <v>2</v>
      </c>
      <c r="S44" s="517">
        <v>1</v>
      </c>
      <c r="T44" s="539">
        <v>2</v>
      </c>
      <c r="U44" s="518">
        <v>1</v>
      </c>
    </row>
    <row r="45" spans="1:21" ht="14.4" customHeight="1" x14ac:dyDescent="0.3">
      <c r="A45" s="464">
        <v>35</v>
      </c>
      <c r="B45" s="465" t="s">
        <v>690</v>
      </c>
      <c r="C45" s="465">
        <v>89301356</v>
      </c>
      <c r="D45" s="537" t="s">
        <v>1056</v>
      </c>
      <c r="E45" s="538" t="s">
        <v>708</v>
      </c>
      <c r="F45" s="465" t="s">
        <v>702</v>
      </c>
      <c r="G45" s="465" t="s">
        <v>842</v>
      </c>
      <c r="H45" s="465" t="s">
        <v>531</v>
      </c>
      <c r="I45" s="465" t="s">
        <v>843</v>
      </c>
      <c r="J45" s="465" t="s">
        <v>844</v>
      </c>
      <c r="K45" s="465" t="s">
        <v>845</v>
      </c>
      <c r="L45" s="466">
        <v>0</v>
      </c>
      <c r="M45" s="466">
        <v>0</v>
      </c>
      <c r="N45" s="465">
        <v>1</v>
      </c>
      <c r="O45" s="539">
        <v>1</v>
      </c>
      <c r="P45" s="466">
        <v>0</v>
      </c>
      <c r="Q45" s="517"/>
      <c r="R45" s="465">
        <v>1</v>
      </c>
      <c r="S45" s="517">
        <v>1</v>
      </c>
      <c r="T45" s="539">
        <v>1</v>
      </c>
      <c r="U45" s="518">
        <v>1</v>
      </c>
    </row>
    <row r="46" spans="1:21" ht="14.4" customHeight="1" x14ac:dyDescent="0.3">
      <c r="A46" s="464">
        <v>35</v>
      </c>
      <c r="B46" s="465" t="s">
        <v>690</v>
      </c>
      <c r="C46" s="465">
        <v>89301356</v>
      </c>
      <c r="D46" s="537" t="s">
        <v>1056</v>
      </c>
      <c r="E46" s="538" t="s">
        <v>708</v>
      </c>
      <c r="F46" s="465" t="s">
        <v>702</v>
      </c>
      <c r="G46" s="465" t="s">
        <v>842</v>
      </c>
      <c r="H46" s="465" t="s">
        <v>531</v>
      </c>
      <c r="I46" s="465" t="s">
        <v>846</v>
      </c>
      <c r="J46" s="465" t="s">
        <v>847</v>
      </c>
      <c r="K46" s="465" t="s">
        <v>845</v>
      </c>
      <c r="L46" s="466">
        <v>0</v>
      </c>
      <c r="M46" s="466">
        <v>0</v>
      </c>
      <c r="N46" s="465">
        <v>3</v>
      </c>
      <c r="O46" s="539">
        <v>3</v>
      </c>
      <c r="P46" s="466">
        <v>0</v>
      </c>
      <c r="Q46" s="517"/>
      <c r="R46" s="465">
        <v>3</v>
      </c>
      <c r="S46" s="517">
        <v>1</v>
      </c>
      <c r="T46" s="539">
        <v>3</v>
      </c>
      <c r="U46" s="518">
        <v>1</v>
      </c>
    </row>
    <row r="47" spans="1:21" ht="14.4" customHeight="1" x14ac:dyDescent="0.3">
      <c r="A47" s="464">
        <v>35</v>
      </c>
      <c r="B47" s="465" t="s">
        <v>690</v>
      </c>
      <c r="C47" s="465">
        <v>89301356</v>
      </c>
      <c r="D47" s="537" t="s">
        <v>1056</v>
      </c>
      <c r="E47" s="538" t="s">
        <v>708</v>
      </c>
      <c r="F47" s="465" t="s">
        <v>702</v>
      </c>
      <c r="G47" s="465" t="s">
        <v>848</v>
      </c>
      <c r="H47" s="465" t="s">
        <v>531</v>
      </c>
      <c r="I47" s="465" t="s">
        <v>580</v>
      </c>
      <c r="J47" s="465" t="s">
        <v>581</v>
      </c>
      <c r="K47" s="465" t="s">
        <v>849</v>
      </c>
      <c r="L47" s="466">
        <v>163.9</v>
      </c>
      <c r="M47" s="466">
        <v>163.9</v>
      </c>
      <c r="N47" s="465">
        <v>1</v>
      </c>
      <c r="O47" s="539">
        <v>1</v>
      </c>
      <c r="P47" s="466">
        <v>163.9</v>
      </c>
      <c r="Q47" s="517">
        <v>1</v>
      </c>
      <c r="R47" s="465">
        <v>1</v>
      </c>
      <c r="S47" s="517">
        <v>1</v>
      </c>
      <c r="T47" s="539">
        <v>1</v>
      </c>
      <c r="U47" s="518">
        <v>1</v>
      </c>
    </row>
    <row r="48" spans="1:21" ht="14.4" customHeight="1" x14ac:dyDescent="0.3">
      <c r="A48" s="464">
        <v>35</v>
      </c>
      <c r="B48" s="465" t="s">
        <v>690</v>
      </c>
      <c r="C48" s="465">
        <v>89301356</v>
      </c>
      <c r="D48" s="537" t="s">
        <v>1056</v>
      </c>
      <c r="E48" s="538" t="s">
        <v>708</v>
      </c>
      <c r="F48" s="465" t="s">
        <v>702</v>
      </c>
      <c r="G48" s="465" t="s">
        <v>737</v>
      </c>
      <c r="H48" s="465" t="s">
        <v>531</v>
      </c>
      <c r="I48" s="465" t="s">
        <v>738</v>
      </c>
      <c r="J48" s="465" t="s">
        <v>739</v>
      </c>
      <c r="K48" s="465" t="s">
        <v>740</v>
      </c>
      <c r="L48" s="466">
        <v>50.27</v>
      </c>
      <c r="M48" s="466">
        <v>50.27</v>
      </c>
      <c r="N48" s="465">
        <v>1</v>
      </c>
      <c r="O48" s="539">
        <v>1</v>
      </c>
      <c r="P48" s="466">
        <v>50.27</v>
      </c>
      <c r="Q48" s="517">
        <v>1</v>
      </c>
      <c r="R48" s="465">
        <v>1</v>
      </c>
      <c r="S48" s="517">
        <v>1</v>
      </c>
      <c r="T48" s="539">
        <v>1</v>
      </c>
      <c r="U48" s="518">
        <v>1</v>
      </c>
    </row>
    <row r="49" spans="1:21" ht="14.4" customHeight="1" x14ac:dyDescent="0.3">
      <c r="A49" s="464">
        <v>35</v>
      </c>
      <c r="B49" s="465" t="s">
        <v>690</v>
      </c>
      <c r="C49" s="465">
        <v>89301356</v>
      </c>
      <c r="D49" s="537" t="s">
        <v>1056</v>
      </c>
      <c r="E49" s="538" t="s">
        <v>708</v>
      </c>
      <c r="F49" s="465" t="s">
        <v>702</v>
      </c>
      <c r="G49" s="465" t="s">
        <v>737</v>
      </c>
      <c r="H49" s="465" t="s">
        <v>531</v>
      </c>
      <c r="I49" s="465" t="s">
        <v>850</v>
      </c>
      <c r="J49" s="465" t="s">
        <v>739</v>
      </c>
      <c r="K49" s="465" t="s">
        <v>851</v>
      </c>
      <c r="L49" s="466">
        <v>58.1</v>
      </c>
      <c r="M49" s="466">
        <v>58.1</v>
      </c>
      <c r="N49" s="465">
        <v>1</v>
      </c>
      <c r="O49" s="539">
        <v>1</v>
      </c>
      <c r="P49" s="466">
        <v>58.1</v>
      </c>
      <c r="Q49" s="517">
        <v>1</v>
      </c>
      <c r="R49" s="465">
        <v>1</v>
      </c>
      <c r="S49" s="517">
        <v>1</v>
      </c>
      <c r="T49" s="539">
        <v>1</v>
      </c>
      <c r="U49" s="518">
        <v>1</v>
      </c>
    </row>
    <row r="50" spans="1:21" ht="14.4" customHeight="1" x14ac:dyDescent="0.3">
      <c r="A50" s="464">
        <v>35</v>
      </c>
      <c r="B50" s="465" t="s">
        <v>690</v>
      </c>
      <c r="C50" s="465">
        <v>89301356</v>
      </c>
      <c r="D50" s="537" t="s">
        <v>1056</v>
      </c>
      <c r="E50" s="538" t="s">
        <v>708</v>
      </c>
      <c r="F50" s="465" t="s">
        <v>702</v>
      </c>
      <c r="G50" s="465" t="s">
        <v>852</v>
      </c>
      <c r="H50" s="465" t="s">
        <v>682</v>
      </c>
      <c r="I50" s="465" t="s">
        <v>853</v>
      </c>
      <c r="J50" s="465" t="s">
        <v>854</v>
      </c>
      <c r="K50" s="465" t="s">
        <v>855</v>
      </c>
      <c r="L50" s="466">
        <v>0</v>
      </c>
      <c r="M50" s="466">
        <v>0</v>
      </c>
      <c r="N50" s="465">
        <v>2</v>
      </c>
      <c r="O50" s="539">
        <v>1</v>
      </c>
      <c r="P50" s="466">
        <v>0</v>
      </c>
      <c r="Q50" s="517"/>
      <c r="R50" s="465">
        <v>2</v>
      </c>
      <c r="S50" s="517">
        <v>1</v>
      </c>
      <c r="T50" s="539">
        <v>1</v>
      </c>
      <c r="U50" s="518">
        <v>1</v>
      </c>
    </row>
    <row r="51" spans="1:21" ht="14.4" customHeight="1" x14ac:dyDescent="0.3">
      <c r="A51" s="464">
        <v>35</v>
      </c>
      <c r="B51" s="465" t="s">
        <v>690</v>
      </c>
      <c r="C51" s="465">
        <v>89301356</v>
      </c>
      <c r="D51" s="537" t="s">
        <v>1056</v>
      </c>
      <c r="E51" s="538" t="s">
        <v>708</v>
      </c>
      <c r="F51" s="465" t="s">
        <v>702</v>
      </c>
      <c r="G51" s="465" t="s">
        <v>852</v>
      </c>
      <c r="H51" s="465" t="s">
        <v>531</v>
      </c>
      <c r="I51" s="465" t="s">
        <v>856</v>
      </c>
      <c r="J51" s="465" t="s">
        <v>857</v>
      </c>
      <c r="K51" s="465" t="s">
        <v>855</v>
      </c>
      <c r="L51" s="466">
        <v>413.22</v>
      </c>
      <c r="M51" s="466">
        <v>413.22</v>
      </c>
      <c r="N51" s="465">
        <v>1</v>
      </c>
      <c r="O51" s="539">
        <v>1</v>
      </c>
      <c r="P51" s="466">
        <v>413.22</v>
      </c>
      <c r="Q51" s="517">
        <v>1</v>
      </c>
      <c r="R51" s="465">
        <v>1</v>
      </c>
      <c r="S51" s="517">
        <v>1</v>
      </c>
      <c r="T51" s="539">
        <v>1</v>
      </c>
      <c r="U51" s="518">
        <v>1</v>
      </c>
    </row>
    <row r="52" spans="1:21" ht="14.4" customHeight="1" x14ac:dyDescent="0.3">
      <c r="A52" s="464">
        <v>35</v>
      </c>
      <c r="B52" s="465" t="s">
        <v>690</v>
      </c>
      <c r="C52" s="465">
        <v>89301356</v>
      </c>
      <c r="D52" s="537" t="s">
        <v>1056</v>
      </c>
      <c r="E52" s="538" t="s">
        <v>708</v>
      </c>
      <c r="F52" s="465" t="s">
        <v>702</v>
      </c>
      <c r="G52" s="465" t="s">
        <v>858</v>
      </c>
      <c r="H52" s="465" t="s">
        <v>531</v>
      </c>
      <c r="I52" s="465" t="s">
        <v>859</v>
      </c>
      <c r="J52" s="465" t="s">
        <v>860</v>
      </c>
      <c r="K52" s="465" t="s">
        <v>861</v>
      </c>
      <c r="L52" s="466">
        <v>0</v>
      </c>
      <c r="M52" s="466">
        <v>0</v>
      </c>
      <c r="N52" s="465">
        <v>1</v>
      </c>
      <c r="O52" s="539">
        <v>1</v>
      </c>
      <c r="P52" s="466">
        <v>0</v>
      </c>
      <c r="Q52" s="517"/>
      <c r="R52" s="465">
        <v>1</v>
      </c>
      <c r="S52" s="517">
        <v>1</v>
      </c>
      <c r="T52" s="539">
        <v>1</v>
      </c>
      <c r="U52" s="518">
        <v>1</v>
      </c>
    </row>
    <row r="53" spans="1:21" ht="14.4" customHeight="1" x14ac:dyDescent="0.3">
      <c r="A53" s="464">
        <v>35</v>
      </c>
      <c r="B53" s="465" t="s">
        <v>690</v>
      </c>
      <c r="C53" s="465">
        <v>89301356</v>
      </c>
      <c r="D53" s="537" t="s">
        <v>1056</v>
      </c>
      <c r="E53" s="538" t="s">
        <v>708</v>
      </c>
      <c r="F53" s="465" t="s">
        <v>702</v>
      </c>
      <c r="G53" s="465" t="s">
        <v>862</v>
      </c>
      <c r="H53" s="465" t="s">
        <v>682</v>
      </c>
      <c r="I53" s="465" t="s">
        <v>863</v>
      </c>
      <c r="J53" s="465" t="s">
        <v>696</v>
      </c>
      <c r="K53" s="465" t="s">
        <v>864</v>
      </c>
      <c r="L53" s="466">
        <v>356.47</v>
      </c>
      <c r="M53" s="466">
        <v>356.47</v>
      </c>
      <c r="N53" s="465">
        <v>1</v>
      </c>
      <c r="O53" s="539">
        <v>1</v>
      </c>
      <c r="P53" s="466">
        <v>356.47</v>
      </c>
      <c r="Q53" s="517">
        <v>1</v>
      </c>
      <c r="R53" s="465">
        <v>1</v>
      </c>
      <c r="S53" s="517">
        <v>1</v>
      </c>
      <c r="T53" s="539">
        <v>1</v>
      </c>
      <c r="U53" s="518">
        <v>1</v>
      </c>
    </row>
    <row r="54" spans="1:21" ht="14.4" customHeight="1" x14ac:dyDescent="0.3">
      <c r="A54" s="464">
        <v>35</v>
      </c>
      <c r="B54" s="465" t="s">
        <v>690</v>
      </c>
      <c r="C54" s="465">
        <v>89301356</v>
      </c>
      <c r="D54" s="537" t="s">
        <v>1056</v>
      </c>
      <c r="E54" s="538" t="s">
        <v>708</v>
      </c>
      <c r="F54" s="465" t="s">
        <v>702</v>
      </c>
      <c r="G54" s="465" t="s">
        <v>862</v>
      </c>
      <c r="H54" s="465" t="s">
        <v>531</v>
      </c>
      <c r="I54" s="465" t="s">
        <v>865</v>
      </c>
      <c r="J54" s="465" t="s">
        <v>866</v>
      </c>
      <c r="K54" s="465" t="s">
        <v>867</v>
      </c>
      <c r="L54" s="466">
        <v>275.48</v>
      </c>
      <c r="M54" s="466">
        <v>275.48</v>
      </c>
      <c r="N54" s="465">
        <v>1</v>
      </c>
      <c r="O54" s="539">
        <v>1</v>
      </c>
      <c r="P54" s="466">
        <v>275.48</v>
      </c>
      <c r="Q54" s="517">
        <v>1</v>
      </c>
      <c r="R54" s="465">
        <v>1</v>
      </c>
      <c r="S54" s="517">
        <v>1</v>
      </c>
      <c r="T54" s="539">
        <v>1</v>
      </c>
      <c r="U54" s="518">
        <v>1</v>
      </c>
    </row>
    <row r="55" spans="1:21" ht="14.4" customHeight="1" x14ac:dyDescent="0.3">
      <c r="A55" s="464">
        <v>35</v>
      </c>
      <c r="B55" s="465" t="s">
        <v>690</v>
      </c>
      <c r="C55" s="465">
        <v>89301356</v>
      </c>
      <c r="D55" s="537" t="s">
        <v>1056</v>
      </c>
      <c r="E55" s="538" t="s">
        <v>708</v>
      </c>
      <c r="F55" s="465" t="s">
        <v>702</v>
      </c>
      <c r="G55" s="465" t="s">
        <v>768</v>
      </c>
      <c r="H55" s="465" t="s">
        <v>531</v>
      </c>
      <c r="I55" s="465" t="s">
        <v>769</v>
      </c>
      <c r="J55" s="465" t="s">
        <v>770</v>
      </c>
      <c r="K55" s="465" t="s">
        <v>736</v>
      </c>
      <c r="L55" s="466">
        <v>120.37</v>
      </c>
      <c r="M55" s="466">
        <v>120.37</v>
      </c>
      <c r="N55" s="465">
        <v>1</v>
      </c>
      <c r="O55" s="539">
        <v>1</v>
      </c>
      <c r="P55" s="466">
        <v>120.37</v>
      </c>
      <c r="Q55" s="517">
        <v>1</v>
      </c>
      <c r="R55" s="465">
        <v>1</v>
      </c>
      <c r="S55" s="517">
        <v>1</v>
      </c>
      <c r="T55" s="539">
        <v>1</v>
      </c>
      <c r="U55" s="518">
        <v>1</v>
      </c>
    </row>
    <row r="56" spans="1:21" ht="14.4" customHeight="1" x14ac:dyDescent="0.3">
      <c r="A56" s="464">
        <v>35</v>
      </c>
      <c r="B56" s="465" t="s">
        <v>690</v>
      </c>
      <c r="C56" s="465">
        <v>89301356</v>
      </c>
      <c r="D56" s="537" t="s">
        <v>1056</v>
      </c>
      <c r="E56" s="538" t="s">
        <v>708</v>
      </c>
      <c r="F56" s="465" t="s">
        <v>702</v>
      </c>
      <c r="G56" s="465" t="s">
        <v>771</v>
      </c>
      <c r="H56" s="465" t="s">
        <v>531</v>
      </c>
      <c r="I56" s="465" t="s">
        <v>772</v>
      </c>
      <c r="J56" s="465" t="s">
        <v>773</v>
      </c>
      <c r="K56" s="465" t="s">
        <v>774</v>
      </c>
      <c r="L56" s="466">
        <v>153.52000000000001</v>
      </c>
      <c r="M56" s="466">
        <v>153.52000000000001</v>
      </c>
      <c r="N56" s="465">
        <v>1</v>
      </c>
      <c r="O56" s="539">
        <v>1</v>
      </c>
      <c r="P56" s="466">
        <v>153.52000000000001</v>
      </c>
      <c r="Q56" s="517">
        <v>1</v>
      </c>
      <c r="R56" s="465">
        <v>1</v>
      </c>
      <c r="S56" s="517">
        <v>1</v>
      </c>
      <c r="T56" s="539">
        <v>1</v>
      </c>
      <c r="U56" s="518">
        <v>1</v>
      </c>
    </row>
    <row r="57" spans="1:21" ht="14.4" customHeight="1" x14ac:dyDescent="0.3">
      <c r="A57" s="464">
        <v>35</v>
      </c>
      <c r="B57" s="465" t="s">
        <v>690</v>
      </c>
      <c r="C57" s="465">
        <v>89301356</v>
      </c>
      <c r="D57" s="537" t="s">
        <v>1056</v>
      </c>
      <c r="E57" s="538" t="s">
        <v>708</v>
      </c>
      <c r="F57" s="465" t="s">
        <v>702</v>
      </c>
      <c r="G57" s="465" t="s">
        <v>868</v>
      </c>
      <c r="H57" s="465" t="s">
        <v>531</v>
      </c>
      <c r="I57" s="465" t="s">
        <v>869</v>
      </c>
      <c r="J57" s="465" t="s">
        <v>870</v>
      </c>
      <c r="K57" s="465" t="s">
        <v>871</v>
      </c>
      <c r="L57" s="466">
        <v>49.28</v>
      </c>
      <c r="M57" s="466">
        <v>49.28</v>
      </c>
      <c r="N57" s="465">
        <v>1</v>
      </c>
      <c r="O57" s="539">
        <v>1</v>
      </c>
      <c r="P57" s="466">
        <v>49.28</v>
      </c>
      <c r="Q57" s="517">
        <v>1</v>
      </c>
      <c r="R57" s="465">
        <v>1</v>
      </c>
      <c r="S57" s="517">
        <v>1</v>
      </c>
      <c r="T57" s="539">
        <v>1</v>
      </c>
      <c r="U57" s="518">
        <v>1</v>
      </c>
    </row>
    <row r="58" spans="1:21" ht="14.4" customHeight="1" x14ac:dyDescent="0.3">
      <c r="A58" s="464">
        <v>35</v>
      </c>
      <c r="B58" s="465" t="s">
        <v>690</v>
      </c>
      <c r="C58" s="465">
        <v>89301356</v>
      </c>
      <c r="D58" s="537" t="s">
        <v>1056</v>
      </c>
      <c r="E58" s="538" t="s">
        <v>708</v>
      </c>
      <c r="F58" s="465" t="s">
        <v>702</v>
      </c>
      <c r="G58" s="465" t="s">
        <v>872</v>
      </c>
      <c r="H58" s="465" t="s">
        <v>682</v>
      </c>
      <c r="I58" s="465" t="s">
        <v>873</v>
      </c>
      <c r="J58" s="465" t="s">
        <v>874</v>
      </c>
      <c r="K58" s="465" t="s">
        <v>875</v>
      </c>
      <c r="L58" s="466">
        <v>193.14</v>
      </c>
      <c r="M58" s="466">
        <v>193.14</v>
      </c>
      <c r="N58" s="465">
        <v>1</v>
      </c>
      <c r="O58" s="539">
        <v>1</v>
      </c>
      <c r="P58" s="466"/>
      <c r="Q58" s="517">
        <v>0</v>
      </c>
      <c r="R58" s="465"/>
      <c r="S58" s="517">
        <v>0</v>
      </c>
      <c r="T58" s="539"/>
      <c r="U58" s="518">
        <v>0</v>
      </c>
    </row>
    <row r="59" spans="1:21" ht="14.4" customHeight="1" x14ac:dyDescent="0.3">
      <c r="A59" s="464">
        <v>35</v>
      </c>
      <c r="B59" s="465" t="s">
        <v>690</v>
      </c>
      <c r="C59" s="465">
        <v>89301356</v>
      </c>
      <c r="D59" s="537" t="s">
        <v>1056</v>
      </c>
      <c r="E59" s="538" t="s">
        <v>709</v>
      </c>
      <c r="F59" s="465" t="s">
        <v>702</v>
      </c>
      <c r="G59" s="465" t="s">
        <v>876</v>
      </c>
      <c r="H59" s="465" t="s">
        <v>682</v>
      </c>
      <c r="I59" s="465" t="s">
        <v>877</v>
      </c>
      <c r="J59" s="465" t="s">
        <v>878</v>
      </c>
      <c r="K59" s="465" t="s">
        <v>879</v>
      </c>
      <c r="L59" s="466">
        <v>137.6</v>
      </c>
      <c r="M59" s="466">
        <v>550.4</v>
      </c>
      <c r="N59" s="465">
        <v>4</v>
      </c>
      <c r="O59" s="539">
        <v>1.5</v>
      </c>
      <c r="P59" s="466">
        <v>550.4</v>
      </c>
      <c r="Q59" s="517">
        <v>1</v>
      </c>
      <c r="R59" s="465">
        <v>4</v>
      </c>
      <c r="S59" s="517">
        <v>1</v>
      </c>
      <c r="T59" s="539">
        <v>1.5</v>
      </c>
      <c r="U59" s="518">
        <v>1</v>
      </c>
    </row>
    <row r="60" spans="1:21" ht="14.4" customHeight="1" x14ac:dyDescent="0.3">
      <c r="A60" s="464">
        <v>35</v>
      </c>
      <c r="B60" s="465" t="s">
        <v>690</v>
      </c>
      <c r="C60" s="465">
        <v>89301356</v>
      </c>
      <c r="D60" s="537" t="s">
        <v>1056</v>
      </c>
      <c r="E60" s="538" t="s">
        <v>709</v>
      </c>
      <c r="F60" s="465" t="s">
        <v>702</v>
      </c>
      <c r="G60" s="465" t="s">
        <v>876</v>
      </c>
      <c r="H60" s="465" t="s">
        <v>682</v>
      </c>
      <c r="I60" s="465" t="s">
        <v>877</v>
      </c>
      <c r="J60" s="465" t="s">
        <v>878</v>
      </c>
      <c r="K60" s="465" t="s">
        <v>879</v>
      </c>
      <c r="L60" s="466">
        <v>108.52</v>
      </c>
      <c r="M60" s="466">
        <v>217.04</v>
      </c>
      <c r="N60" s="465">
        <v>2</v>
      </c>
      <c r="O60" s="539">
        <v>1</v>
      </c>
      <c r="P60" s="466">
        <v>217.04</v>
      </c>
      <c r="Q60" s="517">
        <v>1</v>
      </c>
      <c r="R60" s="465">
        <v>2</v>
      </c>
      <c r="S60" s="517">
        <v>1</v>
      </c>
      <c r="T60" s="539">
        <v>1</v>
      </c>
      <c r="U60" s="518">
        <v>1</v>
      </c>
    </row>
    <row r="61" spans="1:21" ht="14.4" customHeight="1" x14ac:dyDescent="0.3">
      <c r="A61" s="464">
        <v>35</v>
      </c>
      <c r="B61" s="465" t="s">
        <v>690</v>
      </c>
      <c r="C61" s="465">
        <v>89301356</v>
      </c>
      <c r="D61" s="537" t="s">
        <v>1056</v>
      </c>
      <c r="E61" s="538" t="s">
        <v>709</v>
      </c>
      <c r="F61" s="465" t="s">
        <v>702</v>
      </c>
      <c r="G61" s="465" t="s">
        <v>880</v>
      </c>
      <c r="H61" s="465" t="s">
        <v>682</v>
      </c>
      <c r="I61" s="465" t="s">
        <v>881</v>
      </c>
      <c r="J61" s="465" t="s">
        <v>882</v>
      </c>
      <c r="K61" s="465" t="s">
        <v>883</v>
      </c>
      <c r="L61" s="466">
        <v>44.89</v>
      </c>
      <c r="M61" s="466">
        <v>179.56</v>
      </c>
      <c r="N61" s="465">
        <v>4</v>
      </c>
      <c r="O61" s="539">
        <v>2</v>
      </c>
      <c r="P61" s="466">
        <v>179.56</v>
      </c>
      <c r="Q61" s="517">
        <v>1</v>
      </c>
      <c r="R61" s="465">
        <v>4</v>
      </c>
      <c r="S61" s="517">
        <v>1</v>
      </c>
      <c r="T61" s="539">
        <v>2</v>
      </c>
      <c r="U61" s="518">
        <v>1</v>
      </c>
    </row>
    <row r="62" spans="1:21" ht="14.4" customHeight="1" x14ac:dyDescent="0.3">
      <c r="A62" s="464">
        <v>35</v>
      </c>
      <c r="B62" s="465" t="s">
        <v>690</v>
      </c>
      <c r="C62" s="465">
        <v>89301356</v>
      </c>
      <c r="D62" s="537" t="s">
        <v>1056</v>
      </c>
      <c r="E62" s="538" t="s">
        <v>709</v>
      </c>
      <c r="F62" s="465" t="s">
        <v>702</v>
      </c>
      <c r="G62" s="465" t="s">
        <v>880</v>
      </c>
      <c r="H62" s="465" t="s">
        <v>682</v>
      </c>
      <c r="I62" s="465" t="s">
        <v>881</v>
      </c>
      <c r="J62" s="465" t="s">
        <v>882</v>
      </c>
      <c r="K62" s="465" t="s">
        <v>883</v>
      </c>
      <c r="L62" s="466">
        <v>36.71</v>
      </c>
      <c r="M62" s="466">
        <v>73.42</v>
      </c>
      <c r="N62" s="465">
        <v>2</v>
      </c>
      <c r="O62" s="539">
        <v>0.5</v>
      </c>
      <c r="P62" s="466">
        <v>73.42</v>
      </c>
      <c r="Q62" s="517">
        <v>1</v>
      </c>
      <c r="R62" s="465">
        <v>2</v>
      </c>
      <c r="S62" s="517">
        <v>1</v>
      </c>
      <c r="T62" s="539">
        <v>0.5</v>
      </c>
      <c r="U62" s="518">
        <v>1</v>
      </c>
    </row>
    <row r="63" spans="1:21" ht="14.4" customHeight="1" x14ac:dyDescent="0.3">
      <c r="A63" s="464">
        <v>35</v>
      </c>
      <c r="B63" s="465" t="s">
        <v>690</v>
      </c>
      <c r="C63" s="465">
        <v>89301356</v>
      </c>
      <c r="D63" s="537" t="s">
        <v>1056</v>
      </c>
      <c r="E63" s="538" t="s">
        <v>709</v>
      </c>
      <c r="F63" s="465" t="s">
        <v>702</v>
      </c>
      <c r="G63" s="465" t="s">
        <v>884</v>
      </c>
      <c r="H63" s="465" t="s">
        <v>531</v>
      </c>
      <c r="I63" s="465" t="s">
        <v>885</v>
      </c>
      <c r="J63" s="465" t="s">
        <v>886</v>
      </c>
      <c r="K63" s="465" t="s">
        <v>887</v>
      </c>
      <c r="L63" s="466">
        <v>0</v>
      </c>
      <c r="M63" s="466">
        <v>0</v>
      </c>
      <c r="N63" s="465">
        <v>6</v>
      </c>
      <c r="O63" s="539">
        <v>1.5</v>
      </c>
      <c r="P63" s="466">
        <v>0</v>
      </c>
      <c r="Q63" s="517"/>
      <c r="R63" s="465">
        <v>6</v>
      </c>
      <c r="S63" s="517">
        <v>1</v>
      </c>
      <c r="T63" s="539">
        <v>1.5</v>
      </c>
      <c r="U63" s="518">
        <v>1</v>
      </c>
    </row>
    <row r="64" spans="1:21" ht="14.4" customHeight="1" x14ac:dyDescent="0.3">
      <c r="A64" s="464">
        <v>35</v>
      </c>
      <c r="B64" s="465" t="s">
        <v>690</v>
      </c>
      <c r="C64" s="465">
        <v>89301356</v>
      </c>
      <c r="D64" s="537" t="s">
        <v>1056</v>
      </c>
      <c r="E64" s="538" t="s">
        <v>709</v>
      </c>
      <c r="F64" s="465" t="s">
        <v>702</v>
      </c>
      <c r="G64" s="465" t="s">
        <v>884</v>
      </c>
      <c r="H64" s="465" t="s">
        <v>531</v>
      </c>
      <c r="I64" s="465" t="s">
        <v>888</v>
      </c>
      <c r="J64" s="465" t="s">
        <v>889</v>
      </c>
      <c r="K64" s="465" t="s">
        <v>890</v>
      </c>
      <c r="L64" s="466">
        <v>0</v>
      </c>
      <c r="M64" s="466">
        <v>0</v>
      </c>
      <c r="N64" s="465">
        <v>2</v>
      </c>
      <c r="O64" s="539">
        <v>0.5</v>
      </c>
      <c r="P64" s="466">
        <v>0</v>
      </c>
      <c r="Q64" s="517"/>
      <c r="R64" s="465">
        <v>2</v>
      </c>
      <c r="S64" s="517">
        <v>1</v>
      </c>
      <c r="T64" s="539">
        <v>0.5</v>
      </c>
      <c r="U64" s="518">
        <v>1</v>
      </c>
    </row>
    <row r="65" spans="1:21" ht="14.4" customHeight="1" x14ac:dyDescent="0.3">
      <c r="A65" s="464">
        <v>35</v>
      </c>
      <c r="B65" s="465" t="s">
        <v>690</v>
      </c>
      <c r="C65" s="465">
        <v>89301356</v>
      </c>
      <c r="D65" s="537" t="s">
        <v>1056</v>
      </c>
      <c r="E65" s="538" t="s">
        <v>709</v>
      </c>
      <c r="F65" s="465" t="s">
        <v>702</v>
      </c>
      <c r="G65" s="465" t="s">
        <v>884</v>
      </c>
      <c r="H65" s="465" t="s">
        <v>531</v>
      </c>
      <c r="I65" s="465" t="s">
        <v>891</v>
      </c>
      <c r="J65" s="465" t="s">
        <v>886</v>
      </c>
      <c r="K65" s="465" t="s">
        <v>887</v>
      </c>
      <c r="L65" s="466">
        <v>0</v>
      </c>
      <c r="M65" s="466">
        <v>0</v>
      </c>
      <c r="N65" s="465">
        <v>4</v>
      </c>
      <c r="O65" s="539">
        <v>1.5</v>
      </c>
      <c r="P65" s="466">
        <v>0</v>
      </c>
      <c r="Q65" s="517"/>
      <c r="R65" s="465">
        <v>4</v>
      </c>
      <c r="S65" s="517">
        <v>1</v>
      </c>
      <c r="T65" s="539">
        <v>1.5</v>
      </c>
      <c r="U65" s="518">
        <v>1</v>
      </c>
    </row>
    <row r="66" spans="1:21" ht="14.4" customHeight="1" x14ac:dyDescent="0.3">
      <c r="A66" s="464">
        <v>35</v>
      </c>
      <c r="B66" s="465" t="s">
        <v>690</v>
      </c>
      <c r="C66" s="465">
        <v>89301356</v>
      </c>
      <c r="D66" s="537" t="s">
        <v>1056</v>
      </c>
      <c r="E66" s="538" t="s">
        <v>709</v>
      </c>
      <c r="F66" s="465" t="s">
        <v>702</v>
      </c>
      <c r="G66" s="465" t="s">
        <v>723</v>
      </c>
      <c r="H66" s="465" t="s">
        <v>682</v>
      </c>
      <c r="I66" s="465" t="s">
        <v>892</v>
      </c>
      <c r="J66" s="465" t="s">
        <v>893</v>
      </c>
      <c r="K66" s="465" t="s">
        <v>673</v>
      </c>
      <c r="L66" s="466">
        <v>138.16</v>
      </c>
      <c r="M66" s="466">
        <v>138.16</v>
      </c>
      <c r="N66" s="465">
        <v>1</v>
      </c>
      <c r="O66" s="539">
        <v>1</v>
      </c>
      <c r="P66" s="466">
        <v>138.16</v>
      </c>
      <c r="Q66" s="517">
        <v>1</v>
      </c>
      <c r="R66" s="465">
        <v>1</v>
      </c>
      <c r="S66" s="517">
        <v>1</v>
      </c>
      <c r="T66" s="539">
        <v>1</v>
      </c>
      <c r="U66" s="518">
        <v>1</v>
      </c>
    </row>
    <row r="67" spans="1:21" ht="14.4" customHeight="1" x14ac:dyDescent="0.3">
      <c r="A67" s="464">
        <v>35</v>
      </c>
      <c r="B67" s="465" t="s">
        <v>690</v>
      </c>
      <c r="C67" s="465">
        <v>89301356</v>
      </c>
      <c r="D67" s="537" t="s">
        <v>1056</v>
      </c>
      <c r="E67" s="538" t="s">
        <v>709</v>
      </c>
      <c r="F67" s="465" t="s">
        <v>702</v>
      </c>
      <c r="G67" s="465" t="s">
        <v>894</v>
      </c>
      <c r="H67" s="465" t="s">
        <v>682</v>
      </c>
      <c r="I67" s="465" t="s">
        <v>895</v>
      </c>
      <c r="J67" s="465" t="s">
        <v>896</v>
      </c>
      <c r="K67" s="465" t="s">
        <v>897</v>
      </c>
      <c r="L67" s="466">
        <v>118.82</v>
      </c>
      <c r="M67" s="466">
        <v>237.64</v>
      </c>
      <c r="N67" s="465">
        <v>2</v>
      </c>
      <c r="O67" s="539">
        <v>1</v>
      </c>
      <c r="P67" s="466">
        <v>237.64</v>
      </c>
      <c r="Q67" s="517">
        <v>1</v>
      </c>
      <c r="R67" s="465">
        <v>2</v>
      </c>
      <c r="S67" s="517">
        <v>1</v>
      </c>
      <c r="T67" s="539">
        <v>1</v>
      </c>
      <c r="U67" s="518">
        <v>1</v>
      </c>
    </row>
    <row r="68" spans="1:21" ht="14.4" customHeight="1" x14ac:dyDescent="0.3">
      <c r="A68" s="464">
        <v>35</v>
      </c>
      <c r="B68" s="465" t="s">
        <v>690</v>
      </c>
      <c r="C68" s="465">
        <v>89301356</v>
      </c>
      <c r="D68" s="537" t="s">
        <v>1056</v>
      </c>
      <c r="E68" s="538" t="s">
        <v>709</v>
      </c>
      <c r="F68" s="465" t="s">
        <v>702</v>
      </c>
      <c r="G68" s="465" t="s">
        <v>898</v>
      </c>
      <c r="H68" s="465" t="s">
        <v>682</v>
      </c>
      <c r="I68" s="465" t="s">
        <v>899</v>
      </c>
      <c r="J68" s="465" t="s">
        <v>900</v>
      </c>
      <c r="K68" s="465" t="s">
        <v>901</v>
      </c>
      <c r="L68" s="466">
        <v>2118.4299999999998</v>
      </c>
      <c r="M68" s="466">
        <v>8473.7199999999993</v>
      </c>
      <c r="N68" s="465">
        <v>4</v>
      </c>
      <c r="O68" s="539">
        <v>2.5</v>
      </c>
      <c r="P68" s="466">
        <v>8473.7199999999993</v>
      </c>
      <c r="Q68" s="517">
        <v>1</v>
      </c>
      <c r="R68" s="465">
        <v>4</v>
      </c>
      <c r="S68" s="517">
        <v>1</v>
      </c>
      <c r="T68" s="539">
        <v>2.5</v>
      </c>
      <c r="U68" s="518">
        <v>1</v>
      </c>
    </row>
    <row r="69" spans="1:21" ht="14.4" customHeight="1" x14ac:dyDescent="0.3">
      <c r="A69" s="464">
        <v>35</v>
      </c>
      <c r="B69" s="465" t="s">
        <v>690</v>
      </c>
      <c r="C69" s="465">
        <v>89301356</v>
      </c>
      <c r="D69" s="537" t="s">
        <v>1056</v>
      </c>
      <c r="E69" s="538" t="s">
        <v>709</v>
      </c>
      <c r="F69" s="465" t="s">
        <v>702</v>
      </c>
      <c r="G69" s="465" t="s">
        <v>902</v>
      </c>
      <c r="H69" s="465" t="s">
        <v>531</v>
      </c>
      <c r="I69" s="465" t="s">
        <v>903</v>
      </c>
      <c r="J69" s="465" t="s">
        <v>904</v>
      </c>
      <c r="K69" s="465" t="s">
        <v>905</v>
      </c>
      <c r="L69" s="466">
        <v>0</v>
      </c>
      <c r="M69" s="466">
        <v>0</v>
      </c>
      <c r="N69" s="465">
        <v>1</v>
      </c>
      <c r="O69" s="539">
        <v>1</v>
      </c>
      <c r="P69" s="466"/>
      <c r="Q69" s="517"/>
      <c r="R69" s="465"/>
      <c r="S69" s="517">
        <v>0</v>
      </c>
      <c r="T69" s="539"/>
      <c r="U69" s="518">
        <v>0</v>
      </c>
    </row>
    <row r="70" spans="1:21" ht="14.4" customHeight="1" x14ac:dyDescent="0.3">
      <c r="A70" s="464">
        <v>35</v>
      </c>
      <c r="B70" s="465" t="s">
        <v>690</v>
      </c>
      <c r="C70" s="465">
        <v>89301356</v>
      </c>
      <c r="D70" s="537" t="s">
        <v>1056</v>
      </c>
      <c r="E70" s="538" t="s">
        <v>709</v>
      </c>
      <c r="F70" s="465" t="s">
        <v>702</v>
      </c>
      <c r="G70" s="465" t="s">
        <v>727</v>
      </c>
      <c r="H70" s="465" t="s">
        <v>531</v>
      </c>
      <c r="I70" s="465" t="s">
        <v>906</v>
      </c>
      <c r="J70" s="465" t="s">
        <v>729</v>
      </c>
      <c r="K70" s="465" t="s">
        <v>730</v>
      </c>
      <c r="L70" s="466">
        <v>115.3</v>
      </c>
      <c r="M70" s="466">
        <v>230.6</v>
      </c>
      <c r="N70" s="465">
        <v>2</v>
      </c>
      <c r="O70" s="539">
        <v>0.5</v>
      </c>
      <c r="P70" s="466">
        <v>230.6</v>
      </c>
      <c r="Q70" s="517">
        <v>1</v>
      </c>
      <c r="R70" s="465">
        <v>2</v>
      </c>
      <c r="S70" s="517">
        <v>1</v>
      </c>
      <c r="T70" s="539">
        <v>0.5</v>
      </c>
      <c r="U70" s="518">
        <v>1</v>
      </c>
    </row>
    <row r="71" spans="1:21" ht="14.4" customHeight="1" x14ac:dyDescent="0.3">
      <c r="A71" s="464">
        <v>35</v>
      </c>
      <c r="B71" s="465" t="s">
        <v>690</v>
      </c>
      <c r="C71" s="465">
        <v>89301356</v>
      </c>
      <c r="D71" s="537" t="s">
        <v>1056</v>
      </c>
      <c r="E71" s="538" t="s">
        <v>709</v>
      </c>
      <c r="F71" s="465" t="s">
        <v>702</v>
      </c>
      <c r="G71" s="465" t="s">
        <v>727</v>
      </c>
      <c r="H71" s="465" t="s">
        <v>531</v>
      </c>
      <c r="I71" s="465" t="s">
        <v>907</v>
      </c>
      <c r="J71" s="465" t="s">
        <v>729</v>
      </c>
      <c r="K71" s="465" t="s">
        <v>730</v>
      </c>
      <c r="L71" s="466">
        <v>115.3</v>
      </c>
      <c r="M71" s="466">
        <v>345.9</v>
      </c>
      <c r="N71" s="465">
        <v>3</v>
      </c>
      <c r="O71" s="539">
        <v>2</v>
      </c>
      <c r="P71" s="466">
        <v>115.3</v>
      </c>
      <c r="Q71" s="517">
        <v>0.33333333333333337</v>
      </c>
      <c r="R71" s="465">
        <v>1</v>
      </c>
      <c r="S71" s="517">
        <v>0.33333333333333331</v>
      </c>
      <c r="T71" s="539">
        <v>1</v>
      </c>
      <c r="U71" s="518">
        <v>0.5</v>
      </c>
    </row>
    <row r="72" spans="1:21" ht="14.4" customHeight="1" x14ac:dyDescent="0.3">
      <c r="A72" s="464">
        <v>35</v>
      </c>
      <c r="B72" s="465" t="s">
        <v>690</v>
      </c>
      <c r="C72" s="465">
        <v>89301356</v>
      </c>
      <c r="D72" s="537" t="s">
        <v>1056</v>
      </c>
      <c r="E72" s="538" t="s">
        <v>709</v>
      </c>
      <c r="F72" s="465" t="s">
        <v>702</v>
      </c>
      <c r="G72" s="465" t="s">
        <v>727</v>
      </c>
      <c r="H72" s="465" t="s">
        <v>531</v>
      </c>
      <c r="I72" s="465" t="s">
        <v>908</v>
      </c>
      <c r="J72" s="465" t="s">
        <v>729</v>
      </c>
      <c r="K72" s="465" t="s">
        <v>730</v>
      </c>
      <c r="L72" s="466">
        <v>115.3</v>
      </c>
      <c r="M72" s="466">
        <v>230.6</v>
      </c>
      <c r="N72" s="465">
        <v>2</v>
      </c>
      <c r="O72" s="539">
        <v>1</v>
      </c>
      <c r="P72" s="466"/>
      <c r="Q72" s="517">
        <v>0</v>
      </c>
      <c r="R72" s="465"/>
      <c r="S72" s="517">
        <v>0</v>
      </c>
      <c r="T72" s="539"/>
      <c r="U72" s="518">
        <v>0</v>
      </c>
    </row>
    <row r="73" spans="1:21" ht="14.4" customHeight="1" x14ac:dyDescent="0.3">
      <c r="A73" s="464">
        <v>35</v>
      </c>
      <c r="B73" s="465" t="s">
        <v>690</v>
      </c>
      <c r="C73" s="465">
        <v>89301356</v>
      </c>
      <c r="D73" s="537" t="s">
        <v>1056</v>
      </c>
      <c r="E73" s="538" t="s">
        <v>709</v>
      </c>
      <c r="F73" s="465" t="s">
        <v>702</v>
      </c>
      <c r="G73" s="465" t="s">
        <v>909</v>
      </c>
      <c r="H73" s="465" t="s">
        <v>531</v>
      </c>
      <c r="I73" s="465" t="s">
        <v>910</v>
      </c>
      <c r="J73" s="465" t="s">
        <v>911</v>
      </c>
      <c r="K73" s="465" t="s">
        <v>912</v>
      </c>
      <c r="L73" s="466">
        <v>128.9</v>
      </c>
      <c r="M73" s="466">
        <v>128.9</v>
      </c>
      <c r="N73" s="465">
        <v>1</v>
      </c>
      <c r="O73" s="539">
        <v>1</v>
      </c>
      <c r="P73" s="466">
        <v>128.9</v>
      </c>
      <c r="Q73" s="517">
        <v>1</v>
      </c>
      <c r="R73" s="465">
        <v>1</v>
      </c>
      <c r="S73" s="517">
        <v>1</v>
      </c>
      <c r="T73" s="539">
        <v>1</v>
      </c>
      <c r="U73" s="518">
        <v>1</v>
      </c>
    </row>
    <row r="74" spans="1:21" ht="14.4" customHeight="1" x14ac:dyDescent="0.3">
      <c r="A74" s="464">
        <v>35</v>
      </c>
      <c r="B74" s="465" t="s">
        <v>690</v>
      </c>
      <c r="C74" s="465">
        <v>89301356</v>
      </c>
      <c r="D74" s="537" t="s">
        <v>1056</v>
      </c>
      <c r="E74" s="538" t="s">
        <v>709</v>
      </c>
      <c r="F74" s="465" t="s">
        <v>702</v>
      </c>
      <c r="G74" s="465" t="s">
        <v>909</v>
      </c>
      <c r="H74" s="465" t="s">
        <v>531</v>
      </c>
      <c r="I74" s="465" t="s">
        <v>913</v>
      </c>
      <c r="J74" s="465" t="s">
        <v>911</v>
      </c>
      <c r="K74" s="465" t="s">
        <v>914</v>
      </c>
      <c r="L74" s="466">
        <v>0</v>
      </c>
      <c r="M74" s="466">
        <v>0</v>
      </c>
      <c r="N74" s="465">
        <v>1</v>
      </c>
      <c r="O74" s="539">
        <v>1</v>
      </c>
      <c r="P74" s="466">
        <v>0</v>
      </c>
      <c r="Q74" s="517"/>
      <c r="R74" s="465">
        <v>1</v>
      </c>
      <c r="S74" s="517">
        <v>1</v>
      </c>
      <c r="T74" s="539">
        <v>1</v>
      </c>
      <c r="U74" s="518">
        <v>1</v>
      </c>
    </row>
    <row r="75" spans="1:21" ht="14.4" customHeight="1" x14ac:dyDescent="0.3">
      <c r="A75" s="464">
        <v>35</v>
      </c>
      <c r="B75" s="465" t="s">
        <v>690</v>
      </c>
      <c r="C75" s="465">
        <v>89301356</v>
      </c>
      <c r="D75" s="537" t="s">
        <v>1056</v>
      </c>
      <c r="E75" s="538" t="s">
        <v>709</v>
      </c>
      <c r="F75" s="465" t="s">
        <v>702</v>
      </c>
      <c r="G75" s="465" t="s">
        <v>909</v>
      </c>
      <c r="H75" s="465" t="s">
        <v>531</v>
      </c>
      <c r="I75" s="465" t="s">
        <v>915</v>
      </c>
      <c r="J75" s="465" t="s">
        <v>911</v>
      </c>
      <c r="K75" s="465" t="s">
        <v>916</v>
      </c>
      <c r="L75" s="466">
        <v>386.72</v>
      </c>
      <c r="M75" s="466">
        <v>386.72</v>
      </c>
      <c r="N75" s="465">
        <v>1</v>
      </c>
      <c r="O75" s="539">
        <v>1</v>
      </c>
      <c r="P75" s="466">
        <v>386.72</v>
      </c>
      <c r="Q75" s="517">
        <v>1</v>
      </c>
      <c r="R75" s="465">
        <v>1</v>
      </c>
      <c r="S75" s="517">
        <v>1</v>
      </c>
      <c r="T75" s="539">
        <v>1</v>
      </c>
      <c r="U75" s="518">
        <v>1</v>
      </c>
    </row>
    <row r="76" spans="1:21" ht="14.4" customHeight="1" x14ac:dyDescent="0.3">
      <c r="A76" s="464">
        <v>35</v>
      </c>
      <c r="B76" s="465" t="s">
        <v>690</v>
      </c>
      <c r="C76" s="465">
        <v>89301356</v>
      </c>
      <c r="D76" s="537" t="s">
        <v>1056</v>
      </c>
      <c r="E76" s="538" t="s">
        <v>709</v>
      </c>
      <c r="F76" s="465" t="s">
        <v>702</v>
      </c>
      <c r="G76" s="465" t="s">
        <v>917</v>
      </c>
      <c r="H76" s="465" t="s">
        <v>682</v>
      </c>
      <c r="I76" s="465" t="s">
        <v>918</v>
      </c>
      <c r="J76" s="465" t="s">
        <v>919</v>
      </c>
      <c r="K76" s="465" t="s">
        <v>920</v>
      </c>
      <c r="L76" s="466">
        <v>0</v>
      </c>
      <c r="M76" s="466">
        <v>0</v>
      </c>
      <c r="N76" s="465">
        <v>1</v>
      </c>
      <c r="O76" s="539">
        <v>1</v>
      </c>
      <c r="P76" s="466">
        <v>0</v>
      </c>
      <c r="Q76" s="517"/>
      <c r="R76" s="465">
        <v>1</v>
      </c>
      <c r="S76" s="517">
        <v>1</v>
      </c>
      <c r="T76" s="539">
        <v>1</v>
      </c>
      <c r="U76" s="518">
        <v>1</v>
      </c>
    </row>
    <row r="77" spans="1:21" ht="14.4" customHeight="1" x14ac:dyDescent="0.3">
      <c r="A77" s="464">
        <v>35</v>
      </c>
      <c r="B77" s="465" t="s">
        <v>690</v>
      </c>
      <c r="C77" s="465">
        <v>89301356</v>
      </c>
      <c r="D77" s="537" t="s">
        <v>1056</v>
      </c>
      <c r="E77" s="538" t="s">
        <v>709</v>
      </c>
      <c r="F77" s="465" t="s">
        <v>702</v>
      </c>
      <c r="G77" s="465" t="s">
        <v>921</v>
      </c>
      <c r="H77" s="465" t="s">
        <v>531</v>
      </c>
      <c r="I77" s="465" t="s">
        <v>922</v>
      </c>
      <c r="J77" s="465" t="s">
        <v>923</v>
      </c>
      <c r="K77" s="465" t="s">
        <v>924</v>
      </c>
      <c r="L77" s="466">
        <v>75.5</v>
      </c>
      <c r="M77" s="466">
        <v>75.5</v>
      </c>
      <c r="N77" s="465">
        <v>1</v>
      </c>
      <c r="O77" s="539">
        <v>1</v>
      </c>
      <c r="P77" s="466">
        <v>75.5</v>
      </c>
      <c r="Q77" s="517">
        <v>1</v>
      </c>
      <c r="R77" s="465">
        <v>1</v>
      </c>
      <c r="S77" s="517">
        <v>1</v>
      </c>
      <c r="T77" s="539">
        <v>1</v>
      </c>
      <c r="U77" s="518">
        <v>1</v>
      </c>
    </row>
    <row r="78" spans="1:21" ht="14.4" customHeight="1" x14ac:dyDescent="0.3">
      <c r="A78" s="464">
        <v>35</v>
      </c>
      <c r="B78" s="465" t="s">
        <v>690</v>
      </c>
      <c r="C78" s="465">
        <v>89301356</v>
      </c>
      <c r="D78" s="537" t="s">
        <v>1056</v>
      </c>
      <c r="E78" s="538" t="s">
        <v>709</v>
      </c>
      <c r="F78" s="465" t="s">
        <v>702</v>
      </c>
      <c r="G78" s="465" t="s">
        <v>925</v>
      </c>
      <c r="H78" s="465" t="s">
        <v>531</v>
      </c>
      <c r="I78" s="465" t="s">
        <v>926</v>
      </c>
      <c r="J78" s="465" t="s">
        <v>927</v>
      </c>
      <c r="K78" s="465" t="s">
        <v>928</v>
      </c>
      <c r="L78" s="466">
        <v>0</v>
      </c>
      <c r="M78" s="466">
        <v>0</v>
      </c>
      <c r="N78" s="465">
        <v>2</v>
      </c>
      <c r="O78" s="539">
        <v>2</v>
      </c>
      <c r="P78" s="466">
        <v>0</v>
      </c>
      <c r="Q78" s="517"/>
      <c r="R78" s="465">
        <v>2</v>
      </c>
      <c r="S78" s="517">
        <v>1</v>
      </c>
      <c r="T78" s="539">
        <v>2</v>
      </c>
      <c r="U78" s="518">
        <v>1</v>
      </c>
    </row>
    <row r="79" spans="1:21" ht="14.4" customHeight="1" x14ac:dyDescent="0.3">
      <c r="A79" s="464">
        <v>35</v>
      </c>
      <c r="B79" s="465" t="s">
        <v>690</v>
      </c>
      <c r="C79" s="465">
        <v>89301356</v>
      </c>
      <c r="D79" s="537" t="s">
        <v>1056</v>
      </c>
      <c r="E79" s="538" t="s">
        <v>709</v>
      </c>
      <c r="F79" s="465" t="s">
        <v>702</v>
      </c>
      <c r="G79" s="465" t="s">
        <v>929</v>
      </c>
      <c r="H79" s="465" t="s">
        <v>531</v>
      </c>
      <c r="I79" s="465" t="s">
        <v>930</v>
      </c>
      <c r="J79" s="465" t="s">
        <v>931</v>
      </c>
      <c r="K79" s="465" t="s">
        <v>932</v>
      </c>
      <c r="L79" s="466">
        <v>0</v>
      </c>
      <c r="M79" s="466">
        <v>0</v>
      </c>
      <c r="N79" s="465">
        <v>1</v>
      </c>
      <c r="O79" s="539">
        <v>1</v>
      </c>
      <c r="P79" s="466">
        <v>0</v>
      </c>
      <c r="Q79" s="517"/>
      <c r="R79" s="465">
        <v>1</v>
      </c>
      <c r="S79" s="517">
        <v>1</v>
      </c>
      <c r="T79" s="539">
        <v>1</v>
      </c>
      <c r="U79" s="518">
        <v>1</v>
      </c>
    </row>
    <row r="80" spans="1:21" ht="14.4" customHeight="1" x14ac:dyDescent="0.3">
      <c r="A80" s="464">
        <v>35</v>
      </c>
      <c r="B80" s="465" t="s">
        <v>690</v>
      </c>
      <c r="C80" s="465">
        <v>89301356</v>
      </c>
      <c r="D80" s="537" t="s">
        <v>1056</v>
      </c>
      <c r="E80" s="538" t="s">
        <v>709</v>
      </c>
      <c r="F80" s="465" t="s">
        <v>702</v>
      </c>
      <c r="G80" s="465" t="s">
        <v>754</v>
      </c>
      <c r="H80" s="465" t="s">
        <v>531</v>
      </c>
      <c r="I80" s="465" t="s">
        <v>755</v>
      </c>
      <c r="J80" s="465" t="s">
        <v>756</v>
      </c>
      <c r="K80" s="465" t="s">
        <v>757</v>
      </c>
      <c r="L80" s="466">
        <v>38.65</v>
      </c>
      <c r="M80" s="466">
        <v>38.65</v>
      </c>
      <c r="N80" s="465">
        <v>1</v>
      </c>
      <c r="O80" s="539">
        <v>1</v>
      </c>
      <c r="P80" s="466">
        <v>38.65</v>
      </c>
      <c r="Q80" s="517">
        <v>1</v>
      </c>
      <c r="R80" s="465">
        <v>1</v>
      </c>
      <c r="S80" s="517">
        <v>1</v>
      </c>
      <c r="T80" s="539">
        <v>1</v>
      </c>
      <c r="U80" s="518">
        <v>1</v>
      </c>
    </row>
    <row r="81" spans="1:21" ht="14.4" customHeight="1" x14ac:dyDescent="0.3">
      <c r="A81" s="464">
        <v>35</v>
      </c>
      <c r="B81" s="465" t="s">
        <v>690</v>
      </c>
      <c r="C81" s="465">
        <v>89301356</v>
      </c>
      <c r="D81" s="537" t="s">
        <v>1056</v>
      </c>
      <c r="E81" s="538" t="s">
        <v>709</v>
      </c>
      <c r="F81" s="465" t="s">
        <v>702</v>
      </c>
      <c r="G81" s="465" t="s">
        <v>933</v>
      </c>
      <c r="H81" s="465" t="s">
        <v>531</v>
      </c>
      <c r="I81" s="465" t="s">
        <v>934</v>
      </c>
      <c r="J81" s="465" t="s">
        <v>935</v>
      </c>
      <c r="K81" s="465" t="s">
        <v>936</v>
      </c>
      <c r="L81" s="466">
        <v>120.37</v>
      </c>
      <c r="M81" s="466">
        <v>240.74</v>
      </c>
      <c r="N81" s="465">
        <v>2</v>
      </c>
      <c r="O81" s="539">
        <v>1.5</v>
      </c>
      <c r="P81" s="466">
        <v>240.74</v>
      </c>
      <c r="Q81" s="517">
        <v>1</v>
      </c>
      <c r="R81" s="465">
        <v>2</v>
      </c>
      <c r="S81" s="517">
        <v>1</v>
      </c>
      <c r="T81" s="539">
        <v>1.5</v>
      </c>
      <c r="U81" s="518">
        <v>1</v>
      </c>
    </row>
    <row r="82" spans="1:21" ht="14.4" customHeight="1" x14ac:dyDescent="0.3">
      <c r="A82" s="464">
        <v>35</v>
      </c>
      <c r="B82" s="465" t="s">
        <v>690</v>
      </c>
      <c r="C82" s="465">
        <v>89301356</v>
      </c>
      <c r="D82" s="537" t="s">
        <v>1056</v>
      </c>
      <c r="E82" s="538" t="s">
        <v>709</v>
      </c>
      <c r="F82" s="465" t="s">
        <v>702</v>
      </c>
      <c r="G82" s="465" t="s">
        <v>937</v>
      </c>
      <c r="H82" s="465" t="s">
        <v>531</v>
      </c>
      <c r="I82" s="465" t="s">
        <v>938</v>
      </c>
      <c r="J82" s="465" t="s">
        <v>939</v>
      </c>
      <c r="K82" s="465" t="s">
        <v>940</v>
      </c>
      <c r="L82" s="466">
        <v>0</v>
      </c>
      <c r="M82" s="466">
        <v>0</v>
      </c>
      <c r="N82" s="465">
        <v>1</v>
      </c>
      <c r="O82" s="539">
        <v>1</v>
      </c>
      <c r="P82" s="466">
        <v>0</v>
      </c>
      <c r="Q82" s="517"/>
      <c r="R82" s="465">
        <v>1</v>
      </c>
      <c r="S82" s="517">
        <v>1</v>
      </c>
      <c r="T82" s="539">
        <v>1</v>
      </c>
      <c r="U82" s="518">
        <v>1</v>
      </c>
    </row>
    <row r="83" spans="1:21" ht="14.4" customHeight="1" x14ac:dyDescent="0.3">
      <c r="A83" s="464">
        <v>35</v>
      </c>
      <c r="B83" s="465" t="s">
        <v>690</v>
      </c>
      <c r="C83" s="465">
        <v>89301356</v>
      </c>
      <c r="D83" s="537" t="s">
        <v>1056</v>
      </c>
      <c r="E83" s="538" t="s">
        <v>709</v>
      </c>
      <c r="F83" s="465" t="s">
        <v>702</v>
      </c>
      <c r="G83" s="465" t="s">
        <v>758</v>
      </c>
      <c r="H83" s="465" t="s">
        <v>531</v>
      </c>
      <c r="I83" s="465" t="s">
        <v>941</v>
      </c>
      <c r="J83" s="465" t="s">
        <v>942</v>
      </c>
      <c r="K83" s="465" t="s">
        <v>943</v>
      </c>
      <c r="L83" s="466">
        <v>86.76</v>
      </c>
      <c r="M83" s="466">
        <v>86.76</v>
      </c>
      <c r="N83" s="465">
        <v>1</v>
      </c>
      <c r="O83" s="539">
        <v>1</v>
      </c>
      <c r="P83" s="466">
        <v>86.76</v>
      </c>
      <c r="Q83" s="517">
        <v>1</v>
      </c>
      <c r="R83" s="465">
        <v>1</v>
      </c>
      <c r="S83" s="517">
        <v>1</v>
      </c>
      <c r="T83" s="539">
        <v>1</v>
      </c>
      <c r="U83" s="518">
        <v>1</v>
      </c>
    </row>
    <row r="84" spans="1:21" ht="14.4" customHeight="1" x14ac:dyDescent="0.3">
      <c r="A84" s="464">
        <v>35</v>
      </c>
      <c r="B84" s="465" t="s">
        <v>690</v>
      </c>
      <c r="C84" s="465">
        <v>89301356</v>
      </c>
      <c r="D84" s="537" t="s">
        <v>1056</v>
      </c>
      <c r="E84" s="538" t="s">
        <v>709</v>
      </c>
      <c r="F84" s="465" t="s">
        <v>702</v>
      </c>
      <c r="G84" s="465" t="s">
        <v>862</v>
      </c>
      <c r="H84" s="465" t="s">
        <v>682</v>
      </c>
      <c r="I84" s="465" t="s">
        <v>863</v>
      </c>
      <c r="J84" s="465" t="s">
        <v>696</v>
      </c>
      <c r="K84" s="465" t="s">
        <v>864</v>
      </c>
      <c r="L84" s="466">
        <v>356.47</v>
      </c>
      <c r="M84" s="466">
        <v>356.47</v>
      </c>
      <c r="N84" s="465">
        <v>1</v>
      </c>
      <c r="O84" s="539">
        <v>1</v>
      </c>
      <c r="P84" s="466">
        <v>356.47</v>
      </c>
      <c r="Q84" s="517">
        <v>1</v>
      </c>
      <c r="R84" s="465">
        <v>1</v>
      </c>
      <c r="S84" s="517">
        <v>1</v>
      </c>
      <c r="T84" s="539">
        <v>1</v>
      </c>
      <c r="U84" s="518">
        <v>1</v>
      </c>
    </row>
    <row r="85" spans="1:21" ht="14.4" customHeight="1" x14ac:dyDescent="0.3">
      <c r="A85" s="464">
        <v>35</v>
      </c>
      <c r="B85" s="465" t="s">
        <v>690</v>
      </c>
      <c r="C85" s="465">
        <v>89301356</v>
      </c>
      <c r="D85" s="537" t="s">
        <v>1056</v>
      </c>
      <c r="E85" s="538" t="s">
        <v>709</v>
      </c>
      <c r="F85" s="465" t="s">
        <v>702</v>
      </c>
      <c r="G85" s="465" t="s">
        <v>862</v>
      </c>
      <c r="H85" s="465" t="s">
        <v>682</v>
      </c>
      <c r="I85" s="465" t="s">
        <v>684</v>
      </c>
      <c r="J85" s="465" t="s">
        <v>696</v>
      </c>
      <c r="K85" s="465" t="s">
        <v>697</v>
      </c>
      <c r="L85" s="466">
        <v>118.82</v>
      </c>
      <c r="M85" s="466">
        <v>118.82</v>
      </c>
      <c r="N85" s="465">
        <v>1</v>
      </c>
      <c r="O85" s="539">
        <v>1</v>
      </c>
      <c r="P85" s="466">
        <v>118.82</v>
      </c>
      <c r="Q85" s="517">
        <v>1</v>
      </c>
      <c r="R85" s="465">
        <v>1</v>
      </c>
      <c r="S85" s="517">
        <v>1</v>
      </c>
      <c r="T85" s="539">
        <v>1</v>
      </c>
      <c r="U85" s="518">
        <v>1</v>
      </c>
    </row>
    <row r="86" spans="1:21" ht="14.4" customHeight="1" x14ac:dyDescent="0.3">
      <c r="A86" s="464">
        <v>35</v>
      </c>
      <c r="B86" s="465" t="s">
        <v>690</v>
      </c>
      <c r="C86" s="465">
        <v>89301356</v>
      </c>
      <c r="D86" s="537" t="s">
        <v>1056</v>
      </c>
      <c r="E86" s="538" t="s">
        <v>709</v>
      </c>
      <c r="F86" s="465" t="s">
        <v>702</v>
      </c>
      <c r="G86" s="465" t="s">
        <v>944</v>
      </c>
      <c r="H86" s="465" t="s">
        <v>531</v>
      </c>
      <c r="I86" s="465" t="s">
        <v>945</v>
      </c>
      <c r="J86" s="465" t="s">
        <v>946</v>
      </c>
      <c r="K86" s="465" t="s">
        <v>947</v>
      </c>
      <c r="L86" s="466">
        <v>64.13</v>
      </c>
      <c r="M86" s="466">
        <v>64.13</v>
      </c>
      <c r="N86" s="465">
        <v>1</v>
      </c>
      <c r="O86" s="539">
        <v>0.5</v>
      </c>
      <c r="P86" s="466">
        <v>64.13</v>
      </c>
      <c r="Q86" s="517">
        <v>1</v>
      </c>
      <c r="R86" s="465">
        <v>1</v>
      </c>
      <c r="S86" s="517">
        <v>1</v>
      </c>
      <c r="T86" s="539">
        <v>0.5</v>
      </c>
      <c r="U86" s="518">
        <v>1</v>
      </c>
    </row>
    <row r="87" spans="1:21" ht="14.4" customHeight="1" x14ac:dyDescent="0.3">
      <c r="A87" s="464">
        <v>35</v>
      </c>
      <c r="B87" s="465" t="s">
        <v>690</v>
      </c>
      <c r="C87" s="465">
        <v>89301356</v>
      </c>
      <c r="D87" s="537" t="s">
        <v>1056</v>
      </c>
      <c r="E87" s="538" t="s">
        <v>709</v>
      </c>
      <c r="F87" s="465" t="s">
        <v>702</v>
      </c>
      <c r="G87" s="465" t="s">
        <v>768</v>
      </c>
      <c r="H87" s="465" t="s">
        <v>531</v>
      </c>
      <c r="I87" s="465" t="s">
        <v>769</v>
      </c>
      <c r="J87" s="465" t="s">
        <v>770</v>
      </c>
      <c r="K87" s="465" t="s">
        <v>736</v>
      </c>
      <c r="L87" s="466">
        <v>120.37</v>
      </c>
      <c r="M87" s="466">
        <v>120.37</v>
      </c>
      <c r="N87" s="465">
        <v>1</v>
      </c>
      <c r="O87" s="539">
        <v>0.5</v>
      </c>
      <c r="P87" s="466">
        <v>120.37</v>
      </c>
      <c r="Q87" s="517">
        <v>1</v>
      </c>
      <c r="R87" s="465">
        <v>1</v>
      </c>
      <c r="S87" s="517">
        <v>1</v>
      </c>
      <c r="T87" s="539">
        <v>0.5</v>
      </c>
      <c r="U87" s="518">
        <v>1</v>
      </c>
    </row>
    <row r="88" spans="1:21" ht="14.4" customHeight="1" x14ac:dyDescent="0.3">
      <c r="A88" s="464">
        <v>35</v>
      </c>
      <c r="B88" s="465" t="s">
        <v>690</v>
      </c>
      <c r="C88" s="465">
        <v>89301356</v>
      </c>
      <c r="D88" s="537" t="s">
        <v>1056</v>
      </c>
      <c r="E88" s="538" t="s">
        <v>709</v>
      </c>
      <c r="F88" s="465" t="s">
        <v>702</v>
      </c>
      <c r="G88" s="465" t="s">
        <v>948</v>
      </c>
      <c r="H88" s="465" t="s">
        <v>531</v>
      </c>
      <c r="I88" s="465" t="s">
        <v>949</v>
      </c>
      <c r="J88" s="465" t="s">
        <v>950</v>
      </c>
      <c r="K88" s="465" t="s">
        <v>951</v>
      </c>
      <c r="L88" s="466">
        <v>0</v>
      </c>
      <c r="M88" s="466">
        <v>0</v>
      </c>
      <c r="N88" s="465">
        <v>2</v>
      </c>
      <c r="O88" s="539">
        <v>0.5</v>
      </c>
      <c r="P88" s="466">
        <v>0</v>
      </c>
      <c r="Q88" s="517"/>
      <c r="R88" s="465">
        <v>2</v>
      </c>
      <c r="S88" s="517">
        <v>1</v>
      </c>
      <c r="T88" s="539">
        <v>0.5</v>
      </c>
      <c r="U88" s="518">
        <v>1</v>
      </c>
    </row>
    <row r="89" spans="1:21" ht="14.4" customHeight="1" x14ac:dyDescent="0.3">
      <c r="A89" s="464">
        <v>35</v>
      </c>
      <c r="B89" s="465" t="s">
        <v>690</v>
      </c>
      <c r="C89" s="465">
        <v>89301356</v>
      </c>
      <c r="D89" s="537" t="s">
        <v>1056</v>
      </c>
      <c r="E89" s="538" t="s">
        <v>709</v>
      </c>
      <c r="F89" s="465" t="s">
        <v>702</v>
      </c>
      <c r="G89" s="465" t="s">
        <v>771</v>
      </c>
      <c r="H89" s="465" t="s">
        <v>531</v>
      </c>
      <c r="I89" s="465" t="s">
        <v>772</v>
      </c>
      <c r="J89" s="465" t="s">
        <v>773</v>
      </c>
      <c r="K89" s="465" t="s">
        <v>774</v>
      </c>
      <c r="L89" s="466">
        <v>153.52000000000001</v>
      </c>
      <c r="M89" s="466">
        <v>153.52000000000001</v>
      </c>
      <c r="N89" s="465">
        <v>1</v>
      </c>
      <c r="O89" s="539">
        <v>1</v>
      </c>
      <c r="P89" s="466">
        <v>153.52000000000001</v>
      </c>
      <c r="Q89" s="517">
        <v>1</v>
      </c>
      <c r="R89" s="465">
        <v>1</v>
      </c>
      <c r="S89" s="517">
        <v>1</v>
      </c>
      <c r="T89" s="539">
        <v>1</v>
      </c>
      <c r="U89" s="518">
        <v>1</v>
      </c>
    </row>
    <row r="90" spans="1:21" ht="14.4" customHeight="1" x14ac:dyDescent="0.3">
      <c r="A90" s="464">
        <v>35</v>
      </c>
      <c r="B90" s="465" t="s">
        <v>690</v>
      </c>
      <c r="C90" s="465">
        <v>89301356</v>
      </c>
      <c r="D90" s="537" t="s">
        <v>1056</v>
      </c>
      <c r="E90" s="538" t="s">
        <v>709</v>
      </c>
      <c r="F90" s="465" t="s">
        <v>702</v>
      </c>
      <c r="G90" s="465" t="s">
        <v>952</v>
      </c>
      <c r="H90" s="465" t="s">
        <v>682</v>
      </c>
      <c r="I90" s="465" t="s">
        <v>953</v>
      </c>
      <c r="J90" s="465" t="s">
        <v>954</v>
      </c>
      <c r="K90" s="465" t="s">
        <v>955</v>
      </c>
      <c r="L90" s="466">
        <v>69.86</v>
      </c>
      <c r="M90" s="466">
        <v>209.57999999999998</v>
      </c>
      <c r="N90" s="465">
        <v>3</v>
      </c>
      <c r="O90" s="539">
        <v>2</v>
      </c>
      <c r="P90" s="466">
        <v>209.57999999999998</v>
      </c>
      <c r="Q90" s="517">
        <v>1</v>
      </c>
      <c r="R90" s="465">
        <v>3</v>
      </c>
      <c r="S90" s="517">
        <v>1</v>
      </c>
      <c r="T90" s="539">
        <v>2</v>
      </c>
      <c r="U90" s="518">
        <v>1</v>
      </c>
    </row>
    <row r="91" spans="1:21" ht="14.4" customHeight="1" x14ac:dyDescent="0.3">
      <c r="A91" s="464">
        <v>35</v>
      </c>
      <c r="B91" s="465" t="s">
        <v>690</v>
      </c>
      <c r="C91" s="465">
        <v>89301356</v>
      </c>
      <c r="D91" s="537" t="s">
        <v>1056</v>
      </c>
      <c r="E91" s="538" t="s">
        <v>709</v>
      </c>
      <c r="F91" s="465" t="s">
        <v>702</v>
      </c>
      <c r="G91" s="465" t="s">
        <v>956</v>
      </c>
      <c r="H91" s="465" t="s">
        <v>531</v>
      </c>
      <c r="I91" s="465" t="s">
        <v>957</v>
      </c>
      <c r="J91" s="465" t="s">
        <v>958</v>
      </c>
      <c r="K91" s="465" t="s">
        <v>959</v>
      </c>
      <c r="L91" s="466">
        <v>349.88</v>
      </c>
      <c r="M91" s="466">
        <v>699.76</v>
      </c>
      <c r="N91" s="465">
        <v>2</v>
      </c>
      <c r="O91" s="539">
        <v>1</v>
      </c>
      <c r="P91" s="466">
        <v>699.76</v>
      </c>
      <c r="Q91" s="517">
        <v>1</v>
      </c>
      <c r="R91" s="465">
        <v>2</v>
      </c>
      <c r="S91" s="517">
        <v>1</v>
      </c>
      <c r="T91" s="539">
        <v>1</v>
      </c>
      <c r="U91" s="518">
        <v>1</v>
      </c>
    </row>
    <row r="92" spans="1:21" ht="14.4" customHeight="1" x14ac:dyDescent="0.3">
      <c r="A92" s="464">
        <v>35</v>
      </c>
      <c r="B92" s="465" t="s">
        <v>690</v>
      </c>
      <c r="C92" s="465">
        <v>89301356</v>
      </c>
      <c r="D92" s="537" t="s">
        <v>1056</v>
      </c>
      <c r="E92" s="538" t="s">
        <v>709</v>
      </c>
      <c r="F92" s="465" t="s">
        <v>702</v>
      </c>
      <c r="G92" s="465" t="s">
        <v>956</v>
      </c>
      <c r="H92" s="465" t="s">
        <v>531</v>
      </c>
      <c r="I92" s="465" t="s">
        <v>960</v>
      </c>
      <c r="J92" s="465" t="s">
        <v>961</v>
      </c>
      <c r="K92" s="465" t="s">
        <v>959</v>
      </c>
      <c r="L92" s="466">
        <v>349.88</v>
      </c>
      <c r="M92" s="466">
        <v>2449.1600000000003</v>
      </c>
      <c r="N92" s="465">
        <v>7</v>
      </c>
      <c r="O92" s="539">
        <v>4.5</v>
      </c>
      <c r="P92" s="466">
        <v>2449.1600000000003</v>
      </c>
      <c r="Q92" s="517">
        <v>1</v>
      </c>
      <c r="R92" s="465">
        <v>7</v>
      </c>
      <c r="S92" s="517">
        <v>1</v>
      </c>
      <c r="T92" s="539">
        <v>4.5</v>
      </c>
      <c r="U92" s="518">
        <v>1</v>
      </c>
    </row>
    <row r="93" spans="1:21" ht="14.4" customHeight="1" x14ac:dyDescent="0.3">
      <c r="A93" s="464">
        <v>35</v>
      </c>
      <c r="B93" s="465" t="s">
        <v>690</v>
      </c>
      <c r="C93" s="465">
        <v>89301356</v>
      </c>
      <c r="D93" s="537" t="s">
        <v>1056</v>
      </c>
      <c r="E93" s="538" t="s">
        <v>709</v>
      </c>
      <c r="F93" s="465" t="s">
        <v>702</v>
      </c>
      <c r="G93" s="465" t="s">
        <v>956</v>
      </c>
      <c r="H93" s="465" t="s">
        <v>531</v>
      </c>
      <c r="I93" s="465" t="s">
        <v>962</v>
      </c>
      <c r="J93" s="465" t="s">
        <v>963</v>
      </c>
      <c r="K93" s="465" t="s">
        <v>964</v>
      </c>
      <c r="L93" s="466">
        <v>314.89999999999998</v>
      </c>
      <c r="M93" s="466">
        <v>314.89999999999998</v>
      </c>
      <c r="N93" s="465">
        <v>1</v>
      </c>
      <c r="O93" s="539">
        <v>1</v>
      </c>
      <c r="P93" s="466">
        <v>314.89999999999998</v>
      </c>
      <c r="Q93" s="517">
        <v>1</v>
      </c>
      <c r="R93" s="465">
        <v>1</v>
      </c>
      <c r="S93" s="517">
        <v>1</v>
      </c>
      <c r="T93" s="539">
        <v>1</v>
      </c>
      <c r="U93" s="518">
        <v>1</v>
      </c>
    </row>
    <row r="94" spans="1:21" ht="14.4" customHeight="1" x14ac:dyDescent="0.3">
      <c r="A94" s="464">
        <v>35</v>
      </c>
      <c r="B94" s="465" t="s">
        <v>690</v>
      </c>
      <c r="C94" s="465">
        <v>89301356</v>
      </c>
      <c r="D94" s="537" t="s">
        <v>1056</v>
      </c>
      <c r="E94" s="538" t="s">
        <v>709</v>
      </c>
      <c r="F94" s="465" t="s">
        <v>702</v>
      </c>
      <c r="G94" s="465" t="s">
        <v>779</v>
      </c>
      <c r="H94" s="465" t="s">
        <v>682</v>
      </c>
      <c r="I94" s="465" t="s">
        <v>965</v>
      </c>
      <c r="J94" s="465" t="s">
        <v>966</v>
      </c>
      <c r="K94" s="465" t="s">
        <v>967</v>
      </c>
      <c r="L94" s="466">
        <v>174.94</v>
      </c>
      <c r="M94" s="466">
        <v>174.94</v>
      </c>
      <c r="N94" s="465">
        <v>1</v>
      </c>
      <c r="O94" s="539">
        <v>1</v>
      </c>
      <c r="P94" s="466">
        <v>174.94</v>
      </c>
      <c r="Q94" s="517">
        <v>1</v>
      </c>
      <c r="R94" s="465">
        <v>1</v>
      </c>
      <c r="S94" s="517">
        <v>1</v>
      </c>
      <c r="T94" s="539">
        <v>1</v>
      </c>
      <c r="U94" s="518">
        <v>1</v>
      </c>
    </row>
    <row r="95" spans="1:21" ht="14.4" customHeight="1" x14ac:dyDescent="0.3">
      <c r="A95" s="464">
        <v>35</v>
      </c>
      <c r="B95" s="465" t="s">
        <v>690</v>
      </c>
      <c r="C95" s="465">
        <v>89301356</v>
      </c>
      <c r="D95" s="537" t="s">
        <v>1056</v>
      </c>
      <c r="E95" s="538" t="s">
        <v>709</v>
      </c>
      <c r="F95" s="465" t="s">
        <v>702</v>
      </c>
      <c r="G95" s="465" t="s">
        <v>968</v>
      </c>
      <c r="H95" s="465" t="s">
        <v>682</v>
      </c>
      <c r="I95" s="465" t="s">
        <v>969</v>
      </c>
      <c r="J95" s="465" t="s">
        <v>970</v>
      </c>
      <c r="K95" s="465" t="s">
        <v>971</v>
      </c>
      <c r="L95" s="466">
        <v>481.8</v>
      </c>
      <c r="M95" s="466">
        <v>1927.2</v>
      </c>
      <c r="N95" s="465">
        <v>4</v>
      </c>
      <c r="O95" s="539">
        <v>2</v>
      </c>
      <c r="P95" s="466">
        <v>1927.2</v>
      </c>
      <c r="Q95" s="517">
        <v>1</v>
      </c>
      <c r="R95" s="465">
        <v>4</v>
      </c>
      <c r="S95" s="517">
        <v>1</v>
      </c>
      <c r="T95" s="539">
        <v>2</v>
      </c>
      <c r="U95" s="518">
        <v>1</v>
      </c>
    </row>
    <row r="96" spans="1:21" ht="14.4" customHeight="1" x14ac:dyDescent="0.3">
      <c r="A96" s="464">
        <v>35</v>
      </c>
      <c r="B96" s="465" t="s">
        <v>690</v>
      </c>
      <c r="C96" s="465">
        <v>89301356</v>
      </c>
      <c r="D96" s="537" t="s">
        <v>1056</v>
      </c>
      <c r="E96" s="538" t="s">
        <v>709</v>
      </c>
      <c r="F96" s="465" t="s">
        <v>702</v>
      </c>
      <c r="G96" s="465" t="s">
        <v>972</v>
      </c>
      <c r="H96" s="465" t="s">
        <v>682</v>
      </c>
      <c r="I96" s="465" t="s">
        <v>973</v>
      </c>
      <c r="J96" s="465" t="s">
        <v>974</v>
      </c>
      <c r="K96" s="465" t="s">
        <v>975</v>
      </c>
      <c r="L96" s="466">
        <v>101.68</v>
      </c>
      <c r="M96" s="466">
        <v>305.04000000000002</v>
      </c>
      <c r="N96" s="465">
        <v>3</v>
      </c>
      <c r="O96" s="539">
        <v>0.5</v>
      </c>
      <c r="P96" s="466">
        <v>305.04000000000002</v>
      </c>
      <c r="Q96" s="517">
        <v>1</v>
      </c>
      <c r="R96" s="465">
        <v>3</v>
      </c>
      <c r="S96" s="517">
        <v>1</v>
      </c>
      <c r="T96" s="539">
        <v>0.5</v>
      </c>
      <c r="U96" s="518">
        <v>1</v>
      </c>
    </row>
    <row r="97" spans="1:21" ht="14.4" customHeight="1" x14ac:dyDescent="0.3">
      <c r="A97" s="464">
        <v>35</v>
      </c>
      <c r="B97" s="465" t="s">
        <v>690</v>
      </c>
      <c r="C97" s="465">
        <v>89301356</v>
      </c>
      <c r="D97" s="537" t="s">
        <v>1056</v>
      </c>
      <c r="E97" s="538" t="s">
        <v>709</v>
      </c>
      <c r="F97" s="465" t="s">
        <v>702</v>
      </c>
      <c r="G97" s="465" t="s">
        <v>972</v>
      </c>
      <c r="H97" s="465" t="s">
        <v>682</v>
      </c>
      <c r="I97" s="465" t="s">
        <v>976</v>
      </c>
      <c r="J97" s="465" t="s">
        <v>974</v>
      </c>
      <c r="K97" s="465" t="s">
        <v>977</v>
      </c>
      <c r="L97" s="466">
        <v>305.08</v>
      </c>
      <c r="M97" s="466">
        <v>305.08</v>
      </c>
      <c r="N97" s="465">
        <v>1</v>
      </c>
      <c r="O97" s="539">
        <v>0.5</v>
      </c>
      <c r="P97" s="466">
        <v>305.08</v>
      </c>
      <c r="Q97" s="517">
        <v>1</v>
      </c>
      <c r="R97" s="465">
        <v>1</v>
      </c>
      <c r="S97" s="517">
        <v>1</v>
      </c>
      <c r="T97" s="539">
        <v>0.5</v>
      </c>
      <c r="U97" s="518">
        <v>1</v>
      </c>
    </row>
    <row r="98" spans="1:21" ht="14.4" customHeight="1" x14ac:dyDescent="0.3">
      <c r="A98" s="464">
        <v>35</v>
      </c>
      <c r="B98" s="465" t="s">
        <v>690</v>
      </c>
      <c r="C98" s="465">
        <v>89301356</v>
      </c>
      <c r="D98" s="537" t="s">
        <v>1056</v>
      </c>
      <c r="E98" s="538" t="s">
        <v>709</v>
      </c>
      <c r="F98" s="465" t="s">
        <v>702</v>
      </c>
      <c r="G98" s="465" t="s">
        <v>787</v>
      </c>
      <c r="H98" s="465" t="s">
        <v>531</v>
      </c>
      <c r="I98" s="465" t="s">
        <v>663</v>
      </c>
      <c r="J98" s="465" t="s">
        <v>664</v>
      </c>
      <c r="K98" s="465" t="s">
        <v>665</v>
      </c>
      <c r="L98" s="466">
        <v>113.37</v>
      </c>
      <c r="M98" s="466">
        <v>113.37</v>
      </c>
      <c r="N98" s="465">
        <v>1</v>
      </c>
      <c r="O98" s="539">
        <v>1</v>
      </c>
      <c r="P98" s="466">
        <v>113.37</v>
      </c>
      <c r="Q98" s="517">
        <v>1</v>
      </c>
      <c r="R98" s="465">
        <v>1</v>
      </c>
      <c r="S98" s="517">
        <v>1</v>
      </c>
      <c r="T98" s="539">
        <v>1</v>
      </c>
      <c r="U98" s="518">
        <v>1</v>
      </c>
    </row>
    <row r="99" spans="1:21" ht="14.4" customHeight="1" x14ac:dyDescent="0.3">
      <c r="A99" s="464">
        <v>35</v>
      </c>
      <c r="B99" s="465" t="s">
        <v>690</v>
      </c>
      <c r="C99" s="465">
        <v>89301356</v>
      </c>
      <c r="D99" s="537" t="s">
        <v>1056</v>
      </c>
      <c r="E99" s="538" t="s">
        <v>709</v>
      </c>
      <c r="F99" s="465" t="s">
        <v>702</v>
      </c>
      <c r="G99" s="465" t="s">
        <v>787</v>
      </c>
      <c r="H99" s="465" t="s">
        <v>531</v>
      </c>
      <c r="I99" s="465" t="s">
        <v>788</v>
      </c>
      <c r="J99" s="465" t="s">
        <v>664</v>
      </c>
      <c r="K99" s="465" t="s">
        <v>789</v>
      </c>
      <c r="L99" s="466">
        <v>56.69</v>
      </c>
      <c r="M99" s="466">
        <v>56.69</v>
      </c>
      <c r="N99" s="465">
        <v>1</v>
      </c>
      <c r="O99" s="539">
        <v>1</v>
      </c>
      <c r="P99" s="466">
        <v>56.69</v>
      </c>
      <c r="Q99" s="517">
        <v>1</v>
      </c>
      <c r="R99" s="465">
        <v>1</v>
      </c>
      <c r="S99" s="517">
        <v>1</v>
      </c>
      <c r="T99" s="539">
        <v>1</v>
      </c>
      <c r="U99" s="518">
        <v>1</v>
      </c>
    </row>
    <row r="100" spans="1:21" ht="14.4" customHeight="1" x14ac:dyDescent="0.3">
      <c r="A100" s="464">
        <v>35</v>
      </c>
      <c r="B100" s="465" t="s">
        <v>690</v>
      </c>
      <c r="C100" s="465">
        <v>89301356</v>
      </c>
      <c r="D100" s="537" t="s">
        <v>1056</v>
      </c>
      <c r="E100" s="538" t="s">
        <v>709</v>
      </c>
      <c r="F100" s="465" t="s">
        <v>702</v>
      </c>
      <c r="G100" s="465" t="s">
        <v>797</v>
      </c>
      <c r="H100" s="465" t="s">
        <v>682</v>
      </c>
      <c r="I100" s="465" t="s">
        <v>978</v>
      </c>
      <c r="J100" s="465" t="s">
        <v>799</v>
      </c>
      <c r="K100" s="465" t="s">
        <v>979</v>
      </c>
      <c r="L100" s="466">
        <v>56.01</v>
      </c>
      <c r="M100" s="466">
        <v>56.01</v>
      </c>
      <c r="N100" s="465">
        <v>1</v>
      </c>
      <c r="O100" s="539">
        <v>0.5</v>
      </c>
      <c r="P100" s="466">
        <v>56.01</v>
      </c>
      <c r="Q100" s="517">
        <v>1</v>
      </c>
      <c r="R100" s="465">
        <v>1</v>
      </c>
      <c r="S100" s="517">
        <v>1</v>
      </c>
      <c r="T100" s="539">
        <v>0.5</v>
      </c>
      <c r="U100" s="518">
        <v>1</v>
      </c>
    </row>
    <row r="101" spans="1:21" ht="14.4" customHeight="1" x14ac:dyDescent="0.3">
      <c r="A101" s="464">
        <v>35</v>
      </c>
      <c r="B101" s="465" t="s">
        <v>690</v>
      </c>
      <c r="C101" s="465">
        <v>89301356</v>
      </c>
      <c r="D101" s="537" t="s">
        <v>1056</v>
      </c>
      <c r="E101" s="538" t="s">
        <v>709</v>
      </c>
      <c r="F101" s="465" t="s">
        <v>702</v>
      </c>
      <c r="G101" s="465" t="s">
        <v>797</v>
      </c>
      <c r="H101" s="465" t="s">
        <v>682</v>
      </c>
      <c r="I101" s="465" t="s">
        <v>798</v>
      </c>
      <c r="J101" s="465" t="s">
        <v>799</v>
      </c>
      <c r="K101" s="465" t="s">
        <v>800</v>
      </c>
      <c r="L101" s="466">
        <v>140.03</v>
      </c>
      <c r="M101" s="466">
        <v>280.06</v>
      </c>
      <c r="N101" s="465">
        <v>2</v>
      </c>
      <c r="O101" s="539">
        <v>1.5</v>
      </c>
      <c r="P101" s="466">
        <v>280.06</v>
      </c>
      <c r="Q101" s="517">
        <v>1</v>
      </c>
      <c r="R101" s="465">
        <v>2</v>
      </c>
      <c r="S101" s="517">
        <v>1</v>
      </c>
      <c r="T101" s="539">
        <v>1.5</v>
      </c>
      <c r="U101" s="518">
        <v>1</v>
      </c>
    </row>
    <row r="102" spans="1:21" ht="14.4" customHeight="1" x14ac:dyDescent="0.3">
      <c r="A102" s="464">
        <v>35</v>
      </c>
      <c r="B102" s="465" t="s">
        <v>690</v>
      </c>
      <c r="C102" s="465">
        <v>89301356</v>
      </c>
      <c r="D102" s="537" t="s">
        <v>1056</v>
      </c>
      <c r="E102" s="538" t="s">
        <v>709</v>
      </c>
      <c r="F102" s="465" t="s">
        <v>702</v>
      </c>
      <c r="G102" s="465" t="s">
        <v>980</v>
      </c>
      <c r="H102" s="465" t="s">
        <v>682</v>
      </c>
      <c r="I102" s="465" t="s">
        <v>981</v>
      </c>
      <c r="J102" s="465" t="s">
        <v>982</v>
      </c>
      <c r="K102" s="465" t="s">
        <v>983</v>
      </c>
      <c r="L102" s="466">
        <v>27.21</v>
      </c>
      <c r="M102" s="466">
        <v>54.42</v>
      </c>
      <c r="N102" s="465">
        <v>2</v>
      </c>
      <c r="O102" s="539">
        <v>1</v>
      </c>
      <c r="P102" s="466">
        <v>54.42</v>
      </c>
      <c r="Q102" s="517">
        <v>1</v>
      </c>
      <c r="R102" s="465">
        <v>2</v>
      </c>
      <c r="S102" s="517">
        <v>1</v>
      </c>
      <c r="T102" s="539">
        <v>1</v>
      </c>
      <c r="U102" s="518">
        <v>1</v>
      </c>
    </row>
    <row r="103" spans="1:21" ht="14.4" customHeight="1" x14ac:dyDescent="0.3">
      <c r="A103" s="464">
        <v>35</v>
      </c>
      <c r="B103" s="465" t="s">
        <v>690</v>
      </c>
      <c r="C103" s="465">
        <v>89301356</v>
      </c>
      <c r="D103" s="537" t="s">
        <v>1056</v>
      </c>
      <c r="E103" s="538" t="s">
        <v>709</v>
      </c>
      <c r="F103" s="465" t="s">
        <v>702</v>
      </c>
      <c r="G103" s="465" t="s">
        <v>984</v>
      </c>
      <c r="H103" s="465" t="s">
        <v>682</v>
      </c>
      <c r="I103" s="465" t="s">
        <v>985</v>
      </c>
      <c r="J103" s="465" t="s">
        <v>986</v>
      </c>
      <c r="K103" s="465" t="s">
        <v>987</v>
      </c>
      <c r="L103" s="466">
        <v>1130.43</v>
      </c>
      <c r="M103" s="466">
        <v>1130.43</v>
      </c>
      <c r="N103" s="465">
        <v>1</v>
      </c>
      <c r="O103" s="539">
        <v>0.5</v>
      </c>
      <c r="P103" s="466">
        <v>1130.43</v>
      </c>
      <c r="Q103" s="517">
        <v>1</v>
      </c>
      <c r="R103" s="465">
        <v>1</v>
      </c>
      <c r="S103" s="517">
        <v>1</v>
      </c>
      <c r="T103" s="539">
        <v>0.5</v>
      </c>
      <c r="U103" s="518">
        <v>1</v>
      </c>
    </row>
    <row r="104" spans="1:21" ht="14.4" customHeight="1" x14ac:dyDescent="0.3">
      <c r="A104" s="464">
        <v>35</v>
      </c>
      <c r="B104" s="465" t="s">
        <v>690</v>
      </c>
      <c r="C104" s="465">
        <v>89301356</v>
      </c>
      <c r="D104" s="537" t="s">
        <v>1056</v>
      </c>
      <c r="E104" s="538" t="s">
        <v>709</v>
      </c>
      <c r="F104" s="465" t="s">
        <v>702</v>
      </c>
      <c r="G104" s="465" t="s">
        <v>984</v>
      </c>
      <c r="H104" s="465" t="s">
        <v>682</v>
      </c>
      <c r="I104" s="465" t="s">
        <v>985</v>
      </c>
      <c r="J104" s="465" t="s">
        <v>986</v>
      </c>
      <c r="K104" s="465" t="s">
        <v>987</v>
      </c>
      <c r="L104" s="466">
        <v>459.98</v>
      </c>
      <c r="M104" s="466">
        <v>459.98</v>
      </c>
      <c r="N104" s="465">
        <v>1</v>
      </c>
      <c r="O104" s="539">
        <v>0.5</v>
      </c>
      <c r="P104" s="466">
        <v>459.98</v>
      </c>
      <c r="Q104" s="517">
        <v>1</v>
      </c>
      <c r="R104" s="465">
        <v>1</v>
      </c>
      <c r="S104" s="517">
        <v>1</v>
      </c>
      <c r="T104" s="539">
        <v>0.5</v>
      </c>
      <c r="U104" s="518">
        <v>1</v>
      </c>
    </row>
    <row r="105" spans="1:21" ht="14.4" customHeight="1" x14ac:dyDescent="0.3">
      <c r="A105" s="464">
        <v>35</v>
      </c>
      <c r="B105" s="465" t="s">
        <v>690</v>
      </c>
      <c r="C105" s="465">
        <v>89301356</v>
      </c>
      <c r="D105" s="537" t="s">
        <v>1056</v>
      </c>
      <c r="E105" s="538" t="s">
        <v>709</v>
      </c>
      <c r="F105" s="465" t="s">
        <v>702</v>
      </c>
      <c r="G105" s="465" t="s">
        <v>988</v>
      </c>
      <c r="H105" s="465" t="s">
        <v>682</v>
      </c>
      <c r="I105" s="465" t="s">
        <v>989</v>
      </c>
      <c r="J105" s="465" t="s">
        <v>990</v>
      </c>
      <c r="K105" s="465" t="s">
        <v>991</v>
      </c>
      <c r="L105" s="466">
        <v>65.3</v>
      </c>
      <c r="M105" s="466">
        <v>130.6</v>
      </c>
      <c r="N105" s="465">
        <v>2</v>
      </c>
      <c r="O105" s="539">
        <v>1</v>
      </c>
      <c r="P105" s="466"/>
      <c r="Q105" s="517">
        <v>0</v>
      </c>
      <c r="R105" s="465"/>
      <c r="S105" s="517">
        <v>0</v>
      </c>
      <c r="T105" s="539"/>
      <c r="U105" s="518">
        <v>0</v>
      </c>
    </row>
    <row r="106" spans="1:21" ht="14.4" customHeight="1" x14ac:dyDescent="0.3">
      <c r="A106" s="464">
        <v>35</v>
      </c>
      <c r="B106" s="465" t="s">
        <v>690</v>
      </c>
      <c r="C106" s="465">
        <v>89301356</v>
      </c>
      <c r="D106" s="537" t="s">
        <v>1056</v>
      </c>
      <c r="E106" s="538" t="s">
        <v>709</v>
      </c>
      <c r="F106" s="465" t="s">
        <v>702</v>
      </c>
      <c r="G106" s="465" t="s">
        <v>988</v>
      </c>
      <c r="H106" s="465" t="s">
        <v>682</v>
      </c>
      <c r="I106" s="465" t="s">
        <v>992</v>
      </c>
      <c r="J106" s="465" t="s">
        <v>990</v>
      </c>
      <c r="K106" s="465" t="s">
        <v>993</v>
      </c>
      <c r="L106" s="466">
        <v>217.65</v>
      </c>
      <c r="M106" s="466">
        <v>1088.25</v>
      </c>
      <c r="N106" s="465">
        <v>5</v>
      </c>
      <c r="O106" s="539">
        <v>3</v>
      </c>
      <c r="P106" s="466">
        <v>1088.25</v>
      </c>
      <c r="Q106" s="517">
        <v>1</v>
      </c>
      <c r="R106" s="465">
        <v>5</v>
      </c>
      <c r="S106" s="517">
        <v>1</v>
      </c>
      <c r="T106" s="539">
        <v>3</v>
      </c>
      <c r="U106" s="518">
        <v>1</v>
      </c>
    </row>
    <row r="107" spans="1:21" ht="14.4" customHeight="1" x14ac:dyDescent="0.3">
      <c r="A107" s="464">
        <v>35</v>
      </c>
      <c r="B107" s="465" t="s">
        <v>690</v>
      </c>
      <c r="C107" s="465">
        <v>89301356</v>
      </c>
      <c r="D107" s="537" t="s">
        <v>1056</v>
      </c>
      <c r="E107" s="538" t="s">
        <v>709</v>
      </c>
      <c r="F107" s="465" t="s">
        <v>702</v>
      </c>
      <c r="G107" s="465" t="s">
        <v>994</v>
      </c>
      <c r="H107" s="465" t="s">
        <v>531</v>
      </c>
      <c r="I107" s="465" t="s">
        <v>995</v>
      </c>
      <c r="J107" s="465" t="s">
        <v>996</v>
      </c>
      <c r="K107" s="465" t="s">
        <v>997</v>
      </c>
      <c r="L107" s="466">
        <v>85.49</v>
      </c>
      <c r="M107" s="466">
        <v>512.93999999999994</v>
      </c>
      <c r="N107" s="465">
        <v>6</v>
      </c>
      <c r="O107" s="539">
        <v>2</v>
      </c>
      <c r="P107" s="466">
        <v>512.93999999999994</v>
      </c>
      <c r="Q107" s="517">
        <v>1</v>
      </c>
      <c r="R107" s="465">
        <v>6</v>
      </c>
      <c r="S107" s="517">
        <v>1</v>
      </c>
      <c r="T107" s="539">
        <v>2</v>
      </c>
      <c r="U107" s="518">
        <v>1</v>
      </c>
    </row>
    <row r="108" spans="1:21" ht="14.4" customHeight="1" x14ac:dyDescent="0.3">
      <c r="A108" s="464">
        <v>35</v>
      </c>
      <c r="B108" s="465" t="s">
        <v>690</v>
      </c>
      <c r="C108" s="465">
        <v>89301356</v>
      </c>
      <c r="D108" s="537" t="s">
        <v>1056</v>
      </c>
      <c r="E108" s="538" t="s">
        <v>709</v>
      </c>
      <c r="F108" s="465" t="s">
        <v>702</v>
      </c>
      <c r="G108" s="465" t="s">
        <v>998</v>
      </c>
      <c r="H108" s="465" t="s">
        <v>531</v>
      </c>
      <c r="I108" s="465" t="s">
        <v>999</v>
      </c>
      <c r="J108" s="465" t="s">
        <v>1000</v>
      </c>
      <c r="K108" s="465" t="s">
        <v>1001</v>
      </c>
      <c r="L108" s="466">
        <v>250.07</v>
      </c>
      <c r="M108" s="466">
        <v>750.21</v>
      </c>
      <c r="N108" s="465">
        <v>3</v>
      </c>
      <c r="O108" s="539">
        <v>1</v>
      </c>
      <c r="P108" s="466">
        <v>750.21</v>
      </c>
      <c r="Q108" s="517">
        <v>1</v>
      </c>
      <c r="R108" s="465">
        <v>3</v>
      </c>
      <c r="S108" s="517">
        <v>1</v>
      </c>
      <c r="T108" s="539">
        <v>1</v>
      </c>
      <c r="U108" s="518">
        <v>1</v>
      </c>
    </row>
    <row r="109" spans="1:21" ht="14.4" customHeight="1" x14ac:dyDescent="0.3">
      <c r="A109" s="464">
        <v>35</v>
      </c>
      <c r="B109" s="465" t="s">
        <v>690</v>
      </c>
      <c r="C109" s="465">
        <v>89301356</v>
      </c>
      <c r="D109" s="537" t="s">
        <v>1056</v>
      </c>
      <c r="E109" s="538" t="s">
        <v>709</v>
      </c>
      <c r="F109" s="465" t="s">
        <v>702</v>
      </c>
      <c r="G109" s="465" t="s">
        <v>1002</v>
      </c>
      <c r="H109" s="465" t="s">
        <v>682</v>
      </c>
      <c r="I109" s="465" t="s">
        <v>1003</v>
      </c>
      <c r="J109" s="465" t="s">
        <v>1004</v>
      </c>
      <c r="K109" s="465" t="s">
        <v>864</v>
      </c>
      <c r="L109" s="466">
        <v>0</v>
      </c>
      <c r="M109" s="466">
        <v>0</v>
      </c>
      <c r="N109" s="465">
        <v>5</v>
      </c>
      <c r="O109" s="539">
        <v>3.5</v>
      </c>
      <c r="P109" s="466">
        <v>0</v>
      </c>
      <c r="Q109" s="517"/>
      <c r="R109" s="465">
        <v>4</v>
      </c>
      <c r="S109" s="517">
        <v>0.8</v>
      </c>
      <c r="T109" s="539">
        <v>2.5</v>
      </c>
      <c r="U109" s="518">
        <v>0.7142857142857143</v>
      </c>
    </row>
    <row r="110" spans="1:21" ht="14.4" customHeight="1" x14ac:dyDescent="0.3">
      <c r="A110" s="464">
        <v>35</v>
      </c>
      <c r="B110" s="465" t="s">
        <v>690</v>
      </c>
      <c r="C110" s="465">
        <v>89301356</v>
      </c>
      <c r="D110" s="537" t="s">
        <v>1056</v>
      </c>
      <c r="E110" s="538" t="s">
        <v>709</v>
      </c>
      <c r="F110" s="465" t="s">
        <v>702</v>
      </c>
      <c r="G110" s="465" t="s">
        <v>1005</v>
      </c>
      <c r="H110" s="465" t="s">
        <v>531</v>
      </c>
      <c r="I110" s="465" t="s">
        <v>1006</v>
      </c>
      <c r="J110" s="465" t="s">
        <v>1007</v>
      </c>
      <c r="K110" s="465" t="s">
        <v>1008</v>
      </c>
      <c r="L110" s="466">
        <v>0</v>
      </c>
      <c r="M110" s="466">
        <v>0</v>
      </c>
      <c r="N110" s="465">
        <v>2</v>
      </c>
      <c r="O110" s="539">
        <v>1</v>
      </c>
      <c r="P110" s="466">
        <v>0</v>
      </c>
      <c r="Q110" s="517"/>
      <c r="R110" s="465">
        <v>2</v>
      </c>
      <c r="S110" s="517">
        <v>1</v>
      </c>
      <c r="T110" s="539">
        <v>1</v>
      </c>
      <c r="U110" s="518">
        <v>1</v>
      </c>
    </row>
    <row r="111" spans="1:21" ht="14.4" customHeight="1" x14ac:dyDescent="0.3">
      <c r="A111" s="464">
        <v>35</v>
      </c>
      <c r="B111" s="465" t="s">
        <v>690</v>
      </c>
      <c r="C111" s="465">
        <v>89301356</v>
      </c>
      <c r="D111" s="537" t="s">
        <v>1056</v>
      </c>
      <c r="E111" s="538" t="s">
        <v>709</v>
      </c>
      <c r="F111" s="465" t="s">
        <v>702</v>
      </c>
      <c r="G111" s="465" t="s">
        <v>1005</v>
      </c>
      <c r="H111" s="465" t="s">
        <v>531</v>
      </c>
      <c r="I111" s="465" t="s">
        <v>1009</v>
      </c>
      <c r="J111" s="465" t="s">
        <v>1010</v>
      </c>
      <c r="K111" s="465" t="s">
        <v>1011</v>
      </c>
      <c r="L111" s="466">
        <v>0</v>
      </c>
      <c r="M111" s="466">
        <v>0</v>
      </c>
      <c r="N111" s="465">
        <v>1</v>
      </c>
      <c r="O111" s="539">
        <v>0.5</v>
      </c>
      <c r="P111" s="466">
        <v>0</v>
      </c>
      <c r="Q111" s="517"/>
      <c r="R111" s="465">
        <v>1</v>
      </c>
      <c r="S111" s="517">
        <v>1</v>
      </c>
      <c r="T111" s="539">
        <v>0.5</v>
      </c>
      <c r="U111" s="518">
        <v>1</v>
      </c>
    </row>
    <row r="112" spans="1:21" ht="14.4" customHeight="1" x14ac:dyDescent="0.3">
      <c r="A112" s="464">
        <v>35</v>
      </c>
      <c r="B112" s="465" t="s">
        <v>690</v>
      </c>
      <c r="C112" s="465">
        <v>89301356</v>
      </c>
      <c r="D112" s="537" t="s">
        <v>1056</v>
      </c>
      <c r="E112" s="538" t="s">
        <v>709</v>
      </c>
      <c r="F112" s="465" t="s">
        <v>702</v>
      </c>
      <c r="G112" s="465" t="s">
        <v>1005</v>
      </c>
      <c r="H112" s="465" t="s">
        <v>531</v>
      </c>
      <c r="I112" s="465" t="s">
        <v>1012</v>
      </c>
      <c r="J112" s="465" t="s">
        <v>1013</v>
      </c>
      <c r="K112" s="465" t="s">
        <v>897</v>
      </c>
      <c r="L112" s="466">
        <v>0</v>
      </c>
      <c r="M112" s="466">
        <v>0</v>
      </c>
      <c r="N112" s="465">
        <v>2</v>
      </c>
      <c r="O112" s="539">
        <v>0.5</v>
      </c>
      <c r="P112" s="466">
        <v>0</v>
      </c>
      <c r="Q112" s="517"/>
      <c r="R112" s="465">
        <v>2</v>
      </c>
      <c r="S112" s="517">
        <v>1</v>
      </c>
      <c r="T112" s="539">
        <v>0.5</v>
      </c>
      <c r="U112" s="518">
        <v>1</v>
      </c>
    </row>
    <row r="113" spans="1:21" ht="14.4" customHeight="1" x14ac:dyDescent="0.3">
      <c r="A113" s="464">
        <v>35</v>
      </c>
      <c r="B113" s="465" t="s">
        <v>690</v>
      </c>
      <c r="C113" s="465">
        <v>89301356</v>
      </c>
      <c r="D113" s="537" t="s">
        <v>1056</v>
      </c>
      <c r="E113" s="538" t="s">
        <v>709</v>
      </c>
      <c r="F113" s="465" t="s">
        <v>702</v>
      </c>
      <c r="G113" s="465" t="s">
        <v>1005</v>
      </c>
      <c r="H113" s="465" t="s">
        <v>531</v>
      </c>
      <c r="I113" s="465" t="s">
        <v>1014</v>
      </c>
      <c r="J113" s="465" t="s">
        <v>1007</v>
      </c>
      <c r="K113" s="465" t="s">
        <v>1011</v>
      </c>
      <c r="L113" s="466">
        <v>0</v>
      </c>
      <c r="M113" s="466">
        <v>0</v>
      </c>
      <c r="N113" s="465">
        <v>1</v>
      </c>
      <c r="O113" s="539">
        <v>0.5</v>
      </c>
      <c r="P113" s="466">
        <v>0</v>
      </c>
      <c r="Q113" s="517"/>
      <c r="R113" s="465">
        <v>1</v>
      </c>
      <c r="S113" s="517">
        <v>1</v>
      </c>
      <c r="T113" s="539">
        <v>0.5</v>
      </c>
      <c r="U113" s="518">
        <v>1</v>
      </c>
    </row>
    <row r="114" spans="1:21" ht="14.4" customHeight="1" x14ac:dyDescent="0.3">
      <c r="A114" s="464">
        <v>35</v>
      </c>
      <c r="B114" s="465" t="s">
        <v>690</v>
      </c>
      <c r="C114" s="465">
        <v>89301356</v>
      </c>
      <c r="D114" s="537" t="s">
        <v>1056</v>
      </c>
      <c r="E114" s="538" t="s">
        <v>709</v>
      </c>
      <c r="F114" s="465" t="s">
        <v>703</v>
      </c>
      <c r="G114" s="465" t="s">
        <v>817</v>
      </c>
      <c r="H114" s="465" t="s">
        <v>531</v>
      </c>
      <c r="I114" s="465" t="s">
        <v>1015</v>
      </c>
      <c r="J114" s="465" t="s">
        <v>819</v>
      </c>
      <c r="K114" s="465"/>
      <c r="L114" s="466">
        <v>0</v>
      </c>
      <c r="M114" s="466">
        <v>0</v>
      </c>
      <c r="N114" s="465">
        <v>2</v>
      </c>
      <c r="O114" s="539">
        <v>2</v>
      </c>
      <c r="P114" s="466">
        <v>0</v>
      </c>
      <c r="Q114" s="517"/>
      <c r="R114" s="465">
        <v>2</v>
      </c>
      <c r="S114" s="517">
        <v>1</v>
      </c>
      <c r="T114" s="539">
        <v>2</v>
      </c>
      <c r="U114" s="518">
        <v>1</v>
      </c>
    </row>
    <row r="115" spans="1:21" ht="14.4" customHeight="1" x14ac:dyDescent="0.3">
      <c r="A115" s="464">
        <v>35</v>
      </c>
      <c r="B115" s="465" t="s">
        <v>690</v>
      </c>
      <c r="C115" s="465">
        <v>89301356</v>
      </c>
      <c r="D115" s="537" t="s">
        <v>1056</v>
      </c>
      <c r="E115" s="538" t="s">
        <v>710</v>
      </c>
      <c r="F115" s="465" t="s">
        <v>702</v>
      </c>
      <c r="G115" s="465" t="s">
        <v>1016</v>
      </c>
      <c r="H115" s="465" t="s">
        <v>531</v>
      </c>
      <c r="I115" s="465" t="s">
        <v>1017</v>
      </c>
      <c r="J115" s="465" t="s">
        <v>1018</v>
      </c>
      <c r="K115" s="465" t="s">
        <v>1019</v>
      </c>
      <c r="L115" s="466">
        <v>967.58</v>
      </c>
      <c r="M115" s="466">
        <v>967.58</v>
      </c>
      <c r="N115" s="465">
        <v>1</v>
      </c>
      <c r="O115" s="539">
        <v>1</v>
      </c>
      <c r="P115" s="466">
        <v>967.58</v>
      </c>
      <c r="Q115" s="517">
        <v>1</v>
      </c>
      <c r="R115" s="465">
        <v>1</v>
      </c>
      <c r="S115" s="517">
        <v>1</v>
      </c>
      <c r="T115" s="539">
        <v>1</v>
      </c>
      <c r="U115" s="518">
        <v>1</v>
      </c>
    </row>
    <row r="116" spans="1:21" ht="14.4" customHeight="1" x14ac:dyDescent="0.3">
      <c r="A116" s="464">
        <v>35</v>
      </c>
      <c r="B116" s="465" t="s">
        <v>690</v>
      </c>
      <c r="C116" s="465">
        <v>89301356</v>
      </c>
      <c r="D116" s="537" t="s">
        <v>1056</v>
      </c>
      <c r="E116" s="538" t="s">
        <v>710</v>
      </c>
      <c r="F116" s="465" t="s">
        <v>702</v>
      </c>
      <c r="G116" s="465" t="s">
        <v>948</v>
      </c>
      <c r="H116" s="465" t="s">
        <v>531</v>
      </c>
      <c r="I116" s="465" t="s">
        <v>949</v>
      </c>
      <c r="J116" s="465" t="s">
        <v>950</v>
      </c>
      <c r="K116" s="465" t="s">
        <v>951</v>
      </c>
      <c r="L116" s="466">
        <v>0</v>
      </c>
      <c r="M116" s="466">
        <v>0</v>
      </c>
      <c r="N116" s="465">
        <v>1</v>
      </c>
      <c r="O116" s="539">
        <v>1</v>
      </c>
      <c r="P116" s="466">
        <v>0</v>
      </c>
      <c r="Q116" s="517"/>
      <c r="R116" s="465">
        <v>1</v>
      </c>
      <c r="S116" s="517">
        <v>1</v>
      </c>
      <c r="T116" s="539">
        <v>1</v>
      </c>
      <c r="U116" s="518">
        <v>1</v>
      </c>
    </row>
    <row r="117" spans="1:21" ht="14.4" customHeight="1" x14ac:dyDescent="0.3">
      <c r="A117" s="464">
        <v>35</v>
      </c>
      <c r="B117" s="465" t="s">
        <v>690</v>
      </c>
      <c r="C117" s="465">
        <v>89301356</v>
      </c>
      <c r="D117" s="537" t="s">
        <v>1056</v>
      </c>
      <c r="E117" s="538" t="s">
        <v>710</v>
      </c>
      <c r="F117" s="465" t="s">
        <v>702</v>
      </c>
      <c r="G117" s="465" t="s">
        <v>813</v>
      </c>
      <c r="H117" s="465" t="s">
        <v>531</v>
      </c>
      <c r="I117" s="465" t="s">
        <v>814</v>
      </c>
      <c r="J117" s="465" t="s">
        <v>815</v>
      </c>
      <c r="K117" s="465" t="s">
        <v>816</v>
      </c>
      <c r="L117" s="466">
        <v>23.46</v>
      </c>
      <c r="M117" s="466">
        <v>23.46</v>
      </c>
      <c r="N117" s="465">
        <v>1</v>
      </c>
      <c r="O117" s="539">
        <v>1</v>
      </c>
      <c r="P117" s="466">
        <v>23.46</v>
      </c>
      <c r="Q117" s="517">
        <v>1</v>
      </c>
      <c r="R117" s="465">
        <v>1</v>
      </c>
      <c r="S117" s="517">
        <v>1</v>
      </c>
      <c r="T117" s="539">
        <v>1</v>
      </c>
      <c r="U117" s="518">
        <v>1</v>
      </c>
    </row>
    <row r="118" spans="1:21" ht="14.4" customHeight="1" x14ac:dyDescent="0.3">
      <c r="A118" s="464">
        <v>35</v>
      </c>
      <c r="B118" s="465" t="s">
        <v>690</v>
      </c>
      <c r="C118" s="465">
        <v>89301356</v>
      </c>
      <c r="D118" s="537" t="s">
        <v>1056</v>
      </c>
      <c r="E118" s="538" t="s">
        <v>711</v>
      </c>
      <c r="F118" s="465" t="s">
        <v>702</v>
      </c>
      <c r="G118" s="465" t="s">
        <v>1020</v>
      </c>
      <c r="H118" s="465" t="s">
        <v>531</v>
      </c>
      <c r="I118" s="465" t="s">
        <v>1021</v>
      </c>
      <c r="J118" s="465" t="s">
        <v>1022</v>
      </c>
      <c r="K118" s="465" t="s">
        <v>1023</v>
      </c>
      <c r="L118" s="466">
        <v>0</v>
      </c>
      <c r="M118" s="466">
        <v>0</v>
      </c>
      <c r="N118" s="465">
        <v>1</v>
      </c>
      <c r="O118" s="539">
        <v>1</v>
      </c>
      <c r="P118" s="466"/>
      <c r="Q118" s="517"/>
      <c r="R118" s="465"/>
      <c r="S118" s="517">
        <v>0</v>
      </c>
      <c r="T118" s="539"/>
      <c r="U118" s="518">
        <v>0</v>
      </c>
    </row>
    <row r="119" spans="1:21" ht="14.4" customHeight="1" x14ac:dyDescent="0.3">
      <c r="A119" s="464">
        <v>35</v>
      </c>
      <c r="B119" s="465" t="s">
        <v>690</v>
      </c>
      <c r="C119" s="465">
        <v>89301356</v>
      </c>
      <c r="D119" s="537" t="s">
        <v>1056</v>
      </c>
      <c r="E119" s="538" t="s">
        <v>711</v>
      </c>
      <c r="F119" s="465" t="s">
        <v>702</v>
      </c>
      <c r="G119" s="465" t="s">
        <v>719</v>
      </c>
      <c r="H119" s="465" t="s">
        <v>531</v>
      </c>
      <c r="I119" s="465" t="s">
        <v>1024</v>
      </c>
      <c r="J119" s="465" t="s">
        <v>721</v>
      </c>
      <c r="K119" s="465" t="s">
        <v>1025</v>
      </c>
      <c r="L119" s="466">
        <v>0</v>
      </c>
      <c r="M119" s="466">
        <v>0</v>
      </c>
      <c r="N119" s="465">
        <v>1</v>
      </c>
      <c r="O119" s="539">
        <v>0.5</v>
      </c>
      <c r="P119" s="466"/>
      <c r="Q119" s="517"/>
      <c r="R119" s="465"/>
      <c r="S119" s="517">
        <v>0</v>
      </c>
      <c r="T119" s="539"/>
      <c r="U119" s="518">
        <v>0</v>
      </c>
    </row>
    <row r="120" spans="1:21" ht="14.4" customHeight="1" x14ac:dyDescent="0.3">
      <c r="A120" s="464">
        <v>35</v>
      </c>
      <c r="B120" s="465" t="s">
        <v>690</v>
      </c>
      <c r="C120" s="465">
        <v>89301356</v>
      </c>
      <c r="D120" s="537" t="s">
        <v>1056</v>
      </c>
      <c r="E120" s="538" t="s">
        <v>711</v>
      </c>
      <c r="F120" s="465" t="s">
        <v>702</v>
      </c>
      <c r="G120" s="465" t="s">
        <v>894</v>
      </c>
      <c r="H120" s="465" t="s">
        <v>682</v>
      </c>
      <c r="I120" s="465" t="s">
        <v>1026</v>
      </c>
      <c r="J120" s="465" t="s">
        <v>1027</v>
      </c>
      <c r="K120" s="465" t="s">
        <v>837</v>
      </c>
      <c r="L120" s="466">
        <v>0</v>
      </c>
      <c r="M120" s="466">
        <v>0</v>
      </c>
      <c r="N120" s="465">
        <v>2</v>
      </c>
      <c r="O120" s="539">
        <v>1</v>
      </c>
      <c r="P120" s="466"/>
      <c r="Q120" s="517"/>
      <c r="R120" s="465"/>
      <c r="S120" s="517">
        <v>0</v>
      </c>
      <c r="T120" s="539"/>
      <c r="U120" s="518">
        <v>0</v>
      </c>
    </row>
    <row r="121" spans="1:21" ht="14.4" customHeight="1" x14ac:dyDescent="0.3">
      <c r="A121" s="464">
        <v>35</v>
      </c>
      <c r="B121" s="465" t="s">
        <v>690</v>
      </c>
      <c r="C121" s="465">
        <v>89301356</v>
      </c>
      <c r="D121" s="537" t="s">
        <v>1056</v>
      </c>
      <c r="E121" s="538" t="s">
        <v>711</v>
      </c>
      <c r="F121" s="465" t="s">
        <v>702</v>
      </c>
      <c r="G121" s="465" t="s">
        <v>747</v>
      </c>
      <c r="H121" s="465" t="s">
        <v>531</v>
      </c>
      <c r="I121" s="465" t="s">
        <v>751</v>
      </c>
      <c r="J121" s="465" t="s">
        <v>752</v>
      </c>
      <c r="K121" s="465" t="s">
        <v>753</v>
      </c>
      <c r="L121" s="466">
        <v>0</v>
      </c>
      <c r="M121" s="466">
        <v>0</v>
      </c>
      <c r="N121" s="465">
        <v>1</v>
      </c>
      <c r="O121" s="539">
        <v>0.5</v>
      </c>
      <c r="P121" s="466"/>
      <c r="Q121" s="517"/>
      <c r="R121" s="465"/>
      <c r="S121" s="517">
        <v>0</v>
      </c>
      <c r="T121" s="539"/>
      <c r="U121" s="518">
        <v>0</v>
      </c>
    </row>
    <row r="122" spans="1:21" ht="14.4" customHeight="1" x14ac:dyDescent="0.3">
      <c r="A122" s="464">
        <v>35</v>
      </c>
      <c r="B122" s="465" t="s">
        <v>690</v>
      </c>
      <c r="C122" s="465">
        <v>89301356</v>
      </c>
      <c r="D122" s="537" t="s">
        <v>1056</v>
      </c>
      <c r="E122" s="538" t="s">
        <v>712</v>
      </c>
      <c r="F122" s="465" t="s">
        <v>702</v>
      </c>
      <c r="G122" s="465" t="s">
        <v>838</v>
      </c>
      <c r="H122" s="465" t="s">
        <v>531</v>
      </c>
      <c r="I122" s="465" t="s">
        <v>1028</v>
      </c>
      <c r="J122" s="465" t="s">
        <v>1029</v>
      </c>
      <c r="K122" s="465" t="s">
        <v>841</v>
      </c>
      <c r="L122" s="466">
        <v>0</v>
      </c>
      <c r="M122" s="466">
        <v>0</v>
      </c>
      <c r="N122" s="465">
        <v>1</v>
      </c>
      <c r="O122" s="539">
        <v>1</v>
      </c>
      <c r="P122" s="466">
        <v>0</v>
      </c>
      <c r="Q122" s="517"/>
      <c r="R122" s="465">
        <v>1</v>
      </c>
      <c r="S122" s="517">
        <v>1</v>
      </c>
      <c r="T122" s="539">
        <v>1</v>
      </c>
      <c r="U122" s="518">
        <v>1</v>
      </c>
    </row>
    <row r="123" spans="1:21" ht="14.4" customHeight="1" x14ac:dyDescent="0.3">
      <c r="A123" s="464">
        <v>35</v>
      </c>
      <c r="B123" s="465" t="s">
        <v>690</v>
      </c>
      <c r="C123" s="465">
        <v>89301356</v>
      </c>
      <c r="D123" s="537" t="s">
        <v>1056</v>
      </c>
      <c r="E123" s="538" t="s">
        <v>712</v>
      </c>
      <c r="F123" s="465" t="s">
        <v>702</v>
      </c>
      <c r="G123" s="465" t="s">
        <v>1030</v>
      </c>
      <c r="H123" s="465" t="s">
        <v>682</v>
      </c>
      <c r="I123" s="465" t="s">
        <v>1031</v>
      </c>
      <c r="J123" s="465" t="s">
        <v>1032</v>
      </c>
      <c r="K123" s="465" t="s">
        <v>897</v>
      </c>
      <c r="L123" s="466">
        <v>138</v>
      </c>
      <c r="M123" s="466">
        <v>276</v>
      </c>
      <c r="N123" s="465">
        <v>2</v>
      </c>
      <c r="O123" s="539">
        <v>0.5</v>
      </c>
      <c r="P123" s="466">
        <v>276</v>
      </c>
      <c r="Q123" s="517">
        <v>1</v>
      </c>
      <c r="R123" s="465">
        <v>2</v>
      </c>
      <c r="S123" s="517">
        <v>1</v>
      </c>
      <c r="T123" s="539">
        <v>0.5</v>
      </c>
      <c r="U123" s="518">
        <v>1</v>
      </c>
    </row>
    <row r="124" spans="1:21" ht="14.4" customHeight="1" x14ac:dyDescent="0.3">
      <c r="A124" s="464">
        <v>35</v>
      </c>
      <c r="B124" s="465" t="s">
        <v>690</v>
      </c>
      <c r="C124" s="465">
        <v>89301356</v>
      </c>
      <c r="D124" s="537" t="s">
        <v>1056</v>
      </c>
      <c r="E124" s="538" t="s">
        <v>712</v>
      </c>
      <c r="F124" s="465" t="s">
        <v>702</v>
      </c>
      <c r="G124" s="465" t="s">
        <v>1033</v>
      </c>
      <c r="H124" s="465" t="s">
        <v>531</v>
      </c>
      <c r="I124" s="465" t="s">
        <v>1034</v>
      </c>
      <c r="J124" s="465" t="s">
        <v>1035</v>
      </c>
      <c r="K124" s="465" t="s">
        <v>1036</v>
      </c>
      <c r="L124" s="466">
        <v>227.4</v>
      </c>
      <c r="M124" s="466">
        <v>227.4</v>
      </c>
      <c r="N124" s="465">
        <v>1</v>
      </c>
      <c r="O124" s="539">
        <v>1</v>
      </c>
      <c r="P124" s="466">
        <v>227.4</v>
      </c>
      <c r="Q124" s="517">
        <v>1</v>
      </c>
      <c r="R124" s="465">
        <v>1</v>
      </c>
      <c r="S124" s="517">
        <v>1</v>
      </c>
      <c r="T124" s="539">
        <v>1</v>
      </c>
      <c r="U124" s="518">
        <v>1</v>
      </c>
    </row>
    <row r="125" spans="1:21" ht="14.4" customHeight="1" x14ac:dyDescent="0.3">
      <c r="A125" s="464">
        <v>35</v>
      </c>
      <c r="B125" s="465" t="s">
        <v>690</v>
      </c>
      <c r="C125" s="465">
        <v>89301356</v>
      </c>
      <c r="D125" s="537" t="s">
        <v>1056</v>
      </c>
      <c r="E125" s="538" t="s">
        <v>712</v>
      </c>
      <c r="F125" s="465" t="s">
        <v>702</v>
      </c>
      <c r="G125" s="465" t="s">
        <v>848</v>
      </c>
      <c r="H125" s="465" t="s">
        <v>531</v>
      </c>
      <c r="I125" s="465" t="s">
        <v>580</v>
      </c>
      <c r="J125" s="465" t="s">
        <v>581</v>
      </c>
      <c r="K125" s="465" t="s">
        <v>849</v>
      </c>
      <c r="L125" s="466">
        <v>163.9</v>
      </c>
      <c r="M125" s="466">
        <v>491.70000000000005</v>
      </c>
      <c r="N125" s="465">
        <v>3</v>
      </c>
      <c r="O125" s="539">
        <v>1.5</v>
      </c>
      <c r="P125" s="466">
        <v>491.70000000000005</v>
      </c>
      <c r="Q125" s="517">
        <v>1</v>
      </c>
      <c r="R125" s="465">
        <v>3</v>
      </c>
      <c r="S125" s="517">
        <v>1</v>
      </c>
      <c r="T125" s="539">
        <v>1.5</v>
      </c>
      <c r="U125" s="518">
        <v>1</v>
      </c>
    </row>
    <row r="126" spans="1:21" ht="14.4" customHeight="1" x14ac:dyDescent="0.3">
      <c r="A126" s="464">
        <v>35</v>
      </c>
      <c r="B126" s="465" t="s">
        <v>690</v>
      </c>
      <c r="C126" s="465">
        <v>89301356</v>
      </c>
      <c r="D126" s="537" t="s">
        <v>1056</v>
      </c>
      <c r="E126" s="538" t="s">
        <v>712</v>
      </c>
      <c r="F126" s="465" t="s">
        <v>702</v>
      </c>
      <c r="G126" s="465" t="s">
        <v>1037</v>
      </c>
      <c r="H126" s="465" t="s">
        <v>531</v>
      </c>
      <c r="I126" s="465" t="s">
        <v>1038</v>
      </c>
      <c r="J126" s="465" t="s">
        <v>1039</v>
      </c>
      <c r="K126" s="465" t="s">
        <v>1040</v>
      </c>
      <c r="L126" s="466">
        <v>0</v>
      </c>
      <c r="M126" s="466">
        <v>0</v>
      </c>
      <c r="N126" s="465">
        <v>1</v>
      </c>
      <c r="O126" s="539">
        <v>0.5</v>
      </c>
      <c r="P126" s="466">
        <v>0</v>
      </c>
      <c r="Q126" s="517"/>
      <c r="R126" s="465">
        <v>1</v>
      </c>
      <c r="S126" s="517">
        <v>1</v>
      </c>
      <c r="T126" s="539">
        <v>0.5</v>
      </c>
      <c r="U126" s="518">
        <v>1</v>
      </c>
    </row>
    <row r="127" spans="1:21" ht="14.4" customHeight="1" x14ac:dyDescent="0.3">
      <c r="A127" s="464">
        <v>35</v>
      </c>
      <c r="B127" s="465" t="s">
        <v>690</v>
      </c>
      <c r="C127" s="465">
        <v>89301356</v>
      </c>
      <c r="D127" s="537" t="s">
        <v>1056</v>
      </c>
      <c r="E127" s="538" t="s">
        <v>712</v>
      </c>
      <c r="F127" s="465" t="s">
        <v>702</v>
      </c>
      <c r="G127" s="465" t="s">
        <v>1037</v>
      </c>
      <c r="H127" s="465" t="s">
        <v>531</v>
      </c>
      <c r="I127" s="465" t="s">
        <v>1041</v>
      </c>
      <c r="J127" s="465" t="s">
        <v>1042</v>
      </c>
      <c r="K127" s="465" t="s">
        <v>1043</v>
      </c>
      <c r="L127" s="466">
        <v>0</v>
      </c>
      <c r="M127" s="466">
        <v>0</v>
      </c>
      <c r="N127" s="465">
        <v>1</v>
      </c>
      <c r="O127" s="539">
        <v>0.5</v>
      </c>
      <c r="P127" s="466">
        <v>0</v>
      </c>
      <c r="Q127" s="517"/>
      <c r="R127" s="465">
        <v>1</v>
      </c>
      <c r="S127" s="517">
        <v>1</v>
      </c>
      <c r="T127" s="539">
        <v>0.5</v>
      </c>
      <c r="U127" s="518">
        <v>1</v>
      </c>
    </row>
    <row r="128" spans="1:21" ht="14.4" customHeight="1" x14ac:dyDescent="0.3">
      <c r="A128" s="464">
        <v>35</v>
      </c>
      <c r="B128" s="465" t="s">
        <v>690</v>
      </c>
      <c r="C128" s="465">
        <v>89301356</v>
      </c>
      <c r="D128" s="537" t="s">
        <v>1056</v>
      </c>
      <c r="E128" s="538" t="s">
        <v>712</v>
      </c>
      <c r="F128" s="465" t="s">
        <v>702</v>
      </c>
      <c r="G128" s="465" t="s">
        <v>1005</v>
      </c>
      <c r="H128" s="465" t="s">
        <v>531</v>
      </c>
      <c r="I128" s="465" t="s">
        <v>1044</v>
      </c>
      <c r="J128" s="465" t="s">
        <v>1045</v>
      </c>
      <c r="K128" s="465" t="s">
        <v>1008</v>
      </c>
      <c r="L128" s="466">
        <v>0</v>
      </c>
      <c r="M128" s="466">
        <v>0</v>
      </c>
      <c r="N128" s="465">
        <v>2</v>
      </c>
      <c r="O128" s="539">
        <v>2</v>
      </c>
      <c r="P128" s="466">
        <v>0</v>
      </c>
      <c r="Q128" s="517"/>
      <c r="R128" s="465">
        <v>1</v>
      </c>
      <c r="S128" s="517">
        <v>0.5</v>
      </c>
      <c r="T128" s="539">
        <v>1</v>
      </c>
      <c r="U128" s="518">
        <v>0.5</v>
      </c>
    </row>
    <row r="129" spans="1:21" ht="14.4" customHeight="1" x14ac:dyDescent="0.3">
      <c r="A129" s="464">
        <v>35</v>
      </c>
      <c r="B129" s="465" t="s">
        <v>690</v>
      </c>
      <c r="C129" s="465">
        <v>89301356</v>
      </c>
      <c r="D129" s="537" t="s">
        <v>1056</v>
      </c>
      <c r="E129" s="538" t="s">
        <v>713</v>
      </c>
      <c r="F129" s="465" t="s">
        <v>702</v>
      </c>
      <c r="G129" s="465" t="s">
        <v>1046</v>
      </c>
      <c r="H129" s="465" t="s">
        <v>531</v>
      </c>
      <c r="I129" s="465" t="s">
        <v>1047</v>
      </c>
      <c r="J129" s="465" t="s">
        <v>1048</v>
      </c>
      <c r="K129" s="465" t="s">
        <v>1049</v>
      </c>
      <c r="L129" s="466">
        <v>34.46</v>
      </c>
      <c r="M129" s="466">
        <v>34.46</v>
      </c>
      <c r="N129" s="465">
        <v>1</v>
      </c>
      <c r="O129" s="539">
        <v>1</v>
      </c>
      <c r="P129" s="466">
        <v>34.46</v>
      </c>
      <c r="Q129" s="517">
        <v>1</v>
      </c>
      <c r="R129" s="465">
        <v>1</v>
      </c>
      <c r="S129" s="517">
        <v>1</v>
      </c>
      <c r="T129" s="539">
        <v>1</v>
      </c>
      <c r="U129" s="518">
        <v>1</v>
      </c>
    </row>
    <row r="130" spans="1:21" ht="14.4" customHeight="1" x14ac:dyDescent="0.3">
      <c r="A130" s="464">
        <v>35</v>
      </c>
      <c r="B130" s="465" t="s">
        <v>690</v>
      </c>
      <c r="C130" s="465">
        <v>89301356</v>
      </c>
      <c r="D130" s="537" t="s">
        <v>1056</v>
      </c>
      <c r="E130" s="538" t="s">
        <v>713</v>
      </c>
      <c r="F130" s="465" t="s">
        <v>702</v>
      </c>
      <c r="G130" s="465" t="s">
        <v>838</v>
      </c>
      <c r="H130" s="465" t="s">
        <v>531</v>
      </c>
      <c r="I130" s="465" t="s">
        <v>1028</v>
      </c>
      <c r="J130" s="465" t="s">
        <v>1029</v>
      </c>
      <c r="K130" s="465" t="s">
        <v>841</v>
      </c>
      <c r="L130" s="466">
        <v>0</v>
      </c>
      <c r="M130" s="466">
        <v>0</v>
      </c>
      <c r="N130" s="465">
        <v>2</v>
      </c>
      <c r="O130" s="539">
        <v>1.5</v>
      </c>
      <c r="P130" s="466">
        <v>0</v>
      </c>
      <c r="Q130" s="517"/>
      <c r="R130" s="465">
        <v>2</v>
      </c>
      <c r="S130" s="517">
        <v>1</v>
      </c>
      <c r="T130" s="539">
        <v>1.5</v>
      </c>
      <c r="U130" s="518">
        <v>1</v>
      </c>
    </row>
    <row r="131" spans="1:21" ht="14.4" customHeight="1" x14ac:dyDescent="0.3">
      <c r="A131" s="464">
        <v>35</v>
      </c>
      <c r="B131" s="465" t="s">
        <v>690</v>
      </c>
      <c r="C131" s="465">
        <v>89301356</v>
      </c>
      <c r="D131" s="537" t="s">
        <v>1056</v>
      </c>
      <c r="E131" s="538" t="s">
        <v>713</v>
      </c>
      <c r="F131" s="465" t="s">
        <v>702</v>
      </c>
      <c r="G131" s="465" t="s">
        <v>1030</v>
      </c>
      <c r="H131" s="465" t="s">
        <v>682</v>
      </c>
      <c r="I131" s="465" t="s">
        <v>1031</v>
      </c>
      <c r="J131" s="465" t="s">
        <v>1032</v>
      </c>
      <c r="K131" s="465" t="s">
        <v>897</v>
      </c>
      <c r="L131" s="466">
        <v>138</v>
      </c>
      <c r="M131" s="466">
        <v>138</v>
      </c>
      <c r="N131" s="465">
        <v>1</v>
      </c>
      <c r="O131" s="539">
        <v>0.5</v>
      </c>
      <c r="P131" s="466"/>
      <c r="Q131" s="517">
        <v>0</v>
      </c>
      <c r="R131" s="465"/>
      <c r="S131" s="517">
        <v>0</v>
      </c>
      <c r="T131" s="539"/>
      <c r="U131" s="518">
        <v>0</v>
      </c>
    </row>
    <row r="132" spans="1:21" ht="14.4" customHeight="1" x14ac:dyDescent="0.3">
      <c r="A132" s="464">
        <v>35</v>
      </c>
      <c r="B132" s="465" t="s">
        <v>690</v>
      </c>
      <c r="C132" s="465">
        <v>89301356</v>
      </c>
      <c r="D132" s="537" t="s">
        <v>1056</v>
      </c>
      <c r="E132" s="538" t="s">
        <v>713</v>
      </c>
      <c r="F132" s="465" t="s">
        <v>702</v>
      </c>
      <c r="G132" s="465" t="s">
        <v>848</v>
      </c>
      <c r="H132" s="465" t="s">
        <v>531</v>
      </c>
      <c r="I132" s="465" t="s">
        <v>580</v>
      </c>
      <c r="J132" s="465" t="s">
        <v>581</v>
      </c>
      <c r="K132" s="465" t="s">
        <v>849</v>
      </c>
      <c r="L132" s="466">
        <v>163.9</v>
      </c>
      <c r="M132" s="466">
        <v>983.40000000000009</v>
      </c>
      <c r="N132" s="465">
        <v>6</v>
      </c>
      <c r="O132" s="539">
        <v>1.5</v>
      </c>
      <c r="P132" s="466">
        <v>983.40000000000009</v>
      </c>
      <c r="Q132" s="517">
        <v>1</v>
      </c>
      <c r="R132" s="465">
        <v>6</v>
      </c>
      <c r="S132" s="517">
        <v>1</v>
      </c>
      <c r="T132" s="539">
        <v>1.5</v>
      </c>
      <c r="U132" s="518">
        <v>1</v>
      </c>
    </row>
    <row r="133" spans="1:21" ht="14.4" customHeight="1" x14ac:dyDescent="0.3">
      <c r="A133" s="464">
        <v>35</v>
      </c>
      <c r="B133" s="465" t="s">
        <v>690</v>
      </c>
      <c r="C133" s="465">
        <v>89301356</v>
      </c>
      <c r="D133" s="537" t="s">
        <v>1056</v>
      </c>
      <c r="E133" s="538" t="s">
        <v>713</v>
      </c>
      <c r="F133" s="465" t="s">
        <v>702</v>
      </c>
      <c r="G133" s="465" t="s">
        <v>1005</v>
      </c>
      <c r="H133" s="465" t="s">
        <v>531</v>
      </c>
      <c r="I133" s="465" t="s">
        <v>1050</v>
      </c>
      <c r="J133" s="465" t="s">
        <v>1045</v>
      </c>
      <c r="K133" s="465" t="s">
        <v>1051</v>
      </c>
      <c r="L133" s="466">
        <v>0</v>
      </c>
      <c r="M133" s="466">
        <v>0</v>
      </c>
      <c r="N133" s="465">
        <v>1</v>
      </c>
      <c r="O133" s="539">
        <v>0.5</v>
      </c>
      <c r="P133" s="466"/>
      <c r="Q133" s="517"/>
      <c r="R133" s="465"/>
      <c r="S133" s="517">
        <v>0</v>
      </c>
      <c r="T133" s="539"/>
      <c r="U133" s="518">
        <v>0</v>
      </c>
    </row>
    <row r="134" spans="1:21" ht="14.4" customHeight="1" x14ac:dyDescent="0.3">
      <c r="A134" s="464">
        <v>35</v>
      </c>
      <c r="B134" s="465" t="s">
        <v>690</v>
      </c>
      <c r="C134" s="465">
        <v>89301356</v>
      </c>
      <c r="D134" s="537" t="s">
        <v>1056</v>
      </c>
      <c r="E134" s="538" t="s">
        <v>713</v>
      </c>
      <c r="F134" s="465" t="s">
        <v>702</v>
      </c>
      <c r="G134" s="465" t="s">
        <v>1005</v>
      </c>
      <c r="H134" s="465" t="s">
        <v>531</v>
      </c>
      <c r="I134" s="465" t="s">
        <v>1052</v>
      </c>
      <c r="J134" s="465" t="s">
        <v>1053</v>
      </c>
      <c r="K134" s="465" t="s">
        <v>1011</v>
      </c>
      <c r="L134" s="466">
        <v>0</v>
      </c>
      <c r="M134" s="466">
        <v>0</v>
      </c>
      <c r="N134" s="465">
        <v>1</v>
      </c>
      <c r="O134" s="539">
        <v>1</v>
      </c>
      <c r="P134" s="466">
        <v>0</v>
      </c>
      <c r="Q134" s="517"/>
      <c r="R134" s="465">
        <v>1</v>
      </c>
      <c r="S134" s="517">
        <v>1</v>
      </c>
      <c r="T134" s="539">
        <v>1</v>
      </c>
      <c r="U134" s="518">
        <v>1</v>
      </c>
    </row>
    <row r="135" spans="1:21" ht="14.4" customHeight="1" x14ac:dyDescent="0.3">
      <c r="A135" s="464">
        <v>35</v>
      </c>
      <c r="B135" s="465" t="s">
        <v>690</v>
      </c>
      <c r="C135" s="465">
        <v>89301356</v>
      </c>
      <c r="D135" s="537" t="s">
        <v>1056</v>
      </c>
      <c r="E135" s="538" t="s">
        <v>714</v>
      </c>
      <c r="F135" s="465" t="s">
        <v>702</v>
      </c>
      <c r="G135" s="465" t="s">
        <v>787</v>
      </c>
      <c r="H135" s="465" t="s">
        <v>531</v>
      </c>
      <c r="I135" s="465" t="s">
        <v>788</v>
      </c>
      <c r="J135" s="465" t="s">
        <v>664</v>
      </c>
      <c r="K135" s="465" t="s">
        <v>789</v>
      </c>
      <c r="L135" s="466">
        <v>56.69</v>
      </c>
      <c r="M135" s="466">
        <v>56.69</v>
      </c>
      <c r="N135" s="465">
        <v>1</v>
      </c>
      <c r="O135" s="539">
        <v>0.5</v>
      </c>
      <c r="P135" s="466">
        <v>56.69</v>
      </c>
      <c r="Q135" s="517">
        <v>1</v>
      </c>
      <c r="R135" s="465">
        <v>1</v>
      </c>
      <c r="S135" s="517">
        <v>1</v>
      </c>
      <c r="T135" s="539">
        <v>0.5</v>
      </c>
      <c r="U135" s="518">
        <v>1</v>
      </c>
    </row>
    <row r="136" spans="1:21" ht="14.4" customHeight="1" thickBot="1" x14ac:dyDescent="0.35">
      <c r="A136" s="470">
        <v>35</v>
      </c>
      <c r="B136" s="471" t="s">
        <v>690</v>
      </c>
      <c r="C136" s="471">
        <v>89301356</v>
      </c>
      <c r="D136" s="540" t="s">
        <v>1056</v>
      </c>
      <c r="E136" s="541" t="s">
        <v>714</v>
      </c>
      <c r="F136" s="471" t="s">
        <v>702</v>
      </c>
      <c r="G136" s="471" t="s">
        <v>1005</v>
      </c>
      <c r="H136" s="471" t="s">
        <v>531</v>
      </c>
      <c r="I136" s="471" t="s">
        <v>1054</v>
      </c>
      <c r="J136" s="471" t="s">
        <v>1055</v>
      </c>
      <c r="K136" s="471" t="s">
        <v>1008</v>
      </c>
      <c r="L136" s="472">
        <v>0</v>
      </c>
      <c r="M136" s="472">
        <v>0</v>
      </c>
      <c r="N136" s="471">
        <v>2</v>
      </c>
      <c r="O136" s="542">
        <v>0.5</v>
      </c>
      <c r="P136" s="472">
        <v>0</v>
      </c>
      <c r="Q136" s="482"/>
      <c r="R136" s="471">
        <v>2</v>
      </c>
      <c r="S136" s="482">
        <v>1</v>
      </c>
      <c r="T136" s="542">
        <v>0.5</v>
      </c>
      <c r="U136" s="499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8" customWidth="1"/>
    <col min="3" max="3" width="5.5546875" style="211" customWidth="1"/>
    <col min="4" max="4" width="10" style="208" customWidth="1"/>
    <col min="5" max="5" width="5.5546875" style="211" customWidth="1"/>
    <col min="6" max="6" width="10" style="208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62" t="s">
        <v>1058</v>
      </c>
      <c r="B1" s="363"/>
      <c r="C1" s="363"/>
      <c r="D1" s="363"/>
      <c r="E1" s="363"/>
      <c r="F1" s="363"/>
    </row>
    <row r="2" spans="1:6" ht="14.4" customHeight="1" thickBot="1" x14ac:dyDescent="0.35">
      <c r="A2" s="235" t="s">
        <v>282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131</v>
      </c>
      <c r="C3" s="365"/>
      <c r="D3" s="366" t="s">
        <v>130</v>
      </c>
      <c r="E3" s="365"/>
      <c r="F3" s="80" t="s">
        <v>3</v>
      </c>
    </row>
    <row r="4" spans="1:6" ht="14.4" customHeight="1" thickBot="1" x14ac:dyDescent="0.35">
      <c r="A4" s="543" t="s">
        <v>189</v>
      </c>
      <c r="B4" s="477" t="s">
        <v>14</v>
      </c>
      <c r="C4" s="478" t="s">
        <v>2</v>
      </c>
      <c r="D4" s="477" t="s">
        <v>14</v>
      </c>
      <c r="E4" s="478" t="s">
        <v>2</v>
      </c>
      <c r="F4" s="479" t="s">
        <v>14</v>
      </c>
    </row>
    <row r="5" spans="1:6" ht="14.4" customHeight="1" x14ac:dyDescent="0.3">
      <c r="A5" s="548" t="s">
        <v>708</v>
      </c>
      <c r="B5" s="116">
        <v>688.7</v>
      </c>
      <c r="C5" s="536">
        <v>0.3615355944837868</v>
      </c>
      <c r="D5" s="116">
        <v>1216.23</v>
      </c>
      <c r="E5" s="536">
        <v>0.6384644055162132</v>
      </c>
      <c r="F5" s="544">
        <v>1904.93</v>
      </c>
    </row>
    <row r="6" spans="1:6" ht="14.4" customHeight="1" x14ac:dyDescent="0.3">
      <c r="A6" s="549" t="s">
        <v>711</v>
      </c>
      <c r="B6" s="468">
        <v>0</v>
      </c>
      <c r="C6" s="517"/>
      <c r="D6" s="468">
        <v>0</v>
      </c>
      <c r="E6" s="517"/>
      <c r="F6" s="469">
        <v>0</v>
      </c>
    </row>
    <row r="7" spans="1:6" ht="14.4" customHeight="1" x14ac:dyDescent="0.3">
      <c r="A7" s="549" t="s">
        <v>712</v>
      </c>
      <c r="B7" s="468"/>
      <c r="C7" s="517">
        <v>0</v>
      </c>
      <c r="D7" s="468">
        <v>276</v>
      </c>
      <c r="E7" s="517">
        <v>1</v>
      </c>
      <c r="F7" s="469">
        <v>276</v>
      </c>
    </row>
    <row r="8" spans="1:6" ht="14.4" customHeight="1" x14ac:dyDescent="0.3">
      <c r="A8" s="549" t="s">
        <v>713</v>
      </c>
      <c r="B8" s="468"/>
      <c r="C8" s="517">
        <v>0</v>
      </c>
      <c r="D8" s="468">
        <v>138</v>
      </c>
      <c r="E8" s="517">
        <v>1</v>
      </c>
      <c r="F8" s="469">
        <v>138</v>
      </c>
    </row>
    <row r="9" spans="1:6" ht="14.4" customHeight="1" x14ac:dyDescent="0.3">
      <c r="A9" s="549" t="s">
        <v>707</v>
      </c>
      <c r="B9" s="468"/>
      <c r="C9" s="517">
        <v>0</v>
      </c>
      <c r="D9" s="468">
        <v>3617.98</v>
      </c>
      <c r="E9" s="517">
        <v>1</v>
      </c>
      <c r="F9" s="469">
        <v>3617.98</v>
      </c>
    </row>
    <row r="10" spans="1:6" ht="14.4" customHeight="1" thickBot="1" x14ac:dyDescent="0.35">
      <c r="A10" s="550" t="s">
        <v>709</v>
      </c>
      <c r="B10" s="545"/>
      <c r="C10" s="546">
        <v>0</v>
      </c>
      <c r="D10" s="545">
        <v>13929.500000000002</v>
      </c>
      <c r="E10" s="546">
        <v>1</v>
      </c>
      <c r="F10" s="547">
        <v>13929.500000000002</v>
      </c>
    </row>
    <row r="11" spans="1:6" ht="14.4" customHeight="1" thickBot="1" x14ac:dyDescent="0.35">
      <c r="A11" s="483" t="s">
        <v>3</v>
      </c>
      <c r="B11" s="484">
        <v>688.7</v>
      </c>
      <c r="C11" s="485">
        <v>3.4666555255831323E-2</v>
      </c>
      <c r="D11" s="484">
        <v>19177.710000000003</v>
      </c>
      <c r="E11" s="485">
        <v>0.9653334447441686</v>
      </c>
      <c r="F11" s="486">
        <v>19866.410000000003</v>
      </c>
    </row>
    <row r="12" spans="1:6" ht="14.4" customHeight="1" thickBot="1" x14ac:dyDescent="0.35"/>
    <row r="13" spans="1:6" ht="14.4" customHeight="1" x14ac:dyDescent="0.3">
      <c r="A13" s="548" t="s">
        <v>1059</v>
      </c>
      <c r="B13" s="116">
        <v>413.22</v>
      </c>
      <c r="C13" s="536">
        <v>1</v>
      </c>
      <c r="D13" s="116">
        <v>0</v>
      </c>
      <c r="E13" s="536">
        <v>0</v>
      </c>
      <c r="F13" s="544">
        <v>413.22</v>
      </c>
    </row>
    <row r="14" spans="1:6" ht="14.4" customHeight="1" x14ac:dyDescent="0.3">
      <c r="A14" s="549" t="s">
        <v>694</v>
      </c>
      <c r="B14" s="468">
        <v>275.48</v>
      </c>
      <c r="C14" s="517">
        <v>0.24879881507170984</v>
      </c>
      <c r="D14" s="468">
        <v>831.76</v>
      </c>
      <c r="E14" s="517">
        <v>0.75120118492829013</v>
      </c>
      <c r="F14" s="469">
        <v>1107.24</v>
      </c>
    </row>
    <row r="15" spans="1:6" ht="14.4" customHeight="1" x14ac:dyDescent="0.3">
      <c r="A15" s="549" t="s">
        <v>1060</v>
      </c>
      <c r="B15" s="468"/>
      <c r="C15" s="517">
        <v>0</v>
      </c>
      <c r="D15" s="468">
        <v>678.92</v>
      </c>
      <c r="E15" s="517">
        <v>1</v>
      </c>
      <c r="F15" s="469">
        <v>678.92</v>
      </c>
    </row>
    <row r="16" spans="1:6" ht="14.4" customHeight="1" x14ac:dyDescent="0.3">
      <c r="A16" s="549" t="s">
        <v>1061</v>
      </c>
      <c r="B16" s="468"/>
      <c r="C16" s="517">
        <v>0</v>
      </c>
      <c r="D16" s="468">
        <v>414</v>
      </c>
      <c r="E16" s="517">
        <v>1</v>
      </c>
      <c r="F16" s="469">
        <v>414</v>
      </c>
    </row>
    <row r="17" spans="1:6" ht="14.4" customHeight="1" x14ac:dyDescent="0.3">
      <c r="A17" s="549" t="s">
        <v>1062</v>
      </c>
      <c r="B17" s="468"/>
      <c r="C17" s="517">
        <v>0</v>
      </c>
      <c r="D17" s="468">
        <v>209.57999999999998</v>
      </c>
      <c r="E17" s="517">
        <v>1</v>
      </c>
      <c r="F17" s="469">
        <v>209.57999999999998</v>
      </c>
    </row>
    <row r="18" spans="1:6" ht="14.4" customHeight="1" x14ac:dyDescent="0.3">
      <c r="A18" s="549" t="s">
        <v>1063</v>
      </c>
      <c r="B18" s="468"/>
      <c r="C18" s="517">
        <v>0</v>
      </c>
      <c r="D18" s="468">
        <v>193.14</v>
      </c>
      <c r="E18" s="517">
        <v>1</v>
      </c>
      <c r="F18" s="469">
        <v>193.14</v>
      </c>
    </row>
    <row r="19" spans="1:6" ht="14.4" customHeight="1" x14ac:dyDescent="0.3">
      <c r="A19" s="549" t="s">
        <v>1064</v>
      </c>
      <c r="B19" s="468"/>
      <c r="C19" s="517">
        <v>0</v>
      </c>
      <c r="D19" s="468">
        <v>1596.34</v>
      </c>
      <c r="E19" s="517">
        <v>1</v>
      </c>
      <c r="F19" s="469">
        <v>1596.34</v>
      </c>
    </row>
    <row r="20" spans="1:6" ht="14.4" customHeight="1" x14ac:dyDescent="0.3">
      <c r="A20" s="549" t="s">
        <v>1065</v>
      </c>
      <c r="B20" s="468"/>
      <c r="C20" s="517">
        <v>0</v>
      </c>
      <c r="D20" s="468">
        <v>767.43999999999994</v>
      </c>
      <c r="E20" s="517">
        <v>1</v>
      </c>
      <c r="F20" s="469">
        <v>767.43999999999994</v>
      </c>
    </row>
    <row r="21" spans="1:6" ht="14.4" customHeight="1" x14ac:dyDescent="0.3">
      <c r="A21" s="549" t="s">
        <v>1066</v>
      </c>
      <c r="B21" s="468"/>
      <c r="C21" s="517">
        <v>0</v>
      </c>
      <c r="D21" s="468">
        <v>8473.7199999999993</v>
      </c>
      <c r="E21" s="517">
        <v>1</v>
      </c>
      <c r="F21" s="469">
        <v>8473.7199999999993</v>
      </c>
    </row>
    <row r="22" spans="1:6" ht="14.4" customHeight="1" x14ac:dyDescent="0.3">
      <c r="A22" s="549" t="s">
        <v>1067</v>
      </c>
      <c r="B22" s="468">
        <v>0</v>
      </c>
      <c r="C22" s="517"/>
      <c r="D22" s="468"/>
      <c r="E22" s="517"/>
      <c r="F22" s="469">
        <v>0</v>
      </c>
    </row>
    <row r="23" spans="1:6" ht="14.4" customHeight="1" x14ac:dyDescent="0.3">
      <c r="A23" s="549" t="s">
        <v>1068</v>
      </c>
      <c r="B23" s="468"/>
      <c r="C23" s="517">
        <v>0</v>
      </c>
      <c r="D23" s="468">
        <v>252.97999999999996</v>
      </c>
      <c r="E23" s="517">
        <v>1</v>
      </c>
      <c r="F23" s="469">
        <v>252.97999999999996</v>
      </c>
    </row>
    <row r="24" spans="1:6" ht="14.4" customHeight="1" x14ac:dyDescent="0.3">
      <c r="A24" s="549" t="s">
        <v>1069</v>
      </c>
      <c r="B24" s="468"/>
      <c r="C24" s="517">
        <v>0</v>
      </c>
      <c r="D24" s="468">
        <v>1590.41</v>
      </c>
      <c r="E24" s="517">
        <v>1</v>
      </c>
      <c r="F24" s="469">
        <v>1590.41</v>
      </c>
    </row>
    <row r="25" spans="1:6" ht="14.4" customHeight="1" x14ac:dyDescent="0.3">
      <c r="A25" s="549" t="s">
        <v>1070</v>
      </c>
      <c r="B25" s="468"/>
      <c r="C25" s="517">
        <v>0</v>
      </c>
      <c r="D25" s="468">
        <v>54.42</v>
      </c>
      <c r="E25" s="517">
        <v>1</v>
      </c>
      <c r="F25" s="469">
        <v>54.42</v>
      </c>
    </row>
    <row r="26" spans="1:6" ht="14.4" customHeight="1" x14ac:dyDescent="0.3">
      <c r="A26" s="549" t="s">
        <v>1071</v>
      </c>
      <c r="B26" s="468"/>
      <c r="C26" s="517"/>
      <c r="D26" s="468">
        <v>0</v>
      </c>
      <c r="E26" s="517"/>
      <c r="F26" s="469">
        <v>0</v>
      </c>
    </row>
    <row r="27" spans="1:6" ht="14.4" customHeight="1" x14ac:dyDescent="0.3">
      <c r="A27" s="549" t="s">
        <v>1072</v>
      </c>
      <c r="B27" s="468"/>
      <c r="C27" s="517">
        <v>0</v>
      </c>
      <c r="D27" s="468">
        <v>1218.8499999999999</v>
      </c>
      <c r="E27" s="517">
        <v>1</v>
      </c>
      <c r="F27" s="469">
        <v>1218.8499999999999</v>
      </c>
    </row>
    <row r="28" spans="1:6" ht="14.4" customHeight="1" x14ac:dyDescent="0.3">
      <c r="A28" s="549" t="s">
        <v>1073</v>
      </c>
      <c r="B28" s="468"/>
      <c r="C28" s="517"/>
      <c r="D28" s="468">
        <v>0</v>
      </c>
      <c r="E28" s="517"/>
      <c r="F28" s="469">
        <v>0</v>
      </c>
    </row>
    <row r="29" spans="1:6" ht="14.4" customHeight="1" x14ac:dyDescent="0.3">
      <c r="A29" s="549" t="s">
        <v>1074</v>
      </c>
      <c r="B29" s="468"/>
      <c r="C29" s="517">
        <v>0</v>
      </c>
      <c r="D29" s="468">
        <v>237.64</v>
      </c>
      <c r="E29" s="517">
        <v>1</v>
      </c>
      <c r="F29" s="469">
        <v>237.64</v>
      </c>
    </row>
    <row r="30" spans="1:6" ht="14.4" customHeight="1" x14ac:dyDescent="0.3">
      <c r="A30" s="549" t="s">
        <v>1075</v>
      </c>
      <c r="B30" s="468"/>
      <c r="C30" s="517">
        <v>0</v>
      </c>
      <c r="D30" s="468">
        <v>1816.9499999999998</v>
      </c>
      <c r="E30" s="517">
        <v>1</v>
      </c>
      <c r="F30" s="469">
        <v>1816.9499999999998</v>
      </c>
    </row>
    <row r="31" spans="1:6" ht="14.4" customHeight="1" x14ac:dyDescent="0.3">
      <c r="A31" s="549" t="s">
        <v>1076</v>
      </c>
      <c r="B31" s="468"/>
      <c r="C31" s="517">
        <v>0</v>
      </c>
      <c r="D31" s="468">
        <v>174.94</v>
      </c>
      <c r="E31" s="517">
        <v>1</v>
      </c>
      <c r="F31" s="469">
        <v>174.94</v>
      </c>
    </row>
    <row r="32" spans="1:6" ht="14.4" customHeight="1" thickBot="1" x14ac:dyDescent="0.35">
      <c r="A32" s="550" t="s">
        <v>1077</v>
      </c>
      <c r="B32" s="545"/>
      <c r="C32" s="546">
        <v>0</v>
      </c>
      <c r="D32" s="545">
        <v>666.62</v>
      </c>
      <c r="E32" s="546">
        <v>1</v>
      </c>
      <c r="F32" s="547">
        <v>666.62</v>
      </c>
    </row>
    <row r="33" spans="1:6" ht="14.4" customHeight="1" thickBot="1" x14ac:dyDescent="0.35">
      <c r="A33" s="483" t="s">
        <v>3</v>
      </c>
      <c r="B33" s="484">
        <v>688.7</v>
      </c>
      <c r="C33" s="485">
        <v>3.4666555255831323E-2</v>
      </c>
      <c r="D33" s="484">
        <v>19177.71</v>
      </c>
      <c r="E33" s="485">
        <v>0.96533344474416849</v>
      </c>
      <c r="F33" s="486">
        <v>19866.410000000003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10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{2B1B5801-DAD8-46C4-9CBD-A899D3BEC35B}</x14:id>
        </ext>
      </extLst>
    </cfRule>
  </conditionalFormatting>
  <conditionalFormatting sqref="F13:F3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{0C349D46-87CF-4FB0-BE76-D52F2F612F96}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1B5801-DAD8-46C4-9CBD-A899D3BEC35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F5:F10</xm:sqref>
        </x14:conditionalFormatting>
        <x14:conditionalFormatting xmlns:xm="http://schemas.microsoft.com/office/excel/2006/main">
          <x14:cfRule type="dataBar" id="{0C349D46-87CF-4FB0-BE76-D52F2F612F9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F13:F32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3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8" customWidth="1"/>
    <col min="7" max="7" width="10" style="208" customWidth="1"/>
    <col min="8" max="8" width="6.77734375" style="211" customWidth="1"/>
    <col min="9" max="9" width="6.6640625" style="208" customWidth="1"/>
    <col min="10" max="10" width="10" style="208" customWidth="1"/>
    <col min="11" max="11" width="6.77734375" style="211" customWidth="1"/>
    <col min="12" max="12" width="6.6640625" style="208" customWidth="1"/>
    <col min="13" max="13" width="10" style="208" customWidth="1"/>
    <col min="14" max="16384" width="8.88671875" style="130"/>
  </cols>
  <sheetData>
    <row r="1" spans="1:13" ht="18.600000000000001" customHeight="1" thickBot="1" x14ac:dyDescent="0.4">
      <c r="A1" s="363" t="s">
        <v>1097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5" t="s">
        <v>282</v>
      </c>
      <c r="B2" s="207"/>
      <c r="C2" s="207"/>
      <c r="D2" s="207"/>
      <c r="E2" s="207"/>
      <c r="F2" s="215"/>
      <c r="G2" s="215"/>
      <c r="H2" s="216"/>
      <c r="I2" s="215"/>
      <c r="J2" s="215"/>
      <c r="K2" s="216"/>
      <c r="L2" s="215"/>
    </row>
    <row r="3" spans="1:13" ht="14.4" customHeight="1" thickBot="1" x14ac:dyDescent="0.35">
      <c r="E3" s="79" t="s">
        <v>129</v>
      </c>
      <c r="F3" s="43">
        <f>SUBTOTAL(9,F6:F1048576)</f>
        <v>3</v>
      </c>
      <c r="G3" s="43">
        <f>SUBTOTAL(9,G6:G1048576)</f>
        <v>688.7</v>
      </c>
      <c r="H3" s="44">
        <f>IF(M3=0,0,G3/M3)</f>
        <v>3.466655525583133E-2</v>
      </c>
      <c r="I3" s="43">
        <f>SUBTOTAL(9,I6:I1048576)</f>
        <v>72</v>
      </c>
      <c r="J3" s="43">
        <f>SUBTOTAL(9,J6:J1048576)</f>
        <v>19177.71</v>
      </c>
      <c r="K3" s="44">
        <f>IF(M3=0,0,J3/M3)</f>
        <v>0.9653334447441686</v>
      </c>
      <c r="L3" s="43">
        <f>SUBTOTAL(9,L6:L1048576)</f>
        <v>75</v>
      </c>
      <c r="M3" s="45">
        <f>SUBTOTAL(9,M6:M1048576)</f>
        <v>19866.41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131</v>
      </c>
      <c r="G4" s="368"/>
      <c r="H4" s="369"/>
      <c r="I4" s="370" t="s">
        <v>130</v>
      </c>
      <c r="J4" s="368"/>
      <c r="K4" s="369"/>
      <c r="L4" s="371" t="s">
        <v>3</v>
      </c>
      <c r="M4" s="372"/>
    </row>
    <row r="5" spans="1:13" ht="14.4" customHeight="1" thickBot="1" x14ac:dyDescent="0.35">
      <c r="A5" s="543" t="s">
        <v>137</v>
      </c>
      <c r="B5" s="551" t="s">
        <v>133</v>
      </c>
      <c r="C5" s="551" t="s">
        <v>71</v>
      </c>
      <c r="D5" s="551" t="s">
        <v>134</v>
      </c>
      <c r="E5" s="551" t="s">
        <v>135</v>
      </c>
      <c r="F5" s="490" t="s">
        <v>28</v>
      </c>
      <c r="G5" s="490" t="s">
        <v>14</v>
      </c>
      <c r="H5" s="478" t="s">
        <v>136</v>
      </c>
      <c r="I5" s="477" t="s">
        <v>28</v>
      </c>
      <c r="J5" s="490" t="s">
        <v>14</v>
      </c>
      <c r="K5" s="478" t="s">
        <v>136</v>
      </c>
      <c r="L5" s="477" t="s">
        <v>28</v>
      </c>
      <c r="M5" s="491" t="s">
        <v>14</v>
      </c>
    </row>
    <row r="6" spans="1:13" ht="14.4" customHeight="1" x14ac:dyDescent="0.3">
      <c r="A6" s="530" t="s">
        <v>711</v>
      </c>
      <c r="B6" s="531" t="s">
        <v>1078</v>
      </c>
      <c r="C6" s="531" t="s">
        <v>1021</v>
      </c>
      <c r="D6" s="531" t="s">
        <v>1022</v>
      </c>
      <c r="E6" s="531" t="s">
        <v>1023</v>
      </c>
      <c r="F6" s="116">
        <v>1</v>
      </c>
      <c r="G6" s="116">
        <v>0</v>
      </c>
      <c r="H6" s="536"/>
      <c r="I6" s="116"/>
      <c r="J6" s="116"/>
      <c r="K6" s="536"/>
      <c r="L6" s="116">
        <v>1</v>
      </c>
      <c r="M6" s="544">
        <v>0</v>
      </c>
    </row>
    <row r="7" spans="1:13" ht="14.4" customHeight="1" x14ac:dyDescent="0.3">
      <c r="A7" s="464" t="s">
        <v>711</v>
      </c>
      <c r="B7" s="465" t="s">
        <v>1079</v>
      </c>
      <c r="C7" s="465" t="s">
        <v>1026</v>
      </c>
      <c r="D7" s="465" t="s">
        <v>1027</v>
      </c>
      <c r="E7" s="465" t="s">
        <v>837</v>
      </c>
      <c r="F7" s="468"/>
      <c r="G7" s="468"/>
      <c r="H7" s="517"/>
      <c r="I7" s="468">
        <v>2</v>
      </c>
      <c r="J7" s="468">
        <v>0</v>
      </c>
      <c r="K7" s="517"/>
      <c r="L7" s="468">
        <v>2</v>
      </c>
      <c r="M7" s="469">
        <v>0</v>
      </c>
    </row>
    <row r="8" spans="1:13" ht="14.4" customHeight="1" x14ac:dyDescent="0.3">
      <c r="A8" s="464" t="s">
        <v>707</v>
      </c>
      <c r="B8" s="465" t="s">
        <v>1080</v>
      </c>
      <c r="C8" s="465" t="s">
        <v>780</v>
      </c>
      <c r="D8" s="465" t="s">
        <v>781</v>
      </c>
      <c r="E8" s="465" t="s">
        <v>782</v>
      </c>
      <c r="F8" s="468"/>
      <c r="G8" s="468"/>
      <c r="H8" s="517"/>
      <c r="I8" s="468">
        <v>1</v>
      </c>
      <c r="J8" s="468">
        <v>0</v>
      </c>
      <c r="K8" s="517"/>
      <c r="L8" s="468">
        <v>1</v>
      </c>
      <c r="M8" s="469">
        <v>0</v>
      </c>
    </row>
    <row r="9" spans="1:13" ht="14.4" customHeight="1" x14ac:dyDescent="0.3">
      <c r="A9" s="464" t="s">
        <v>707</v>
      </c>
      <c r="B9" s="465" t="s">
        <v>1081</v>
      </c>
      <c r="C9" s="465" t="s">
        <v>798</v>
      </c>
      <c r="D9" s="465" t="s">
        <v>799</v>
      </c>
      <c r="E9" s="465" t="s">
        <v>800</v>
      </c>
      <c r="F9" s="468"/>
      <c r="G9" s="468"/>
      <c r="H9" s="517">
        <v>0</v>
      </c>
      <c r="I9" s="468">
        <v>9</v>
      </c>
      <c r="J9" s="468">
        <v>1260.27</v>
      </c>
      <c r="K9" s="517">
        <v>1</v>
      </c>
      <c r="L9" s="468">
        <v>9</v>
      </c>
      <c r="M9" s="469">
        <v>1260.27</v>
      </c>
    </row>
    <row r="10" spans="1:13" ht="14.4" customHeight="1" x14ac:dyDescent="0.3">
      <c r="A10" s="464" t="s">
        <v>707</v>
      </c>
      <c r="B10" s="465" t="s">
        <v>1082</v>
      </c>
      <c r="C10" s="465" t="s">
        <v>802</v>
      </c>
      <c r="D10" s="465" t="s">
        <v>803</v>
      </c>
      <c r="E10" s="465" t="s">
        <v>804</v>
      </c>
      <c r="F10" s="468"/>
      <c r="G10" s="468"/>
      <c r="H10" s="517">
        <v>0</v>
      </c>
      <c r="I10" s="468">
        <v>3</v>
      </c>
      <c r="J10" s="468">
        <v>1816.9499999999998</v>
      </c>
      <c r="K10" s="517">
        <v>1</v>
      </c>
      <c r="L10" s="468">
        <v>3</v>
      </c>
      <c r="M10" s="469">
        <v>1816.9499999999998</v>
      </c>
    </row>
    <row r="11" spans="1:13" ht="14.4" customHeight="1" x14ac:dyDescent="0.3">
      <c r="A11" s="464" t="s">
        <v>707</v>
      </c>
      <c r="B11" s="465" t="s">
        <v>1083</v>
      </c>
      <c r="C11" s="465" t="s">
        <v>724</v>
      </c>
      <c r="D11" s="465" t="s">
        <v>725</v>
      </c>
      <c r="E11" s="465" t="s">
        <v>726</v>
      </c>
      <c r="F11" s="468"/>
      <c r="G11" s="468"/>
      <c r="H11" s="517">
        <v>0</v>
      </c>
      <c r="I11" s="468">
        <v>3</v>
      </c>
      <c r="J11" s="468">
        <v>540.76</v>
      </c>
      <c r="K11" s="517">
        <v>1</v>
      </c>
      <c r="L11" s="468">
        <v>3</v>
      </c>
      <c r="M11" s="469">
        <v>540.76</v>
      </c>
    </row>
    <row r="12" spans="1:13" ht="14.4" customHeight="1" x14ac:dyDescent="0.3">
      <c r="A12" s="464" t="s">
        <v>708</v>
      </c>
      <c r="B12" s="465" t="s">
        <v>1084</v>
      </c>
      <c r="C12" s="465" t="s">
        <v>873</v>
      </c>
      <c r="D12" s="465" t="s">
        <v>874</v>
      </c>
      <c r="E12" s="465" t="s">
        <v>875</v>
      </c>
      <c r="F12" s="468"/>
      <c r="G12" s="468"/>
      <c r="H12" s="517">
        <v>0</v>
      </c>
      <c r="I12" s="468">
        <v>1</v>
      </c>
      <c r="J12" s="468">
        <v>193.14</v>
      </c>
      <c r="K12" s="517">
        <v>1</v>
      </c>
      <c r="L12" s="468">
        <v>1</v>
      </c>
      <c r="M12" s="469">
        <v>193.14</v>
      </c>
    </row>
    <row r="13" spans="1:13" ht="14.4" customHeight="1" x14ac:dyDescent="0.3">
      <c r="A13" s="464" t="s">
        <v>708</v>
      </c>
      <c r="B13" s="465" t="s">
        <v>1085</v>
      </c>
      <c r="C13" s="465" t="s">
        <v>824</v>
      </c>
      <c r="D13" s="465" t="s">
        <v>825</v>
      </c>
      <c r="E13" s="465" t="s">
        <v>826</v>
      </c>
      <c r="F13" s="468"/>
      <c r="G13" s="468"/>
      <c r="H13" s="517">
        <v>0</v>
      </c>
      <c r="I13" s="468">
        <v>2</v>
      </c>
      <c r="J13" s="468">
        <v>666.62</v>
      </c>
      <c r="K13" s="517">
        <v>1</v>
      </c>
      <c r="L13" s="468">
        <v>2</v>
      </c>
      <c r="M13" s="469">
        <v>666.62</v>
      </c>
    </row>
    <row r="14" spans="1:13" ht="14.4" customHeight="1" x14ac:dyDescent="0.3">
      <c r="A14" s="464" t="s">
        <v>708</v>
      </c>
      <c r="B14" s="465" t="s">
        <v>1086</v>
      </c>
      <c r="C14" s="465" t="s">
        <v>856</v>
      </c>
      <c r="D14" s="465" t="s">
        <v>857</v>
      </c>
      <c r="E14" s="465" t="s">
        <v>855</v>
      </c>
      <c r="F14" s="468">
        <v>1</v>
      </c>
      <c r="G14" s="468">
        <v>413.22</v>
      </c>
      <c r="H14" s="517">
        <v>1</v>
      </c>
      <c r="I14" s="468"/>
      <c r="J14" s="468"/>
      <c r="K14" s="517">
        <v>0</v>
      </c>
      <c r="L14" s="468">
        <v>1</v>
      </c>
      <c r="M14" s="469">
        <v>413.22</v>
      </c>
    </row>
    <row r="15" spans="1:13" ht="14.4" customHeight="1" x14ac:dyDescent="0.3">
      <c r="A15" s="464" t="s">
        <v>708</v>
      </c>
      <c r="B15" s="465" t="s">
        <v>1086</v>
      </c>
      <c r="C15" s="465" t="s">
        <v>853</v>
      </c>
      <c r="D15" s="465" t="s">
        <v>854</v>
      </c>
      <c r="E15" s="465" t="s">
        <v>855</v>
      </c>
      <c r="F15" s="468"/>
      <c r="G15" s="468"/>
      <c r="H15" s="517"/>
      <c r="I15" s="468">
        <v>2</v>
      </c>
      <c r="J15" s="468">
        <v>0</v>
      </c>
      <c r="K15" s="517"/>
      <c r="L15" s="468">
        <v>2</v>
      </c>
      <c r="M15" s="469">
        <v>0</v>
      </c>
    </row>
    <row r="16" spans="1:13" ht="14.4" customHeight="1" x14ac:dyDescent="0.3">
      <c r="A16" s="464" t="s">
        <v>708</v>
      </c>
      <c r="B16" s="465" t="s">
        <v>695</v>
      </c>
      <c r="C16" s="465" t="s">
        <v>863</v>
      </c>
      <c r="D16" s="465" t="s">
        <v>696</v>
      </c>
      <c r="E16" s="465" t="s">
        <v>864</v>
      </c>
      <c r="F16" s="468"/>
      <c r="G16" s="468"/>
      <c r="H16" s="517">
        <v>0</v>
      </c>
      <c r="I16" s="468">
        <v>1</v>
      </c>
      <c r="J16" s="468">
        <v>356.47</v>
      </c>
      <c r="K16" s="517">
        <v>1</v>
      </c>
      <c r="L16" s="468">
        <v>1</v>
      </c>
      <c r="M16" s="469">
        <v>356.47</v>
      </c>
    </row>
    <row r="17" spans="1:13" ht="14.4" customHeight="1" x14ac:dyDescent="0.3">
      <c r="A17" s="464" t="s">
        <v>708</v>
      </c>
      <c r="B17" s="465" t="s">
        <v>695</v>
      </c>
      <c r="C17" s="465" t="s">
        <v>865</v>
      </c>
      <c r="D17" s="465" t="s">
        <v>866</v>
      </c>
      <c r="E17" s="465" t="s">
        <v>867</v>
      </c>
      <c r="F17" s="468">
        <v>1</v>
      </c>
      <c r="G17" s="468">
        <v>275.48</v>
      </c>
      <c r="H17" s="517">
        <v>1</v>
      </c>
      <c r="I17" s="468"/>
      <c r="J17" s="468"/>
      <c r="K17" s="517">
        <v>0</v>
      </c>
      <c r="L17" s="468">
        <v>1</v>
      </c>
      <c r="M17" s="469">
        <v>275.48</v>
      </c>
    </row>
    <row r="18" spans="1:13" ht="14.4" customHeight="1" x14ac:dyDescent="0.3">
      <c r="A18" s="464" t="s">
        <v>712</v>
      </c>
      <c r="B18" s="465" t="s">
        <v>1087</v>
      </c>
      <c r="C18" s="465" t="s">
        <v>1031</v>
      </c>
      <c r="D18" s="465" t="s">
        <v>1032</v>
      </c>
      <c r="E18" s="465" t="s">
        <v>897</v>
      </c>
      <c r="F18" s="468"/>
      <c r="G18" s="468"/>
      <c r="H18" s="517">
        <v>0</v>
      </c>
      <c r="I18" s="468">
        <v>2</v>
      </c>
      <c r="J18" s="468">
        <v>276</v>
      </c>
      <c r="K18" s="517">
        <v>1</v>
      </c>
      <c r="L18" s="468">
        <v>2</v>
      </c>
      <c r="M18" s="469">
        <v>276</v>
      </c>
    </row>
    <row r="19" spans="1:13" ht="14.4" customHeight="1" x14ac:dyDescent="0.3">
      <c r="A19" s="464" t="s">
        <v>713</v>
      </c>
      <c r="B19" s="465" t="s">
        <v>1087</v>
      </c>
      <c r="C19" s="465" t="s">
        <v>1031</v>
      </c>
      <c r="D19" s="465" t="s">
        <v>1032</v>
      </c>
      <c r="E19" s="465" t="s">
        <v>897</v>
      </c>
      <c r="F19" s="468"/>
      <c r="G19" s="468"/>
      <c r="H19" s="517">
        <v>0</v>
      </c>
      <c r="I19" s="468">
        <v>1</v>
      </c>
      <c r="J19" s="468">
        <v>138</v>
      </c>
      <c r="K19" s="517">
        <v>1</v>
      </c>
      <c r="L19" s="468">
        <v>1</v>
      </c>
      <c r="M19" s="469">
        <v>138</v>
      </c>
    </row>
    <row r="20" spans="1:13" ht="14.4" customHeight="1" x14ac:dyDescent="0.3">
      <c r="A20" s="464" t="s">
        <v>709</v>
      </c>
      <c r="B20" s="465" t="s">
        <v>1080</v>
      </c>
      <c r="C20" s="465" t="s">
        <v>965</v>
      </c>
      <c r="D20" s="465" t="s">
        <v>966</v>
      </c>
      <c r="E20" s="465" t="s">
        <v>967</v>
      </c>
      <c r="F20" s="468"/>
      <c r="G20" s="468"/>
      <c r="H20" s="517">
        <v>0</v>
      </c>
      <c r="I20" s="468">
        <v>1</v>
      </c>
      <c r="J20" s="468">
        <v>174.94</v>
      </c>
      <c r="K20" s="517">
        <v>1</v>
      </c>
      <c r="L20" s="468">
        <v>1</v>
      </c>
      <c r="M20" s="469">
        <v>174.94</v>
      </c>
    </row>
    <row r="21" spans="1:13" ht="14.4" customHeight="1" x14ac:dyDescent="0.3">
      <c r="A21" s="464" t="s">
        <v>709</v>
      </c>
      <c r="B21" s="465" t="s">
        <v>1088</v>
      </c>
      <c r="C21" s="465" t="s">
        <v>918</v>
      </c>
      <c r="D21" s="465" t="s">
        <v>919</v>
      </c>
      <c r="E21" s="465" t="s">
        <v>920</v>
      </c>
      <c r="F21" s="468"/>
      <c r="G21" s="468"/>
      <c r="H21" s="517"/>
      <c r="I21" s="468">
        <v>1</v>
      </c>
      <c r="J21" s="468">
        <v>0</v>
      </c>
      <c r="K21" s="517"/>
      <c r="L21" s="468">
        <v>1</v>
      </c>
      <c r="M21" s="469">
        <v>0</v>
      </c>
    </row>
    <row r="22" spans="1:13" ht="14.4" customHeight="1" x14ac:dyDescent="0.3">
      <c r="A22" s="464" t="s">
        <v>709</v>
      </c>
      <c r="B22" s="465" t="s">
        <v>1081</v>
      </c>
      <c r="C22" s="465" t="s">
        <v>978</v>
      </c>
      <c r="D22" s="465" t="s">
        <v>799</v>
      </c>
      <c r="E22" s="465" t="s">
        <v>979</v>
      </c>
      <c r="F22" s="468"/>
      <c r="G22" s="468"/>
      <c r="H22" s="517">
        <v>0</v>
      </c>
      <c r="I22" s="468">
        <v>1</v>
      </c>
      <c r="J22" s="468">
        <v>56.01</v>
      </c>
      <c r="K22" s="517">
        <v>1</v>
      </c>
      <c r="L22" s="468">
        <v>1</v>
      </c>
      <c r="M22" s="469">
        <v>56.01</v>
      </c>
    </row>
    <row r="23" spans="1:13" ht="14.4" customHeight="1" x14ac:dyDescent="0.3">
      <c r="A23" s="464" t="s">
        <v>709</v>
      </c>
      <c r="B23" s="465" t="s">
        <v>1081</v>
      </c>
      <c r="C23" s="465" t="s">
        <v>798</v>
      </c>
      <c r="D23" s="465" t="s">
        <v>799</v>
      </c>
      <c r="E23" s="465" t="s">
        <v>800</v>
      </c>
      <c r="F23" s="468"/>
      <c r="G23" s="468"/>
      <c r="H23" s="517">
        <v>0</v>
      </c>
      <c r="I23" s="468">
        <v>2</v>
      </c>
      <c r="J23" s="468">
        <v>280.06</v>
      </c>
      <c r="K23" s="517">
        <v>1</v>
      </c>
      <c r="L23" s="468">
        <v>2</v>
      </c>
      <c r="M23" s="469">
        <v>280.06</v>
      </c>
    </row>
    <row r="24" spans="1:13" ht="14.4" customHeight="1" x14ac:dyDescent="0.3">
      <c r="A24" s="464" t="s">
        <v>709</v>
      </c>
      <c r="B24" s="465" t="s">
        <v>1089</v>
      </c>
      <c r="C24" s="465" t="s">
        <v>899</v>
      </c>
      <c r="D24" s="465" t="s">
        <v>900</v>
      </c>
      <c r="E24" s="465" t="s">
        <v>901</v>
      </c>
      <c r="F24" s="468"/>
      <c r="G24" s="468"/>
      <c r="H24" s="517">
        <v>0</v>
      </c>
      <c r="I24" s="468">
        <v>4</v>
      </c>
      <c r="J24" s="468">
        <v>8473.7199999999993</v>
      </c>
      <c r="K24" s="517">
        <v>1</v>
      </c>
      <c r="L24" s="468">
        <v>4</v>
      </c>
      <c r="M24" s="469">
        <v>8473.7199999999993</v>
      </c>
    </row>
    <row r="25" spans="1:13" ht="14.4" customHeight="1" x14ac:dyDescent="0.3">
      <c r="A25" s="464" t="s">
        <v>709</v>
      </c>
      <c r="B25" s="465" t="s">
        <v>1090</v>
      </c>
      <c r="C25" s="465" t="s">
        <v>881</v>
      </c>
      <c r="D25" s="465" t="s">
        <v>882</v>
      </c>
      <c r="E25" s="465" t="s">
        <v>883</v>
      </c>
      <c r="F25" s="468"/>
      <c r="G25" s="468"/>
      <c r="H25" s="517">
        <v>0</v>
      </c>
      <c r="I25" s="468">
        <v>6</v>
      </c>
      <c r="J25" s="468">
        <v>252.97999999999996</v>
      </c>
      <c r="K25" s="517">
        <v>1</v>
      </c>
      <c r="L25" s="468">
        <v>6</v>
      </c>
      <c r="M25" s="469">
        <v>252.97999999999996</v>
      </c>
    </row>
    <row r="26" spans="1:13" ht="14.4" customHeight="1" x14ac:dyDescent="0.3">
      <c r="A26" s="464" t="s">
        <v>709</v>
      </c>
      <c r="B26" s="465" t="s">
        <v>1091</v>
      </c>
      <c r="C26" s="465" t="s">
        <v>981</v>
      </c>
      <c r="D26" s="465" t="s">
        <v>982</v>
      </c>
      <c r="E26" s="465" t="s">
        <v>983</v>
      </c>
      <c r="F26" s="468"/>
      <c r="G26" s="468"/>
      <c r="H26" s="517">
        <v>0</v>
      </c>
      <c r="I26" s="468">
        <v>2</v>
      </c>
      <c r="J26" s="468">
        <v>54.42</v>
      </c>
      <c r="K26" s="517">
        <v>1</v>
      </c>
      <c r="L26" s="468">
        <v>2</v>
      </c>
      <c r="M26" s="469">
        <v>54.42</v>
      </c>
    </row>
    <row r="27" spans="1:13" ht="14.4" customHeight="1" x14ac:dyDescent="0.3">
      <c r="A27" s="464" t="s">
        <v>709</v>
      </c>
      <c r="B27" s="465" t="s">
        <v>1092</v>
      </c>
      <c r="C27" s="465" t="s">
        <v>989</v>
      </c>
      <c r="D27" s="465" t="s">
        <v>990</v>
      </c>
      <c r="E27" s="465" t="s">
        <v>991</v>
      </c>
      <c r="F27" s="468"/>
      <c r="G27" s="468"/>
      <c r="H27" s="517">
        <v>0</v>
      </c>
      <c r="I27" s="468">
        <v>2</v>
      </c>
      <c r="J27" s="468">
        <v>130.6</v>
      </c>
      <c r="K27" s="517">
        <v>1</v>
      </c>
      <c r="L27" s="468">
        <v>2</v>
      </c>
      <c r="M27" s="469">
        <v>130.6</v>
      </c>
    </row>
    <row r="28" spans="1:13" ht="14.4" customHeight="1" x14ac:dyDescent="0.3">
      <c r="A28" s="464" t="s">
        <v>709</v>
      </c>
      <c r="B28" s="465" t="s">
        <v>1092</v>
      </c>
      <c r="C28" s="465" t="s">
        <v>992</v>
      </c>
      <c r="D28" s="465" t="s">
        <v>990</v>
      </c>
      <c r="E28" s="465" t="s">
        <v>993</v>
      </c>
      <c r="F28" s="468"/>
      <c r="G28" s="468"/>
      <c r="H28" s="517">
        <v>0</v>
      </c>
      <c r="I28" s="468">
        <v>5</v>
      </c>
      <c r="J28" s="468">
        <v>1088.25</v>
      </c>
      <c r="K28" s="517">
        <v>1</v>
      </c>
      <c r="L28" s="468">
        <v>5</v>
      </c>
      <c r="M28" s="469">
        <v>1088.25</v>
      </c>
    </row>
    <row r="29" spans="1:13" ht="14.4" customHeight="1" x14ac:dyDescent="0.3">
      <c r="A29" s="464" t="s">
        <v>709</v>
      </c>
      <c r="B29" s="465" t="s">
        <v>1083</v>
      </c>
      <c r="C29" s="465" t="s">
        <v>892</v>
      </c>
      <c r="D29" s="465" t="s">
        <v>893</v>
      </c>
      <c r="E29" s="465" t="s">
        <v>673</v>
      </c>
      <c r="F29" s="468"/>
      <c r="G29" s="468"/>
      <c r="H29" s="517">
        <v>0</v>
      </c>
      <c r="I29" s="468">
        <v>1</v>
      </c>
      <c r="J29" s="468">
        <v>138.16</v>
      </c>
      <c r="K29" s="517">
        <v>1</v>
      </c>
      <c r="L29" s="468">
        <v>1</v>
      </c>
      <c r="M29" s="469">
        <v>138.16</v>
      </c>
    </row>
    <row r="30" spans="1:13" ht="14.4" customHeight="1" x14ac:dyDescent="0.3">
      <c r="A30" s="464" t="s">
        <v>709</v>
      </c>
      <c r="B30" s="465" t="s">
        <v>1093</v>
      </c>
      <c r="C30" s="465" t="s">
        <v>953</v>
      </c>
      <c r="D30" s="465" t="s">
        <v>954</v>
      </c>
      <c r="E30" s="465" t="s">
        <v>955</v>
      </c>
      <c r="F30" s="468"/>
      <c r="G30" s="468"/>
      <c r="H30" s="517">
        <v>0</v>
      </c>
      <c r="I30" s="468">
        <v>3</v>
      </c>
      <c r="J30" s="468">
        <v>209.57999999999998</v>
      </c>
      <c r="K30" s="517">
        <v>1</v>
      </c>
      <c r="L30" s="468">
        <v>3</v>
      </c>
      <c r="M30" s="469">
        <v>209.57999999999998</v>
      </c>
    </row>
    <row r="31" spans="1:13" ht="14.4" customHeight="1" x14ac:dyDescent="0.3">
      <c r="A31" s="464" t="s">
        <v>709</v>
      </c>
      <c r="B31" s="465" t="s">
        <v>1094</v>
      </c>
      <c r="C31" s="465" t="s">
        <v>985</v>
      </c>
      <c r="D31" s="465" t="s">
        <v>986</v>
      </c>
      <c r="E31" s="465" t="s">
        <v>987</v>
      </c>
      <c r="F31" s="468"/>
      <c r="G31" s="468"/>
      <c r="H31" s="517">
        <v>0</v>
      </c>
      <c r="I31" s="468">
        <v>2</v>
      </c>
      <c r="J31" s="468">
        <v>1590.41</v>
      </c>
      <c r="K31" s="517">
        <v>1</v>
      </c>
      <c r="L31" s="468">
        <v>2</v>
      </c>
      <c r="M31" s="469">
        <v>1590.41</v>
      </c>
    </row>
    <row r="32" spans="1:13" ht="14.4" customHeight="1" x14ac:dyDescent="0.3">
      <c r="A32" s="464" t="s">
        <v>709</v>
      </c>
      <c r="B32" s="465" t="s">
        <v>1095</v>
      </c>
      <c r="C32" s="465" t="s">
        <v>1003</v>
      </c>
      <c r="D32" s="465" t="s">
        <v>1004</v>
      </c>
      <c r="E32" s="465" t="s">
        <v>864</v>
      </c>
      <c r="F32" s="468"/>
      <c r="G32" s="468"/>
      <c r="H32" s="517"/>
      <c r="I32" s="468">
        <v>5</v>
      </c>
      <c r="J32" s="468">
        <v>0</v>
      </c>
      <c r="K32" s="517"/>
      <c r="L32" s="468">
        <v>5</v>
      </c>
      <c r="M32" s="469">
        <v>0</v>
      </c>
    </row>
    <row r="33" spans="1:13" ht="14.4" customHeight="1" x14ac:dyDescent="0.3">
      <c r="A33" s="464" t="s">
        <v>709</v>
      </c>
      <c r="B33" s="465" t="s">
        <v>1096</v>
      </c>
      <c r="C33" s="465" t="s">
        <v>877</v>
      </c>
      <c r="D33" s="465" t="s">
        <v>878</v>
      </c>
      <c r="E33" s="465" t="s">
        <v>879</v>
      </c>
      <c r="F33" s="468"/>
      <c r="G33" s="468"/>
      <c r="H33" s="517">
        <v>0</v>
      </c>
      <c r="I33" s="468">
        <v>6</v>
      </c>
      <c r="J33" s="468">
        <v>767.43999999999994</v>
      </c>
      <c r="K33" s="517">
        <v>1</v>
      </c>
      <c r="L33" s="468">
        <v>6</v>
      </c>
      <c r="M33" s="469">
        <v>767.43999999999994</v>
      </c>
    </row>
    <row r="34" spans="1:13" ht="14.4" customHeight="1" x14ac:dyDescent="0.3">
      <c r="A34" s="464" t="s">
        <v>709</v>
      </c>
      <c r="B34" s="465" t="s">
        <v>1079</v>
      </c>
      <c r="C34" s="465" t="s">
        <v>895</v>
      </c>
      <c r="D34" s="465" t="s">
        <v>896</v>
      </c>
      <c r="E34" s="465" t="s">
        <v>897</v>
      </c>
      <c r="F34" s="468"/>
      <c r="G34" s="468"/>
      <c r="H34" s="517">
        <v>0</v>
      </c>
      <c r="I34" s="468">
        <v>2</v>
      </c>
      <c r="J34" s="468">
        <v>237.64</v>
      </c>
      <c r="K34" s="517">
        <v>1</v>
      </c>
      <c r="L34" s="468">
        <v>2</v>
      </c>
      <c r="M34" s="469">
        <v>237.64</v>
      </c>
    </row>
    <row r="35" spans="1:13" ht="14.4" customHeight="1" x14ac:dyDescent="0.3">
      <c r="A35" s="464" t="s">
        <v>709</v>
      </c>
      <c r="B35" s="465" t="s">
        <v>695</v>
      </c>
      <c r="C35" s="465" t="s">
        <v>863</v>
      </c>
      <c r="D35" s="465" t="s">
        <v>696</v>
      </c>
      <c r="E35" s="465" t="s">
        <v>864</v>
      </c>
      <c r="F35" s="468"/>
      <c r="G35" s="468"/>
      <c r="H35" s="517">
        <v>0</v>
      </c>
      <c r="I35" s="468">
        <v>1</v>
      </c>
      <c r="J35" s="468">
        <v>356.47</v>
      </c>
      <c r="K35" s="517">
        <v>1</v>
      </c>
      <c r="L35" s="468">
        <v>1</v>
      </c>
      <c r="M35" s="469">
        <v>356.47</v>
      </c>
    </row>
    <row r="36" spans="1:13" ht="14.4" customHeight="1" thickBot="1" x14ac:dyDescent="0.35">
      <c r="A36" s="470" t="s">
        <v>709</v>
      </c>
      <c r="B36" s="471" t="s">
        <v>695</v>
      </c>
      <c r="C36" s="471" t="s">
        <v>684</v>
      </c>
      <c r="D36" s="471" t="s">
        <v>696</v>
      </c>
      <c r="E36" s="471" t="s">
        <v>697</v>
      </c>
      <c r="F36" s="474"/>
      <c r="G36" s="474"/>
      <c r="H36" s="482">
        <v>0</v>
      </c>
      <c r="I36" s="474">
        <v>1</v>
      </c>
      <c r="J36" s="474">
        <v>118.82</v>
      </c>
      <c r="K36" s="482">
        <v>1</v>
      </c>
      <c r="L36" s="474">
        <v>1</v>
      </c>
      <c r="M36" s="475">
        <v>118.82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9" customWidth="1"/>
    <col min="2" max="2" width="61.109375" style="209" customWidth="1"/>
    <col min="3" max="3" width="9.5546875" style="130" customWidth="1"/>
    <col min="4" max="4" width="9.5546875" style="210" customWidth="1"/>
    <col min="5" max="5" width="2.21875" style="210" customWidth="1"/>
    <col min="6" max="6" width="9.5546875" style="211" customWidth="1"/>
    <col min="7" max="7" width="9.5546875" style="208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141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5" t="s">
        <v>282</v>
      </c>
      <c r="B2" s="207"/>
      <c r="C2" s="207"/>
      <c r="D2" s="207"/>
      <c r="E2" s="207"/>
      <c r="F2" s="207"/>
    </row>
    <row r="3" spans="1:10" ht="14.4" customHeight="1" thickBot="1" x14ac:dyDescent="0.35">
      <c r="A3" s="235"/>
      <c r="B3" s="207"/>
      <c r="C3" s="293">
        <v>2012</v>
      </c>
      <c r="D3" s="294">
        <v>2013</v>
      </c>
      <c r="E3" s="7"/>
      <c r="F3" s="349">
        <v>2014</v>
      </c>
      <c r="G3" s="350"/>
      <c r="H3" s="350"/>
      <c r="I3" s="351"/>
    </row>
    <row r="4" spans="1:10" ht="14.4" customHeight="1" thickBot="1" x14ac:dyDescent="0.35">
      <c r="A4" s="298" t="s">
        <v>0</v>
      </c>
      <c r="B4" s="299" t="s">
        <v>267</v>
      </c>
      <c r="C4" s="352" t="s">
        <v>73</v>
      </c>
      <c r="D4" s="353"/>
      <c r="E4" s="300"/>
      <c r="F4" s="295" t="s">
        <v>73</v>
      </c>
      <c r="G4" s="296" t="s">
        <v>74</v>
      </c>
      <c r="H4" s="296" t="s">
        <v>68</v>
      </c>
      <c r="I4" s="297" t="s">
        <v>75</v>
      </c>
    </row>
    <row r="5" spans="1:10" ht="14.4" customHeight="1" x14ac:dyDescent="0.3">
      <c r="A5" s="446" t="s">
        <v>529</v>
      </c>
      <c r="B5" s="447" t="s">
        <v>530</v>
      </c>
      <c r="C5" s="448" t="s">
        <v>531</v>
      </c>
      <c r="D5" s="448" t="s">
        <v>531</v>
      </c>
      <c r="E5" s="448"/>
      <c r="F5" s="448" t="s">
        <v>531</v>
      </c>
      <c r="G5" s="448" t="s">
        <v>531</v>
      </c>
      <c r="H5" s="448" t="s">
        <v>531</v>
      </c>
      <c r="I5" s="449" t="s">
        <v>531</v>
      </c>
      <c r="J5" s="450" t="s">
        <v>69</v>
      </c>
    </row>
    <row r="6" spans="1:10" ht="14.4" customHeight="1" x14ac:dyDescent="0.3">
      <c r="A6" s="446" t="s">
        <v>529</v>
      </c>
      <c r="B6" s="447" t="s">
        <v>297</v>
      </c>
      <c r="C6" s="448">
        <v>19228.398740000001</v>
      </c>
      <c r="D6" s="448">
        <v>18707.046430000006</v>
      </c>
      <c r="E6" s="448"/>
      <c r="F6" s="448">
        <v>18115.115720000013</v>
      </c>
      <c r="G6" s="448">
        <v>18632.031803740461</v>
      </c>
      <c r="H6" s="448">
        <v>-516.91608374044881</v>
      </c>
      <c r="I6" s="449">
        <v>0.97225659073656823</v>
      </c>
      <c r="J6" s="450" t="s">
        <v>1</v>
      </c>
    </row>
    <row r="7" spans="1:10" ht="14.4" customHeight="1" x14ac:dyDescent="0.3">
      <c r="A7" s="446" t="s">
        <v>529</v>
      </c>
      <c r="B7" s="447" t="s">
        <v>298</v>
      </c>
      <c r="C7" s="448">
        <v>422.45348000000001</v>
      </c>
      <c r="D7" s="448">
        <v>356.73751999999905</v>
      </c>
      <c r="E7" s="448"/>
      <c r="F7" s="448">
        <v>483.24504999999999</v>
      </c>
      <c r="G7" s="448">
        <v>413.01883903022701</v>
      </c>
      <c r="H7" s="448">
        <v>70.226210969772978</v>
      </c>
      <c r="I7" s="449">
        <v>1.1700314957416105</v>
      </c>
      <c r="J7" s="450" t="s">
        <v>1</v>
      </c>
    </row>
    <row r="8" spans="1:10" ht="14.4" customHeight="1" x14ac:dyDescent="0.3">
      <c r="A8" s="446" t="s">
        <v>529</v>
      </c>
      <c r="B8" s="447" t="s">
        <v>299</v>
      </c>
      <c r="C8" s="448">
        <v>271.87090000000001</v>
      </c>
      <c r="D8" s="448">
        <v>186.74610000000001</v>
      </c>
      <c r="E8" s="448"/>
      <c r="F8" s="448">
        <v>258.23910999999998</v>
      </c>
      <c r="G8" s="448">
        <v>205.17078101077703</v>
      </c>
      <c r="H8" s="448">
        <v>53.068328989222948</v>
      </c>
      <c r="I8" s="449">
        <v>1.2586544181768038</v>
      </c>
      <c r="J8" s="450" t="s">
        <v>1</v>
      </c>
    </row>
    <row r="9" spans="1:10" ht="14.4" customHeight="1" x14ac:dyDescent="0.3">
      <c r="A9" s="446" t="s">
        <v>529</v>
      </c>
      <c r="B9" s="447" t="s">
        <v>300</v>
      </c>
      <c r="C9" s="448">
        <v>639.35870999999997</v>
      </c>
      <c r="D9" s="448">
        <v>390.65859999999896</v>
      </c>
      <c r="E9" s="448"/>
      <c r="F9" s="448">
        <v>422.72196000000002</v>
      </c>
      <c r="G9" s="448">
        <v>408.65604576723501</v>
      </c>
      <c r="H9" s="448">
        <v>14.06591423276501</v>
      </c>
      <c r="I9" s="449">
        <v>1.0344199342661304</v>
      </c>
      <c r="J9" s="450" t="s">
        <v>1</v>
      </c>
    </row>
    <row r="10" spans="1:10" ht="14.4" customHeight="1" x14ac:dyDescent="0.3">
      <c r="A10" s="446" t="s">
        <v>529</v>
      </c>
      <c r="B10" s="447" t="s">
        <v>301</v>
      </c>
      <c r="C10" s="448">
        <v>19163.691799999997</v>
      </c>
      <c r="D10" s="448">
        <v>21444.12993000001</v>
      </c>
      <c r="E10" s="448"/>
      <c r="F10" s="448">
        <v>22269.769490000013</v>
      </c>
      <c r="G10" s="448">
        <v>21713.2347576426</v>
      </c>
      <c r="H10" s="448">
        <v>556.5347323574133</v>
      </c>
      <c r="I10" s="449">
        <v>1.0256311295193603</v>
      </c>
      <c r="J10" s="450" t="s">
        <v>1</v>
      </c>
    </row>
    <row r="11" spans="1:10" ht="14.4" customHeight="1" x14ac:dyDescent="0.3">
      <c r="A11" s="446" t="s">
        <v>529</v>
      </c>
      <c r="B11" s="447" t="s">
        <v>302</v>
      </c>
      <c r="C11" s="448">
        <v>0.627</v>
      </c>
      <c r="D11" s="448">
        <v>0.69099999999999995</v>
      </c>
      <c r="E11" s="448"/>
      <c r="F11" s="448">
        <v>52.961999999999996</v>
      </c>
      <c r="G11" s="448">
        <v>49.708838693886989</v>
      </c>
      <c r="H11" s="448">
        <v>3.2531613061130074</v>
      </c>
      <c r="I11" s="449">
        <v>1.0654443232147579</v>
      </c>
      <c r="J11" s="450" t="s">
        <v>1</v>
      </c>
    </row>
    <row r="12" spans="1:10" ht="14.4" customHeight="1" x14ac:dyDescent="0.3">
      <c r="A12" s="446" t="s">
        <v>529</v>
      </c>
      <c r="B12" s="447" t="s">
        <v>303</v>
      </c>
      <c r="C12" s="448">
        <v>108.92099999999999</v>
      </c>
      <c r="D12" s="448">
        <v>83.022999999998007</v>
      </c>
      <c r="E12" s="448"/>
      <c r="F12" s="448">
        <v>151.37699999999998</v>
      </c>
      <c r="G12" s="448">
        <v>132.19782295460502</v>
      </c>
      <c r="H12" s="448">
        <v>19.179177045394965</v>
      </c>
      <c r="I12" s="449">
        <v>1.1450793713295933</v>
      </c>
      <c r="J12" s="450" t="s">
        <v>1</v>
      </c>
    </row>
    <row r="13" spans="1:10" ht="14.4" customHeight="1" x14ac:dyDescent="0.3">
      <c r="A13" s="446" t="s">
        <v>529</v>
      </c>
      <c r="B13" s="447" t="s">
        <v>533</v>
      </c>
      <c r="C13" s="448">
        <v>39835.321629999999</v>
      </c>
      <c r="D13" s="448">
        <v>41169.032580000014</v>
      </c>
      <c r="E13" s="448"/>
      <c r="F13" s="448">
        <v>41753.430330000025</v>
      </c>
      <c r="G13" s="448">
        <v>41554.018888839797</v>
      </c>
      <c r="H13" s="448">
        <v>199.4114411602277</v>
      </c>
      <c r="I13" s="449">
        <v>1.0047988484987136</v>
      </c>
      <c r="J13" s="450" t="s">
        <v>534</v>
      </c>
    </row>
    <row r="15" spans="1:10" ht="14.4" customHeight="1" x14ac:dyDescent="0.3">
      <c r="A15" s="446" t="s">
        <v>529</v>
      </c>
      <c r="B15" s="447" t="s">
        <v>530</v>
      </c>
      <c r="C15" s="448" t="s">
        <v>531</v>
      </c>
      <c r="D15" s="448" t="s">
        <v>531</v>
      </c>
      <c r="E15" s="448"/>
      <c r="F15" s="448" t="s">
        <v>531</v>
      </c>
      <c r="G15" s="448" t="s">
        <v>531</v>
      </c>
      <c r="H15" s="448" t="s">
        <v>531</v>
      </c>
      <c r="I15" s="449" t="s">
        <v>531</v>
      </c>
      <c r="J15" s="450" t="s">
        <v>69</v>
      </c>
    </row>
    <row r="16" spans="1:10" ht="14.4" customHeight="1" x14ac:dyDescent="0.3">
      <c r="A16" s="446" t="s">
        <v>535</v>
      </c>
      <c r="B16" s="447" t="s">
        <v>536</v>
      </c>
      <c r="C16" s="448" t="s">
        <v>531</v>
      </c>
      <c r="D16" s="448" t="s">
        <v>531</v>
      </c>
      <c r="E16" s="448"/>
      <c r="F16" s="448" t="s">
        <v>531</v>
      </c>
      <c r="G16" s="448" t="s">
        <v>531</v>
      </c>
      <c r="H16" s="448" t="s">
        <v>531</v>
      </c>
      <c r="I16" s="449" t="s">
        <v>531</v>
      </c>
      <c r="J16" s="450" t="s">
        <v>0</v>
      </c>
    </row>
    <row r="17" spans="1:10" ht="14.4" customHeight="1" x14ac:dyDescent="0.3">
      <c r="A17" s="446" t="s">
        <v>535</v>
      </c>
      <c r="B17" s="447" t="s">
        <v>297</v>
      </c>
      <c r="C17" s="448">
        <v>4308.3269399999999</v>
      </c>
      <c r="D17" s="448">
        <v>1584.4597299999987</v>
      </c>
      <c r="E17" s="448"/>
      <c r="F17" s="448">
        <v>1357.9513700000011</v>
      </c>
      <c r="G17" s="448">
        <v>1574.4582906964599</v>
      </c>
      <c r="H17" s="448">
        <v>-216.50692069645879</v>
      </c>
      <c r="I17" s="449">
        <v>0.86248799223465789</v>
      </c>
      <c r="J17" s="450" t="s">
        <v>1</v>
      </c>
    </row>
    <row r="18" spans="1:10" ht="14.4" customHeight="1" x14ac:dyDescent="0.3">
      <c r="A18" s="446" t="s">
        <v>535</v>
      </c>
      <c r="B18" s="447" t="s">
        <v>298</v>
      </c>
      <c r="C18" s="448">
        <v>31.944950000000002</v>
      </c>
      <c r="D18" s="448">
        <v>28.578759999999004</v>
      </c>
      <c r="E18" s="448"/>
      <c r="F18" s="448">
        <v>39.28716</v>
      </c>
      <c r="G18" s="448">
        <v>39.761575837267003</v>
      </c>
      <c r="H18" s="448">
        <v>-0.47441583726700287</v>
      </c>
      <c r="I18" s="449">
        <v>0.98806848503166333</v>
      </c>
      <c r="J18" s="450" t="s">
        <v>1</v>
      </c>
    </row>
    <row r="19" spans="1:10" ht="14.4" customHeight="1" x14ac:dyDescent="0.3">
      <c r="A19" s="446" t="s">
        <v>535</v>
      </c>
      <c r="B19" s="447" t="s">
        <v>299</v>
      </c>
      <c r="C19" s="448">
        <v>1.63089</v>
      </c>
      <c r="D19" s="448">
        <v>1.8271799999999996</v>
      </c>
      <c r="E19" s="448"/>
      <c r="F19" s="448">
        <v>2.28972</v>
      </c>
      <c r="G19" s="448">
        <v>6.8313351013519998</v>
      </c>
      <c r="H19" s="448">
        <v>-4.5416151013519999</v>
      </c>
      <c r="I19" s="449">
        <v>0.33517899005522916</v>
      </c>
      <c r="J19" s="450" t="s">
        <v>1</v>
      </c>
    </row>
    <row r="20" spans="1:10" ht="14.4" customHeight="1" x14ac:dyDescent="0.3">
      <c r="A20" s="446" t="s">
        <v>535</v>
      </c>
      <c r="B20" s="447" t="s">
        <v>300</v>
      </c>
      <c r="C20" s="448">
        <v>72.290199999999999</v>
      </c>
      <c r="D20" s="448">
        <v>66.740859999999003</v>
      </c>
      <c r="E20" s="448"/>
      <c r="F20" s="448">
        <v>69.456100000000006</v>
      </c>
      <c r="G20" s="448">
        <v>63.740389081623007</v>
      </c>
      <c r="H20" s="448">
        <v>5.715710918376999</v>
      </c>
      <c r="I20" s="449">
        <v>1.0896717293497804</v>
      </c>
      <c r="J20" s="450" t="s">
        <v>1</v>
      </c>
    </row>
    <row r="21" spans="1:10" ht="14.4" customHeight="1" x14ac:dyDescent="0.3">
      <c r="A21" s="446" t="s">
        <v>535</v>
      </c>
      <c r="B21" s="447" t="s">
        <v>302</v>
      </c>
      <c r="C21" s="448">
        <v>2.8000000000000001E-2</v>
      </c>
      <c r="D21" s="448">
        <v>3.1E-2</v>
      </c>
      <c r="E21" s="448"/>
      <c r="F21" s="448">
        <v>0</v>
      </c>
      <c r="G21" s="448">
        <v>3.1800288726999998E-2</v>
      </c>
      <c r="H21" s="448">
        <v>-3.1800288726999998E-2</v>
      </c>
      <c r="I21" s="449">
        <v>0</v>
      </c>
      <c r="J21" s="450" t="s">
        <v>1</v>
      </c>
    </row>
    <row r="22" spans="1:10" ht="14.4" customHeight="1" x14ac:dyDescent="0.3">
      <c r="A22" s="446" t="s">
        <v>535</v>
      </c>
      <c r="B22" s="447" t="s">
        <v>303</v>
      </c>
      <c r="C22" s="448">
        <v>17.049999999999997</v>
      </c>
      <c r="D22" s="448">
        <v>10.286999999999001</v>
      </c>
      <c r="E22" s="448"/>
      <c r="F22" s="448">
        <v>19.887999999999998</v>
      </c>
      <c r="G22" s="448">
        <v>17.432566540499</v>
      </c>
      <c r="H22" s="448">
        <v>2.4554334595009983</v>
      </c>
      <c r="I22" s="449">
        <v>1.1408532388960961</v>
      </c>
      <c r="J22" s="450" t="s">
        <v>1</v>
      </c>
    </row>
    <row r="23" spans="1:10" ht="14.4" customHeight="1" x14ac:dyDescent="0.3">
      <c r="A23" s="446" t="s">
        <v>535</v>
      </c>
      <c r="B23" s="447" t="s">
        <v>537</v>
      </c>
      <c r="C23" s="448">
        <v>4431.2709800000011</v>
      </c>
      <c r="D23" s="448">
        <v>1691.9245299999955</v>
      </c>
      <c r="E23" s="448"/>
      <c r="F23" s="448">
        <v>1488.8723500000012</v>
      </c>
      <c r="G23" s="448">
        <v>1702.2559575459279</v>
      </c>
      <c r="H23" s="448">
        <v>-213.38360754592668</v>
      </c>
      <c r="I23" s="449">
        <v>0.87464657908816901</v>
      </c>
      <c r="J23" s="450" t="s">
        <v>538</v>
      </c>
    </row>
    <row r="24" spans="1:10" ht="14.4" customHeight="1" x14ac:dyDescent="0.3">
      <c r="A24" s="446" t="s">
        <v>531</v>
      </c>
      <c r="B24" s="447" t="s">
        <v>531</v>
      </c>
      <c r="C24" s="448" t="s">
        <v>531</v>
      </c>
      <c r="D24" s="448" t="s">
        <v>531</v>
      </c>
      <c r="E24" s="448"/>
      <c r="F24" s="448" t="s">
        <v>531</v>
      </c>
      <c r="G24" s="448" t="s">
        <v>531</v>
      </c>
      <c r="H24" s="448" t="s">
        <v>531</v>
      </c>
      <c r="I24" s="449" t="s">
        <v>531</v>
      </c>
      <c r="J24" s="450" t="s">
        <v>539</v>
      </c>
    </row>
    <row r="25" spans="1:10" ht="14.4" customHeight="1" x14ac:dyDescent="0.3">
      <c r="A25" s="446" t="s">
        <v>540</v>
      </c>
      <c r="B25" s="447" t="s">
        <v>541</v>
      </c>
      <c r="C25" s="448" t="s">
        <v>531</v>
      </c>
      <c r="D25" s="448" t="s">
        <v>531</v>
      </c>
      <c r="E25" s="448"/>
      <c r="F25" s="448" t="s">
        <v>531</v>
      </c>
      <c r="G25" s="448" t="s">
        <v>531</v>
      </c>
      <c r="H25" s="448" t="s">
        <v>531</v>
      </c>
      <c r="I25" s="449" t="s">
        <v>531</v>
      </c>
      <c r="J25" s="450" t="s">
        <v>0</v>
      </c>
    </row>
    <row r="26" spans="1:10" ht="14.4" customHeight="1" x14ac:dyDescent="0.3">
      <c r="A26" s="446" t="s">
        <v>540</v>
      </c>
      <c r="B26" s="447" t="s">
        <v>297</v>
      </c>
      <c r="C26" s="448">
        <v>14920.0718</v>
      </c>
      <c r="D26" s="448">
        <v>17122.586700000007</v>
      </c>
      <c r="E26" s="448"/>
      <c r="F26" s="448">
        <v>16757.16435000001</v>
      </c>
      <c r="G26" s="448">
        <v>17057.573513044001</v>
      </c>
      <c r="H26" s="448">
        <v>-300.4091630439907</v>
      </c>
      <c r="I26" s="449">
        <v>0.98238851717014342</v>
      </c>
      <c r="J26" s="450" t="s">
        <v>1</v>
      </c>
    </row>
    <row r="27" spans="1:10" ht="14.4" customHeight="1" x14ac:dyDescent="0.3">
      <c r="A27" s="446" t="s">
        <v>540</v>
      </c>
      <c r="B27" s="447" t="s">
        <v>298</v>
      </c>
      <c r="C27" s="448">
        <v>390.50853000000001</v>
      </c>
      <c r="D27" s="448">
        <v>328.15876000000003</v>
      </c>
      <c r="E27" s="448"/>
      <c r="F27" s="448">
        <v>443.95788999999996</v>
      </c>
      <c r="G27" s="448">
        <v>373.25726319296001</v>
      </c>
      <c r="H27" s="448">
        <v>70.700626807039953</v>
      </c>
      <c r="I27" s="449">
        <v>1.1894152740719486</v>
      </c>
      <c r="J27" s="450" t="s">
        <v>1</v>
      </c>
    </row>
    <row r="28" spans="1:10" ht="14.4" customHeight="1" x14ac:dyDescent="0.3">
      <c r="A28" s="446" t="s">
        <v>540</v>
      </c>
      <c r="B28" s="447" t="s">
        <v>299</v>
      </c>
      <c r="C28" s="448">
        <v>270.24000999999998</v>
      </c>
      <c r="D28" s="448">
        <v>184.91892000000001</v>
      </c>
      <c r="E28" s="448"/>
      <c r="F28" s="448">
        <v>255.94938999999999</v>
      </c>
      <c r="G28" s="448">
        <v>198.33944590942502</v>
      </c>
      <c r="H28" s="448">
        <v>57.60994409057497</v>
      </c>
      <c r="I28" s="449">
        <v>1.2904613544039218</v>
      </c>
      <c r="J28" s="450" t="s">
        <v>1</v>
      </c>
    </row>
    <row r="29" spans="1:10" ht="14.4" customHeight="1" x14ac:dyDescent="0.3">
      <c r="A29" s="446" t="s">
        <v>540</v>
      </c>
      <c r="B29" s="447" t="s">
        <v>300</v>
      </c>
      <c r="C29" s="448">
        <v>563.89921000000004</v>
      </c>
      <c r="D29" s="448">
        <v>323.91773999999998</v>
      </c>
      <c r="E29" s="448"/>
      <c r="F29" s="448">
        <v>353.26586000000003</v>
      </c>
      <c r="G29" s="448">
        <v>344.91565668561202</v>
      </c>
      <c r="H29" s="448">
        <v>8.3502033143880112</v>
      </c>
      <c r="I29" s="449">
        <v>1.0242094064230873</v>
      </c>
      <c r="J29" s="450" t="s">
        <v>1</v>
      </c>
    </row>
    <row r="30" spans="1:10" ht="14.4" customHeight="1" x14ac:dyDescent="0.3">
      <c r="A30" s="446" t="s">
        <v>540</v>
      </c>
      <c r="B30" s="447" t="s">
        <v>301</v>
      </c>
      <c r="C30" s="448">
        <v>19163.691799999997</v>
      </c>
      <c r="D30" s="448">
        <v>21444.12993000001</v>
      </c>
      <c r="E30" s="448"/>
      <c r="F30" s="448">
        <v>22263.453290000012</v>
      </c>
      <c r="G30" s="448">
        <v>21713.2347576426</v>
      </c>
      <c r="H30" s="448">
        <v>550.21853235741219</v>
      </c>
      <c r="I30" s="449">
        <v>1.0253402378088206</v>
      </c>
      <c r="J30" s="450" t="s">
        <v>1</v>
      </c>
    </row>
    <row r="31" spans="1:10" ht="14.4" customHeight="1" x14ac:dyDescent="0.3">
      <c r="A31" s="446" t="s">
        <v>540</v>
      </c>
      <c r="B31" s="447" t="s">
        <v>302</v>
      </c>
      <c r="C31" s="448">
        <v>0.59899999999999998</v>
      </c>
      <c r="D31" s="448">
        <v>0.65999999999999992</v>
      </c>
      <c r="E31" s="448"/>
      <c r="F31" s="448">
        <v>52.961999999999996</v>
      </c>
      <c r="G31" s="448">
        <v>49.67703840515999</v>
      </c>
      <c r="H31" s="448">
        <v>3.2849615948400057</v>
      </c>
      <c r="I31" s="449">
        <v>1.0661263573735666</v>
      </c>
      <c r="J31" s="450" t="s">
        <v>1</v>
      </c>
    </row>
    <row r="32" spans="1:10" ht="14.4" customHeight="1" x14ac:dyDescent="0.3">
      <c r="A32" s="446" t="s">
        <v>540</v>
      </c>
      <c r="B32" s="447" t="s">
        <v>303</v>
      </c>
      <c r="C32" s="448">
        <v>91.870999999999995</v>
      </c>
      <c r="D32" s="448">
        <v>72.735999999999009</v>
      </c>
      <c r="E32" s="448"/>
      <c r="F32" s="448">
        <v>131.48899999999998</v>
      </c>
      <c r="G32" s="448">
        <v>114.76525641410601</v>
      </c>
      <c r="H32" s="448">
        <v>16.72374358589397</v>
      </c>
      <c r="I32" s="449">
        <v>1.1457213106861357</v>
      </c>
      <c r="J32" s="450" t="s">
        <v>1</v>
      </c>
    </row>
    <row r="33" spans="1:10" ht="14.4" customHeight="1" x14ac:dyDescent="0.3">
      <c r="A33" s="446" t="s">
        <v>540</v>
      </c>
      <c r="B33" s="447" t="s">
        <v>542</v>
      </c>
      <c r="C33" s="448">
        <v>35400.881349999996</v>
      </c>
      <c r="D33" s="448">
        <v>39477.108050000017</v>
      </c>
      <c r="E33" s="448"/>
      <c r="F33" s="448">
        <v>40258.241780000026</v>
      </c>
      <c r="G33" s="448">
        <v>39851.762931293866</v>
      </c>
      <c r="H33" s="448">
        <v>406.47884870615962</v>
      </c>
      <c r="I33" s="449">
        <v>1.010199770820853</v>
      </c>
      <c r="J33" s="450" t="s">
        <v>538</v>
      </c>
    </row>
    <row r="34" spans="1:10" ht="14.4" customHeight="1" x14ac:dyDescent="0.3">
      <c r="A34" s="446" t="s">
        <v>531</v>
      </c>
      <c r="B34" s="447" t="s">
        <v>531</v>
      </c>
      <c r="C34" s="448" t="s">
        <v>531</v>
      </c>
      <c r="D34" s="448" t="s">
        <v>531</v>
      </c>
      <c r="E34" s="448"/>
      <c r="F34" s="448" t="s">
        <v>531</v>
      </c>
      <c r="G34" s="448" t="s">
        <v>531</v>
      </c>
      <c r="H34" s="448" t="s">
        <v>531</v>
      </c>
      <c r="I34" s="449" t="s">
        <v>531</v>
      </c>
      <c r="J34" s="450" t="s">
        <v>539</v>
      </c>
    </row>
    <row r="35" spans="1:10" ht="14.4" customHeight="1" x14ac:dyDescent="0.3">
      <c r="A35" s="446" t="s">
        <v>543</v>
      </c>
      <c r="B35" s="447" t="s">
        <v>544</v>
      </c>
      <c r="C35" s="448" t="s">
        <v>531</v>
      </c>
      <c r="D35" s="448" t="s">
        <v>531</v>
      </c>
      <c r="E35" s="448"/>
      <c r="F35" s="448" t="s">
        <v>531</v>
      </c>
      <c r="G35" s="448" t="s">
        <v>531</v>
      </c>
      <c r="H35" s="448" t="s">
        <v>531</v>
      </c>
      <c r="I35" s="449" t="s">
        <v>531</v>
      </c>
      <c r="J35" s="450" t="s">
        <v>0</v>
      </c>
    </row>
    <row r="36" spans="1:10" ht="14.4" customHeight="1" x14ac:dyDescent="0.3">
      <c r="A36" s="446" t="s">
        <v>543</v>
      </c>
      <c r="B36" s="447" t="s">
        <v>300</v>
      </c>
      <c r="C36" s="448">
        <v>3.1692999999999998</v>
      </c>
      <c r="D36" s="448" t="s">
        <v>531</v>
      </c>
      <c r="E36" s="448"/>
      <c r="F36" s="448" t="s">
        <v>531</v>
      </c>
      <c r="G36" s="448" t="s">
        <v>531</v>
      </c>
      <c r="H36" s="448" t="s">
        <v>531</v>
      </c>
      <c r="I36" s="449" t="s">
        <v>531</v>
      </c>
      <c r="J36" s="450" t="s">
        <v>1</v>
      </c>
    </row>
    <row r="37" spans="1:10" ht="14.4" customHeight="1" x14ac:dyDescent="0.3">
      <c r="A37" s="446" t="s">
        <v>543</v>
      </c>
      <c r="B37" s="447" t="s">
        <v>301</v>
      </c>
      <c r="C37" s="448" t="s">
        <v>531</v>
      </c>
      <c r="D37" s="448" t="s">
        <v>531</v>
      </c>
      <c r="E37" s="448"/>
      <c r="F37" s="448">
        <v>6.3162000000000003</v>
      </c>
      <c r="G37" s="448">
        <v>0</v>
      </c>
      <c r="H37" s="448">
        <v>6.3162000000000003</v>
      </c>
      <c r="I37" s="449" t="s">
        <v>531</v>
      </c>
      <c r="J37" s="450" t="s">
        <v>1</v>
      </c>
    </row>
    <row r="38" spans="1:10" ht="14.4" customHeight="1" x14ac:dyDescent="0.3">
      <c r="A38" s="446" t="s">
        <v>543</v>
      </c>
      <c r="B38" s="447" t="s">
        <v>545</v>
      </c>
      <c r="C38" s="448">
        <v>3.1692999999999998</v>
      </c>
      <c r="D38" s="448" t="s">
        <v>531</v>
      </c>
      <c r="E38" s="448"/>
      <c r="F38" s="448">
        <v>6.3162000000000003</v>
      </c>
      <c r="G38" s="448">
        <v>0</v>
      </c>
      <c r="H38" s="448">
        <v>6.3162000000000003</v>
      </c>
      <c r="I38" s="449" t="s">
        <v>531</v>
      </c>
      <c r="J38" s="450" t="s">
        <v>538</v>
      </c>
    </row>
    <row r="39" spans="1:10" ht="14.4" customHeight="1" x14ac:dyDescent="0.3">
      <c r="A39" s="446" t="s">
        <v>531</v>
      </c>
      <c r="B39" s="447" t="s">
        <v>531</v>
      </c>
      <c r="C39" s="448" t="s">
        <v>531</v>
      </c>
      <c r="D39" s="448" t="s">
        <v>531</v>
      </c>
      <c r="E39" s="448"/>
      <c r="F39" s="448" t="s">
        <v>531</v>
      </c>
      <c r="G39" s="448" t="s">
        <v>531</v>
      </c>
      <c r="H39" s="448" t="s">
        <v>531</v>
      </c>
      <c r="I39" s="449" t="s">
        <v>531</v>
      </c>
      <c r="J39" s="450" t="s">
        <v>539</v>
      </c>
    </row>
    <row r="40" spans="1:10" ht="14.4" customHeight="1" x14ac:dyDescent="0.3">
      <c r="A40" s="446" t="s">
        <v>529</v>
      </c>
      <c r="B40" s="447" t="s">
        <v>533</v>
      </c>
      <c r="C40" s="448">
        <v>39835.321629999999</v>
      </c>
      <c r="D40" s="448">
        <v>41169.032580000014</v>
      </c>
      <c r="E40" s="448"/>
      <c r="F40" s="448">
        <v>41753.430330000032</v>
      </c>
      <c r="G40" s="448">
        <v>41554.01888883979</v>
      </c>
      <c r="H40" s="448">
        <v>199.41144116024225</v>
      </c>
      <c r="I40" s="449">
        <v>1.004798848498714</v>
      </c>
      <c r="J40" s="450" t="s">
        <v>534</v>
      </c>
    </row>
  </sheetData>
  <mergeCells count="3">
    <mergeCell ref="A1:I1"/>
    <mergeCell ref="F3:I3"/>
    <mergeCell ref="C4:D4"/>
  </mergeCells>
  <conditionalFormatting sqref="F14 F41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40">
    <cfRule type="expression" dxfId="11" priority="5">
      <formula>$H15&gt;0</formula>
    </cfRule>
  </conditionalFormatting>
  <conditionalFormatting sqref="A15:A40">
    <cfRule type="expression" dxfId="10" priority="2">
      <formula>AND($J15&lt;&gt;"mezeraKL",$J15&lt;&gt;"")</formula>
    </cfRule>
  </conditionalFormatting>
  <conditionalFormatting sqref="I15:I40">
    <cfRule type="expression" dxfId="9" priority="6">
      <formula>$I15&gt;1</formula>
    </cfRule>
  </conditionalFormatting>
  <conditionalFormatting sqref="B15:B40">
    <cfRule type="expression" dxfId="8" priority="1">
      <formula>OR($J15="NS",$J15="SumaNS",$J15="Účet")</formula>
    </cfRule>
  </conditionalFormatting>
  <conditionalFormatting sqref="A15:D40 F15:I40">
    <cfRule type="expression" dxfId="7" priority="8">
      <formula>AND($J15&lt;&gt;"",$J15&lt;&gt;"mezeraKL")</formula>
    </cfRule>
  </conditionalFormatting>
  <conditionalFormatting sqref="B15:D40 F15:I40">
    <cfRule type="expression" dxfId="6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40 F15:I40">
    <cfRule type="expression" dxfId="5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0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10" bestFit="1" customWidth="1" collapsed="1"/>
    <col min="4" max="4" width="18.77734375" style="214" customWidth="1"/>
    <col min="5" max="5" width="9" style="210" bestFit="1" customWidth="1"/>
    <col min="6" max="6" width="18.77734375" style="214" customWidth="1"/>
    <col min="7" max="7" width="12.44140625" style="210" hidden="1" customWidth="1" outlineLevel="1"/>
    <col min="8" max="8" width="25.77734375" style="210" customWidth="1" collapsed="1"/>
    <col min="9" max="9" width="7.77734375" style="208" customWidth="1"/>
    <col min="10" max="10" width="10" style="208" customWidth="1"/>
    <col min="11" max="11" width="11.109375" style="208" customWidth="1"/>
    <col min="12" max="16384" width="8.88671875" style="130"/>
  </cols>
  <sheetData>
    <row r="1" spans="1:11" ht="18.600000000000001" customHeight="1" thickBot="1" x14ac:dyDescent="0.4">
      <c r="A1" s="361" t="s">
        <v>1743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 ht="14.4" customHeight="1" thickBot="1" x14ac:dyDescent="0.35">
      <c r="A2" s="235" t="s">
        <v>282</v>
      </c>
      <c r="B2" s="62"/>
      <c r="C2" s="212"/>
      <c r="D2" s="212"/>
      <c r="E2" s="212"/>
      <c r="F2" s="212"/>
      <c r="G2" s="212"/>
      <c r="H2" s="212"/>
      <c r="I2" s="213"/>
      <c r="J2" s="213"/>
      <c r="K2" s="213"/>
    </row>
    <row r="3" spans="1:11" ht="14.4" customHeight="1" thickBot="1" x14ac:dyDescent="0.35">
      <c r="A3" s="62"/>
      <c r="B3" s="62"/>
      <c r="C3" s="357"/>
      <c r="D3" s="358"/>
      <c r="E3" s="358"/>
      <c r="F3" s="358"/>
      <c r="G3" s="358"/>
      <c r="H3" s="142" t="s">
        <v>129</v>
      </c>
      <c r="I3" s="98">
        <f>IF(J3&lt;&gt;0,K3/J3,0)</f>
        <v>39.801364591653687</v>
      </c>
      <c r="J3" s="98">
        <f>SUBTOTAL(9,J5:J1048576)</f>
        <v>1051348</v>
      </c>
      <c r="K3" s="99">
        <f>SUBTOTAL(9,K5:K1048576)</f>
        <v>41845085.060705923</v>
      </c>
    </row>
    <row r="4" spans="1:11" s="209" customFormat="1" ht="14.4" customHeight="1" thickBot="1" x14ac:dyDescent="0.35">
      <c r="A4" s="552" t="s">
        <v>4</v>
      </c>
      <c r="B4" s="553" t="s">
        <v>5</v>
      </c>
      <c r="C4" s="553" t="s">
        <v>0</v>
      </c>
      <c r="D4" s="553" t="s">
        <v>6</v>
      </c>
      <c r="E4" s="553" t="s">
        <v>7</v>
      </c>
      <c r="F4" s="553" t="s">
        <v>1</v>
      </c>
      <c r="G4" s="553" t="s">
        <v>71</v>
      </c>
      <c r="H4" s="453" t="s">
        <v>11</v>
      </c>
      <c r="I4" s="454" t="s">
        <v>144</v>
      </c>
      <c r="J4" s="454" t="s">
        <v>13</v>
      </c>
      <c r="K4" s="455" t="s">
        <v>161</v>
      </c>
    </row>
    <row r="5" spans="1:11" ht="14.4" customHeight="1" x14ac:dyDescent="0.3">
      <c r="A5" s="530" t="s">
        <v>529</v>
      </c>
      <c r="B5" s="531" t="s">
        <v>690</v>
      </c>
      <c r="C5" s="534" t="s">
        <v>535</v>
      </c>
      <c r="D5" s="554" t="s">
        <v>1727</v>
      </c>
      <c r="E5" s="534" t="s">
        <v>1728</v>
      </c>
      <c r="F5" s="554" t="s">
        <v>1729</v>
      </c>
      <c r="G5" s="534" t="s">
        <v>1098</v>
      </c>
      <c r="H5" s="534" t="s">
        <v>1099</v>
      </c>
      <c r="I5" s="116">
        <v>27.491818181818186</v>
      </c>
      <c r="J5" s="116">
        <v>61</v>
      </c>
      <c r="K5" s="544">
        <v>1676.4499999999998</v>
      </c>
    </row>
    <row r="6" spans="1:11" ht="14.4" customHeight="1" x14ac:dyDescent="0.3">
      <c r="A6" s="464" t="s">
        <v>529</v>
      </c>
      <c r="B6" s="465" t="s">
        <v>690</v>
      </c>
      <c r="C6" s="466" t="s">
        <v>535</v>
      </c>
      <c r="D6" s="467" t="s">
        <v>1727</v>
      </c>
      <c r="E6" s="466" t="s">
        <v>1728</v>
      </c>
      <c r="F6" s="467" t="s">
        <v>1729</v>
      </c>
      <c r="G6" s="466" t="s">
        <v>1100</v>
      </c>
      <c r="H6" s="466" t="s">
        <v>1101</v>
      </c>
      <c r="I6" s="468">
        <v>12.365</v>
      </c>
      <c r="J6" s="468">
        <v>2</v>
      </c>
      <c r="K6" s="469">
        <v>24.73</v>
      </c>
    </row>
    <row r="7" spans="1:11" ht="14.4" customHeight="1" x14ac:dyDescent="0.3">
      <c r="A7" s="464" t="s">
        <v>529</v>
      </c>
      <c r="B7" s="465" t="s">
        <v>690</v>
      </c>
      <c r="C7" s="466" t="s">
        <v>535</v>
      </c>
      <c r="D7" s="467" t="s">
        <v>1727</v>
      </c>
      <c r="E7" s="466" t="s">
        <v>1728</v>
      </c>
      <c r="F7" s="467" t="s">
        <v>1729</v>
      </c>
      <c r="G7" s="466" t="s">
        <v>1102</v>
      </c>
      <c r="H7" s="466" t="s">
        <v>1103</v>
      </c>
      <c r="I7" s="468">
        <v>13.02</v>
      </c>
      <c r="J7" s="468">
        <v>1</v>
      </c>
      <c r="K7" s="469">
        <v>13.02</v>
      </c>
    </row>
    <row r="8" spans="1:11" ht="14.4" customHeight="1" x14ac:dyDescent="0.3">
      <c r="A8" s="464" t="s">
        <v>529</v>
      </c>
      <c r="B8" s="465" t="s">
        <v>690</v>
      </c>
      <c r="C8" s="466" t="s">
        <v>535</v>
      </c>
      <c r="D8" s="467" t="s">
        <v>1727</v>
      </c>
      <c r="E8" s="466" t="s">
        <v>1728</v>
      </c>
      <c r="F8" s="467" t="s">
        <v>1729</v>
      </c>
      <c r="G8" s="466" t="s">
        <v>1104</v>
      </c>
      <c r="H8" s="466" t="s">
        <v>1105</v>
      </c>
      <c r="I8" s="468">
        <v>28.09</v>
      </c>
      <c r="J8" s="468">
        <v>2</v>
      </c>
      <c r="K8" s="469">
        <v>56.18</v>
      </c>
    </row>
    <row r="9" spans="1:11" ht="14.4" customHeight="1" x14ac:dyDescent="0.3">
      <c r="A9" s="464" t="s">
        <v>529</v>
      </c>
      <c r="B9" s="465" t="s">
        <v>690</v>
      </c>
      <c r="C9" s="466" t="s">
        <v>535</v>
      </c>
      <c r="D9" s="467" t="s">
        <v>1727</v>
      </c>
      <c r="E9" s="466" t="s">
        <v>1728</v>
      </c>
      <c r="F9" s="467" t="s">
        <v>1729</v>
      </c>
      <c r="G9" s="466" t="s">
        <v>1106</v>
      </c>
      <c r="H9" s="466" t="s">
        <v>1107</v>
      </c>
      <c r="I9" s="468">
        <v>1.17</v>
      </c>
      <c r="J9" s="468">
        <v>100</v>
      </c>
      <c r="K9" s="469">
        <v>117</v>
      </c>
    </row>
    <row r="10" spans="1:11" ht="14.4" customHeight="1" x14ac:dyDescent="0.3">
      <c r="A10" s="464" t="s">
        <v>529</v>
      </c>
      <c r="B10" s="465" t="s">
        <v>690</v>
      </c>
      <c r="C10" s="466" t="s">
        <v>535</v>
      </c>
      <c r="D10" s="467" t="s">
        <v>1727</v>
      </c>
      <c r="E10" s="466" t="s">
        <v>1728</v>
      </c>
      <c r="F10" s="467" t="s">
        <v>1729</v>
      </c>
      <c r="G10" s="466" t="s">
        <v>1108</v>
      </c>
      <c r="H10" s="466" t="s">
        <v>1109</v>
      </c>
      <c r="I10" s="468">
        <v>19.809999999999999</v>
      </c>
      <c r="J10" s="468">
        <v>1</v>
      </c>
      <c r="K10" s="469">
        <v>19.809999999999999</v>
      </c>
    </row>
    <row r="11" spans="1:11" ht="14.4" customHeight="1" x14ac:dyDescent="0.3">
      <c r="A11" s="464" t="s">
        <v>529</v>
      </c>
      <c r="B11" s="465" t="s">
        <v>690</v>
      </c>
      <c r="C11" s="466" t="s">
        <v>535</v>
      </c>
      <c r="D11" s="467" t="s">
        <v>1727</v>
      </c>
      <c r="E11" s="466" t="s">
        <v>1728</v>
      </c>
      <c r="F11" s="467" t="s">
        <v>1729</v>
      </c>
      <c r="G11" s="466" t="s">
        <v>1110</v>
      </c>
      <c r="H11" s="466" t="s">
        <v>1111</v>
      </c>
      <c r="I11" s="468">
        <v>0.3116666666666667</v>
      </c>
      <c r="J11" s="468">
        <v>75</v>
      </c>
      <c r="K11" s="469">
        <v>23.300000000000004</v>
      </c>
    </row>
    <row r="12" spans="1:11" ht="14.4" customHeight="1" x14ac:dyDescent="0.3">
      <c r="A12" s="464" t="s">
        <v>529</v>
      </c>
      <c r="B12" s="465" t="s">
        <v>690</v>
      </c>
      <c r="C12" s="466" t="s">
        <v>535</v>
      </c>
      <c r="D12" s="467" t="s">
        <v>1727</v>
      </c>
      <c r="E12" s="466" t="s">
        <v>1728</v>
      </c>
      <c r="F12" s="467" t="s">
        <v>1729</v>
      </c>
      <c r="G12" s="466" t="s">
        <v>1112</v>
      </c>
      <c r="H12" s="466" t="s">
        <v>1113</v>
      </c>
      <c r="I12" s="468">
        <v>7.1</v>
      </c>
      <c r="J12" s="468">
        <v>4</v>
      </c>
      <c r="K12" s="469">
        <v>28.4</v>
      </c>
    </row>
    <row r="13" spans="1:11" ht="14.4" customHeight="1" x14ac:dyDescent="0.3">
      <c r="A13" s="464" t="s">
        <v>529</v>
      </c>
      <c r="B13" s="465" t="s">
        <v>690</v>
      </c>
      <c r="C13" s="466" t="s">
        <v>535</v>
      </c>
      <c r="D13" s="467" t="s">
        <v>1727</v>
      </c>
      <c r="E13" s="466" t="s">
        <v>1728</v>
      </c>
      <c r="F13" s="467" t="s">
        <v>1729</v>
      </c>
      <c r="G13" s="466" t="s">
        <v>1114</v>
      </c>
      <c r="H13" s="466" t="s">
        <v>1115</v>
      </c>
      <c r="I13" s="468">
        <v>5.9249999999999998</v>
      </c>
      <c r="J13" s="468">
        <v>3</v>
      </c>
      <c r="K13" s="469">
        <v>17.77</v>
      </c>
    </row>
    <row r="14" spans="1:11" ht="14.4" customHeight="1" x14ac:dyDescent="0.3">
      <c r="A14" s="464" t="s">
        <v>529</v>
      </c>
      <c r="B14" s="465" t="s">
        <v>690</v>
      </c>
      <c r="C14" s="466" t="s">
        <v>535</v>
      </c>
      <c r="D14" s="467" t="s">
        <v>1727</v>
      </c>
      <c r="E14" s="466" t="s">
        <v>1728</v>
      </c>
      <c r="F14" s="467" t="s">
        <v>1729</v>
      </c>
      <c r="G14" s="466" t="s">
        <v>1116</v>
      </c>
      <c r="H14" s="466" t="s">
        <v>1117</v>
      </c>
      <c r="I14" s="468">
        <v>2.5439999999999996</v>
      </c>
      <c r="J14" s="468">
        <v>123</v>
      </c>
      <c r="K14" s="469">
        <v>313.06000000000006</v>
      </c>
    </row>
    <row r="15" spans="1:11" ht="14.4" customHeight="1" x14ac:dyDescent="0.3">
      <c r="A15" s="464" t="s">
        <v>529</v>
      </c>
      <c r="B15" s="465" t="s">
        <v>690</v>
      </c>
      <c r="C15" s="466" t="s">
        <v>535</v>
      </c>
      <c r="D15" s="467" t="s">
        <v>1727</v>
      </c>
      <c r="E15" s="466" t="s">
        <v>1730</v>
      </c>
      <c r="F15" s="467" t="s">
        <v>1731</v>
      </c>
      <c r="G15" s="466" t="s">
        <v>1118</v>
      </c>
      <c r="H15" s="466" t="s">
        <v>1119</v>
      </c>
      <c r="I15" s="468">
        <v>0.48</v>
      </c>
      <c r="J15" s="468">
        <v>100</v>
      </c>
      <c r="K15" s="469">
        <v>48</v>
      </c>
    </row>
    <row r="16" spans="1:11" ht="14.4" customHeight="1" x14ac:dyDescent="0.3">
      <c r="A16" s="464" t="s">
        <v>529</v>
      </c>
      <c r="B16" s="465" t="s">
        <v>690</v>
      </c>
      <c r="C16" s="466" t="s">
        <v>535</v>
      </c>
      <c r="D16" s="467" t="s">
        <v>1727</v>
      </c>
      <c r="E16" s="466" t="s">
        <v>1730</v>
      </c>
      <c r="F16" s="467" t="s">
        <v>1731</v>
      </c>
      <c r="G16" s="466" t="s">
        <v>1120</v>
      </c>
      <c r="H16" s="466" t="s">
        <v>1121</v>
      </c>
      <c r="I16" s="468">
        <v>0.59</v>
      </c>
      <c r="J16" s="468">
        <v>32000</v>
      </c>
      <c r="K16" s="469">
        <v>18815.84</v>
      </c>
    </row>
    <row r="17" spans="1:11" ht="14.4" customHeight="1" x14ac:dyDescent="0.3">
      <c r="A17" s="464" t="s">
        <v>529</v>
      </c>
      <c r="B17" s="465" t="s">
        <v>690</v>
      </c>
      <c r="C17" s="466" t="s">
        <v>535</v>
      </c>
      <c r="D17" s="467" t="s">
        <v>1727</v>
      </c>
      <c r="E17" s="466" t="s">
        <v>1730</v>
      </c>
      <c r="F17" s="467" t="s">
        <v>1731</v>
      </c>
      <c r="G17" s="466" t="s">
        <v>1122</v>
      </c>
      <c r="H17" s="466" t="s">
        <v>1123</v>
      </c>
      <c r="I17" s="468">
        <v>770.16500000000008</v>
      </c>
      <c r="J17" s="468">
        <v>20</v>
      </c>
      <c r="K17" s="469">
        <v>15403.3</v>
      </c>
    </row>
    <row r="18" spans="1:11" ht="14.4" customHeight="1" x14ac:dyDescent="0.3">
      <c r="A18" s="464" t="s">
        <v>529</v>
      </c>
      <c r="B18" s="465" t="s">
        <v>690</v>
      </c>
      <c r="C18" s="466" t="s">
        <v>535</v>
      </c>
      <c r="D18" s="467" t="s">
        <v>1727</v>
      </c>
      <c r="E18" s="466" t="s">
        <v>1730</v>
      </c>
      <c r="F18" s="467" t="s">
        <v>1731</v>
      </c>
      <c r="G18" s="466" t="s">
        <v>1124</v>
      </c>
      <c r="H18" s="466" t="s">
        <v>1125</v>
      </c>
      <c r="I18" s="468">
        <v>0.35</v>
      </c>
      <c r="J18" s="468">
        <v>36500</v>
      </c>
      <c r="K18" s="469">
        <v>12874.119999999995</v>
      </c>
    </row>
    <row r="19" spans="1:11" ht="14.4" customHeight="1" x14ac:dyDescent="0.3">
      <c r="A19" s="464" t="s">
        <v>529</v>
      </c>
      <c r="B19" s="465" t="s">
        <v>690</v>
      </c>
      <c r="C19" s="466" t="s">
        <v>535</v>
      </c>
      <c r="D19" s="467" t="s">
        <v>1727</v>
      </c>
      <c r="E19" s="466" t="s">
        <v>1730</v>
      </c>
      <c r="F19" s="467" t="s">
        <v>1731</v>
      </c>
      <c r="G19" s="466" t="s">
        <v>1126</v>
      </c>
      <c r="H19" s="466" t="s">
        <v>1127</v>
      </c>
      <c r="I19" s="468">
        <v>0.3075</v>
      </c>
      <c r="J19" s="468">
        <v>16000</v>
      </c>
      <c r="K19" s="469">
        <v>4951.8</v>
      </c>
    </row>
    <row r="20" spans="1:11" ht="14.4" customHeight="1" x14ac:dyDescent="0.3">
      <c r="A20" s="464" t="s">
        <v>529</v>
      </c>
      <c r="B20" s="465" t="s">
        <v>690</v>
      </c>
      <c r="C20" s="466" t="s">
        <v>535</v>
      </c>
      <c r="D20" s="467" t="s">
        <v>1727</v>
      </c>
      <c r="E20" s="466" t="s">
        <v>1730</v>
      </c>
      <c r="F20" s="467" t="s">
        <v>1731</v>
      </c>
      <c r="G20" s="466" t="s">
        <v>1128</v>
      </c>
      <c r="H20" s="466" t="s">
        <v>1129</v>
      </c>
      <c r="I20" s="468">
        <v>8.2200000000000006</v>
      </c>
      <c r="J20" s="468">
        <v>340</v>
      </c>
      <c r="K20" s="469">
        <v>2794.6400000000003</v>
      </c>
    </row>
    <row r="21" spans="1:11" ht="14.4" customHeight="1" x14ac:dyDescent="0.3">
      <c r="A21" s="464" t="s">
        <v>529</v>
      </c>
      <c r="B21" s="465" t="s">
        <v>690</v>
      </c>
      <c r="C21" s="466" t="s">
        <v>535</v>
      </c>
      <c r="D21" s="467" t="s">
        <v>1727</v>
      </c>
      <c r="E21" s="466" t="s">
        <v>1730</v>
      </c>
      <c r="F21" s="467" t="s">
        <v>1731</v>
      </c>
      <c r="G21" s="466" t="s">
        <v>1130</v>
      </c>
      <c r="H21" s="466" t="s">
        <v>1131</v>
      </c>
      <c r="I21" s="468">
        <v>0.5</v>
      </c>
      <c r="J21" s="468">
        <v>8000</v>
      </c>
      <c r="K21" s="469">
        <v>4017.2</v>
      </c>
    </row>
    <row r="22" spans="1:11" ht="14.4" customHeight="1" x14ac:dyDescent="0.3">
      <c r="A22" s="464" t="s">
        <v>529</v>
      </c>
      <c r="B22" s="465" t="s">
        <v>690</v>
      </c>
      <c r="C22" s="466" t="s">
        <v>535</v>
      </c>
      <c r="D22" s="467" t="s">
        <v>1727</v>
      </c>
      <c r="E22" s="466" t="s">
        <v>1730</v>
      </c>
      <c r="F22" s="467" t="s">
        <v>1731</v>
      </c>
      <c r="G22" s="466" t="s">
        <v>1130</v>
      </c>
      <c r="H22" s="466" t="s">
        <v>1132</v>
      </c>
      <c r="I22" s="468">
        <v>0.48</v>
      </c>
      <c r="J22" s="468">
        <v>12000</v>
      </c>
      <c r="K22" s="469">
        <v>5808</v>
      </c>
    </row>
    <row r="23" spans="1:11" ht="14.4" customHeight="1" x14ac:dyDescent="0.3">
      <c r="A23" s="464" t="s">
        <v>529</v>
      </c>
      <c r="B23" s="465" t="s">
        <v>690</v>
      </c>
      <c r="C23" s="466" t="s">
        <v>535</v>
      </c>
      <c r="D23" s="467" t="s">
        <v>1727</v>
      </c>
      <c r="E23" s="466" t="s">
        <v>1730</v>
      </c>
      <c r="F23" s="467" t="s">
        <v>1731</v>
      </c>
      <c r="G23" s="466" t="s">
        <v>1133</v>
      </c>
      <c r="H23" s="466" t="s">
        <v>1134</v>
      </c>
      <c r="I23" s="468">
        <v>0.59</v>
      </c>
      <c r="J23" s="468">
        <v>8000</v>
      </c>
      <c r="K23" s="469">
        <v>4743.2</v>
      </c>
    </row>
    <row r="24" spans="1:11" ht="14.4" customHeight="1" x14ac:dyDescent="0.3">
      <c r="A24" s="464" t="s">
        <v>529</v>
      </c>
      <c r="B24" s="465" t="s">
        <v>690</v>
      </c>
      <c r="C24" s="466" t="s">
        <v>535</v>
      </c>
      <c r="D24" s="467" t="s">
        <v>1727</v>
      </c>
      <c r="E24" s="466" t="s">
        <v>1732</v>
      </c>
      <c r="F24" s="467" t="s">
        <v>1733</v>
      </c>
      <c r="G24" s="466" t="s">
        <v>1135</v>
      </c>
      <c r="H24" s="466" t="s">
        <v>1136</v>
      </c>
      <c r="I24" s="468">
        <v>0.26666666666666666</v>
      </c>
      <c r="J24" s="468">
        <v>3500</v>
      </c>
      <c r="K24" s="469">
        <v>932.65</v>
      </c>
    </row>
    <row r="25" spans="1:11" ht="14.4" customHeight="1" x14ac:dyDescent="0.3">
      <c r="A25" s="464" t="s">
        <v>529</v>
      </c>
      <c r="B25" s="465" t="s">
        <v>690</v>
      </c>
      <c r="C25" s="466" t="s">
        <v>535</v>
      </c>
      <c r="D25" s="467" t="s">
        <v>1727</v>
      </c>
      <c r="E25" s="466" t="s">
        <v>1732</v>
      </c>
      <c r="F25" s="467" t="s">
        <v>1733</v>
      </c>
      <c r="G25" s="466" t="s">
        <v>1137</v>
      </c>
      <c r="H25" s="466" t="s">
        <v>1138</v>
      </c>
      <c r="I25" s="468">
        <v>0.26666666666666666</v>
      </c>
      <c r="J25" s="468">
        <v>30000</v>
      </c>
      <c r="K25" s="469">
        <v>7948.0000000000009</v>
      </c>
    </row>
    <row r="26" spans="1:11" ht="14.4" customHeight="1" x14ac:dyDescent="0.3">
      <c r="A26" s="464" t="s">
        <v>529</v>
      </c>
      <c r="B26" s="465" t="s">
        <v>690</v>
      </c>
      <c r="C26" s="466" t="s">
        <v>535</v>
      </c>
      <c r="D26" s="467" t="s">
        <v>1727</v>
      </c>
      <c r="E26" s="466" t="s">
        <v>1732</v>
      </c>
      <c r="F26" s="467" t="s">
        <v>1733</v>
      </c>
      <c r="G26" s="466" t="s">
        <v>1137</v>
      </c>
      <c r="H26" s="466" t="s">
        <v>1139</v>
      </c>
      <c r="I26" s="468">
        <v>0.27</v>
      </c>
      <c r="J26" s="468">
        <v>15000</v>
      </c>
      <c r="K26" s="469">
        <v>4004.4</v>
      </c>
    </row>
    <row r="27" spans="1:11" ht="14.4" customHeight="1" x14ac:dyDescent="0.3">
      <c r="A27" s="464" t="s">
        <v>529</v>
      </c>
      <c r="B27" s="465" t="s">
        <v>690</v>
      </c>
      <c r="C27" s="466" t="s">
        <v>535</v>
      </c>
      <c r="D27" s="467" t="s">
        <v>1727</v>
      </c>
      <c r="E27" s="466" t="s">
        <v>1732</v>
      </c>
      <c r="F27" s="467" t="s">
        <v>1733</v>
      </c>
      <c r="G27" s="466" t="s">
        <v>1140</v>
      </c>
      <c r="H27" s="466" t="s">
        <v>1141</v>
      </c>
      <c r="I27" s="468">
        <v>0.39</v>
      </c>
      <c r="J27" s="468">
        <v>2000</v>
      </c>
      <c r="K27" s="469">
        <v>774.4</v>
      </c>
    </row>
    <row r="28" spans="1:11" ht="14.4" customHeight="1" x14ac:dyDescent="0.3">
      <c r="A28" s="464" t="s">
        <v>529</v>
      </c>
      <c r="B28" s="465" t="s">
        <v>690</v>
      </c>
      <c r="C28" s="466" t="s">
        <v>535</v>
      </c>
      <c r="D28" s="467" t="s">
        <v>1727</v>
      </c>
      <c r="E28" s="466" t="s">
        <v>1732</v>
      </c>
      <c r="F28" s="467" t="s">
        <v>1733</v>
      </c>
      <c r="G28" s="466" t="s">
        <v>1140</v>
      </c>
      <c r="H28" s="466" t="s">
        <v>1142</v>
      </c>
      <c r="I28" s="468">
        <v>0.41</v>
      </c>
      <c r="J28" s="468">
        <v>2000</v>
      </c>
      <c r="K28" s="469">
        <v>822.8</v>
      </c>
    </row>
    <row r="29" spans="1:11" ht="14.4" customHeight="1" x14ac:dyDescent="0.3">
      <c r="A29" s="464" t="s">
        <v>529</v>
      </c>
      <c r="B29" s="465" t="s">
        <v>690</v>
      </c>
      <c r="C29" s="466" t="s">
        <v>535</v>
      </c>
      <c r="D29" s="467" t="s">
        <v>1727</v>
      </c>
      <c r="E29" s="466" t="s">
        <v>1732</v>
      </c>
      <c r="F29" s="467" t="s">
        <v>1733</v>
      </c>
      <c r="G29" s="466" t="s">
        <v>1143</v>
      </c>
      <c r="H29" s="466" t="s">
        <v>1144</v>
      </c>
      <c r="I29" s="468">
        <v>0.31090909090909097</v>
      </c>
      <c r="J29" s="468">
        <v>20000</v>
      </c>
      <c r="K29" s="469">
        <v>6292.4</v>
      </c>
    </row>
    <row r="30" spans="1:11" ht="14.4" customHeight="1" x14ac:dyDescent="0.3">
      <c r="A30" s="464" t="s">
        <v>529</v>
      </c>
      <c r="B30" s="465" t="s">
        <v>690</v>
      </c>
      <c r="C30" s="466" t="s">
        <v>535</v>
      </c>
      <c r="D30" s="467" t="s">
        <v>1727</v>
      </c>
      <c r="E30" s="466" t="s">
        <v>1732</v>
      </c>
      <c r="F30" s="467" t="s">
        <v>1733</v>
      </c>
      <c r="G30" s="466" t="s">
        <v>1145</v>
      </c>
      <c r="H30" s="466" t="s">
        <v>1146</v>
      </c>
      <c r="I30" s="468">
        <v>8.8866666666666667</v>
      </c>
      <c r="J30" s="468">
        <v>1700</v>
      </c>
      <c r="K30" s="469">
        <v>16186.169999999998</v>
      </c>
    </row>
    <row r="31" spans="1:11" ht="14.4" customHeight="1" x14ac:dyDescent="0.3">
      <c r="A31" s="464" t="s">
        <v>529</v>
      </c>
      <c r="B31" s="465" t="s">
        <v>690</v>
      </c>
      <c r="C31" s="466" t="s">
        <v>535</v>
      </c>
      <c r="D31" s="467" t="s">
        <v>1727</v>
      </c>
      <c r="E31" s="466" t="s">
        <v>1732</v>
      </c>
      <c r="F31" s="467" t="s">
        <v>1733</v>
      </c>
      <c r="G31" s="466" t="s">
        <v>1147</v>
      </c>
      <c r="H31" s="466" t="s">
        <v>1148</v>
      </c>
      <c r="I31" s="468">
        <v>0.28000000000000003</v>
      </c>
      <c r="J31" s="468">
        <v>1000</v>
      </c>
      <c r="K31" s="469">
        <v>276.60000000000002</v>
      </c>
    </row>
    <row r="32" spans="1:11" ht="14.4" customHeight="1" x14ac:dyDescent="0.3">
      <c r="A32" s="464" t="s">
        <v>529</v>
      </c>
      <c r="B32" s="465" t="s">
        <v>690</v>
      </c>
      <c r="C32" s="466" t="s">
        <v>535</v>
      </c>
      <c r="D32" s="467" t="s">
        <v>1727</v>
      </c>
      <c r="E32" s="466" t="s">
        <v>1732</v>
      </c>
      <c r="F32" s="467" t="s">
        <v>1733</v>
      </c>
      <c r="G32" s="466" t="s">
        <v>1149</v>
      </c>
      <c r="H32" s="466" t="s">
        <v>1150</v>
      </c>
      <c r="I32" s="468">
        <v>2.66</v>
      </c>
      <c r="J32" s="468">
        <v>770</v>
      </c>
      <c r="K32" s="469">
        <v>2049.7399999999998</v>
      </c>
    </row>
    <row r="33" spans="1:11" ht="14.4" customHeight="1" x14ac:dyDescent="0.3">
      <c r="A33" s="464" t="s">
        <v>529</v>
      </c>
      <c r="B33" s="465" t="s">
        <v>690</v>
      </c>
      <c r="C33" s="466" t="s">
        <v>535</v>
      </c>
      <c r="D33" s="467" t="s">
        <v>1727</v>
      </c>
      <c r="E33" s="466" t="s">
        <v>1734</v>
      </c>
      <c r="F33" s="467" t="s">
        <v>1735</v>
      </c>
      <c r="G33" s="466" t="s">
        <v>1151</v>
      </c>
      <c r="H33" s="466" t="s">
        <v>1152</v>
      </c>
      <c r="I33" s="468">
        <v>0.77249999999999996</v>
      </c>
      <c r="J33" s="468">
        <v>700</v>
      </c>
      <c r="K33" s="469">
        <v>540</v>
      </c>
    </row>
    <row r="34" spans="1:11" ht="14.4" customHeight="1" x14ac:dyDescent="0.3">
      <c r="A34" s="464" t="s">
        <v>529</v>
      </c>
      <c r="B34" s="465" t="s">
        <v>690</v>
      </c>
      <c r="C34" s="466" t="s">
        <v>535</v>
      </c>
      <c r="D34" s="467" t="s">
        <v>1727</v>
      </c>
      <c r="E34" s="466" t="s">
        <v>1734</v>
      </c>
      <c r="F34" s="467" t="s">
        <v>1735</v>
      </c>
      <c r="G34" s="466" t="s">
        <v>1153</v>
      </c>
      <c r="H34" s="466" t="s">
        <v>1154</v>
      </c>
      <c r="I34" s="468">
        <v>0.77250000000000008</v>
      </c>
      <c r="J34" s="468">
        <v>3400</v>
      </c>
      <c r="K34" s="469">
        <v>2628</v>
      </c>
    </row>
    <row r="35" spans="1:11" ht="14.4" customHeight="1" x14ac:dyDescent="0.3">
      <c r="A35" s="464" t="s">
        <v>529</v>
      </c>
      <c r="B35" s="465" t="s">
        <v>690</v>
      </c>
      <c r="C35" s="466" t="s">
        <v>535</v>
      </c>
      <c r="D35" s="467" t="s">
        <v>1727</v>
      </c>
      <c r="E35" s="466" t="s">
        <v>1734</v>
      </c>
      <c r="F35" s="467" t="s">
        <v>1735</v>
      </c>
      <c r="G35" s="466" t="s">
        <v>1155</v>
      </c>
      <c r="H35" s="466" t="s">
        <v>1156</v>
      </c>
      <c r="I35" s="468">
        <v>0.78</v>
      </c>
      <c r="J35" s="468">
        <v>500</v>
      </c>
      <c r="K35" s="469">
        <v>390</v>
      </c>
    </row>
    <row r="36" spans="1:11" ht="14.4" customHeight="1" x14ac:dyDescent="0.3">
      <c r="A36" s="464" t="s">
        <v>529</v>
      </c>
      <c r="B36" s="465" t="s">
        <v>690</v>
      </c>
      <c r="C36" s="466" t="s">
        <v>535</v>
      </c>
      <c r="D36" s="467" t="s">
        <v>1727</v>
      </c>
      <c r="E36" s="466" t="s">
        <v>1734</v>
      </c>
      <c r="F36" s="467" t="s">
        <v>1735</v>
      </c>
      <c r="G36" s="466" t="s">
        <v>1157</v>
      </c>
      <c r="H36" s="466" t="s">
        <v>1158</v>
      </c>
      <c r="I36" s="468">
        <v>0.71</v>
      </c>
      <c r="J36" s="468">
        <v>4000</v>
      </c>
      <c r="K36" s="469">
        <v>2840</v>
      </c>
    </row>
    <row r="37" spans="1:11" ht="14.4" customHeight="1" x14ac:dyDescent="0.3">
      <c r="A37" s="464" t="s">
        <v>529</v>
      </c>
      <c r="B37" s="465" t="s">
        <v>690</v>
      </c>
      <c r="C37" s="466" t="s">
        <v>535</v>
      </c>
      <c r="D37" s="467" t="s">
        <v>1727</v>
      </c>
      <c r="E37" s="466" t="s">
        <v>1734</v>
      </c>
      <c r="F37" s="467" t="s">
        <v>1735</v>
      </c>
      <c r="G37" s="466" t="s">
        <v>1157</v>
      </c>
      <c r="H37" s="466" t="s">
        <v>1159</v>
      </c>
      <c r="I37" s="468">
        <v>0.71</v>
      </c>
      <c r="J37" s="468">
        <v>10400</v>
      </c>
      <c r="K37" s="469">
        <v>7384</v>
      </c>
    </row>
    <row r="38" spans="1:11" ht="14.4" customHeight="1" x14ac:dyDescent="0.3">
      <c r="A38" s="464" t="s">
        <v>529</v>
      </c>
      <c r="B38" s="465" t="s">
        <v>690</v>
      </c>
      <c r="C38" s="466" t="s">
        <v>535</v>
      </c>
      <c r="D38" s="467" t="s">
        <v>1727</v>
      </c>
      <c r="E38" s="466" t="s">
        <v>1734</v>
      </c>
      <c r="F38" s="467" t="s">
        <v>1735</v>
      </c>
      <c r="G38" s="466" t="s">
        <v>1160</v>
      </c>
      <c r="H38" s="466" t="s">
        <v>1161</v>
      </c>
      <c r="I38" s="468">
        <v>0.71</v>
      </c>
      <c r="J38" s="468">
        <v>1400</v>
      </c>
      <c r="K38" s="469">
        <v>994</v>
      </c>
    </row>
    <row r="39" spans="1:11" ht="14.4" customHeight="1" x14ac:dyDescent="0.3">
      <c r="A39" s="464" t="s">
        <v>529</v>
      </c>
      <c r="B39" s="465" t="s">
        <v>690</v>
      </c>
      <c r="C39" s="466" t="s">
        <v>535</v>
      </c>
      <c r="D39" s="467" t="s">
        <v>1727</v>
      </c>
      <c r="E39" s="466" t="s">
        <v>1734</v>
      </c>
      <c r="F39" s="467" t="s">
        <v>1735</v>
      </c>
      <c r="G39" s="466" t="s">
        <v>1160</v>
      </c>
      <c r="H39" s="466" t="s">
        <v>1162</v>
      </c>
      <c r="I39" s="468">
        <v>0.71</v>
      </c>
      <c r="J39" s="468">
        <v>4200</v>
      </c>
      <c r="K39" s="469">
        <v>2982</v>
      </c>
    </row>
    <row r="40" spans="1:11" ht="14.4" customHeight="1" x14ac:dyDescent="0.3">
      <c r="A40" s="464" t="s">
        <v>529</v>
      </c>
      <c r="B40" s="465" t="s">
        <v>690</v>
      </c>
      <c r="C40" s="466" t="s">
        <v>535</v>
      </c>
      <c r="D40" s="467" t="s">
        <v>1727</v>
      </c>
      <c r="E40" s="466" t="s">
        <v>1734</v>
      </c>
      <c r="F40" s="467" t="s">
        <v>1735</v>
      </c>
      <c r="G40" s="466" t="s">
        <v>1163</v>
      </c>
      <c r="H40" s="466" t="s">
        <v>1164</v>
      </c>
      <c r="I40" s="468">
        <v>0.71</v>
      </c>
      <c r="J40" s="468">
        <v>400</v>
      </c>
      <c r="K40" s="469">
        <v>284</v>
      </c>
    </row>
    <row r="41" spans="1:11" ht="14.4" customHeight="1" x14ac:dyDescent="0.3">
      <c r="A41" s="464" t="s">
        <v>529</v>
      </c>
      <c r="B41" s="465" t="s">
        <v>690</v>
      </c>
      <c r="C41" s="466" t="s">
        <v>535</v>
      </c>
      <c r="D41" s="467" t="s">
        <v>1727</v>
      </c>
      <c r="E41" s="466" t="s">
        <v>1734</v>
      </c>
      <c r="F41" s="467" t="s">
        <v>1735</v>
      </c>
      <c r="G41" s="466" t="s">
        <v>1163</v>
      </c>
      <c r="H41" s="466" t="s">
        <v>1165</v>
      </c>
      <c r="I41" s="468">
        <v>0.71</v>
      </c>
      <c r="J41" s="468">
        <v>2600</v>
      </c>
      <c r="K41" s="469">
        <v>1846</v>
      </c>
    </row>
    <row r="42" spans="1:11" ht="14.4" customHeight="1" x14ac:dyDescent="0.3">
      <c r="A42" s="464" t="s">
        <v>529</v>
      </c>
      <c r="B42" s="465" t="s">
        <v>690</v>
      </c>
      <c r="C42" s="466" t="s">
        <v>535</v>
      </c>
      <c r="D42" s="467" t="s">
        <v>1727</v>
      </c>
      <c r="E42" s="466" t="s">
        <v>1736</v>
      </c>
      <c r="F42" s="467" t="s">
        <v>1737</v>
      </c>
      <c r="G42" s="466" t="s">
        <v>1166</v>
      </c>
      <c r="H42" s="466" t="s">
        <v>1167</v>
      </c>
      <c r="I42" s="468">
        <v>2045.1682384588601</v>
      </c>
      <c r="J42" s="468">
        <v>1</v>
      </c>
      <c r="K42" s="469">
        <v>2045.1682384588601</v>
      </c>
    </row>
    <row r="43" spans="1:11" ht="14.4" customHeight="1" x14ac:dyDescent="0.3">
      <c r="A43" s="464" t="s">
        <v>529</v>
      </c>
      <c r="B43" s="465" t="s">
        <v>690</v>
      </c>
      <c r="C43" s="466" t="s">
        <v>535</v>
      </c>
      <c r="D43" s="467" t="s">
        <v>1727</v>
      </c>
      <c r="E43" s="466" t="s">
        <v>1736</v>
      </c>
      <c r="F43" s="467" t="s">
        <v>1737</v>
      </c>
      <c r="G43" s="466" t="s">
        <v>1168</v>
      </c>
      <c r="H43" s="466" t="s">
        <v>1169</v>
      </c>
      <c r="I43" s="468">
        <v>1400.3774123011499</v>
      </c>
      <c r="J43" s="468">
        <v>1</v>
      </c>
      <c r="K43" s="469">
        <v>1400.3774123011499</v>
      </c>
    </row>
    <row r="44" spans="1:11" ht="14.4" customHeight="1" x14ac:dyDescent="0.3">
      <c r="A44" s="464" t="s">
        <v>529</v>
      </c>
      <c r="B44" s="465" t="s">
        <v>690</v>
      </c>
      <c r="C44" s="466" t="s">
        <v>535</v>
      </c>
      <c r="D44" s="467" t="s">
        <v>1727</v>
      </c>
      <c r="E44" s="466" t="s">
        <v>1736</v>
      </c>
      <c r="F44" s="467" t="s">
        <v>1737</v>
      </c>
      <c r="G44" s="466" t="s">
        <v>1170</v>
      </c>
      <c r="H44" s="466" t="s">
        <v>1171</v>
      </c>
      <c r="I44" s="468">
        <v>1582.35343598695</v>
      </c>
      <c r="J44" s="468">
        <v>1</v>
      </c>
      <c r="K44" s="469">
        <v>1582.35343598695</v>
      </c>
    </row>
    <row r="45" spans="1:11" ht="14.4" customHeight="1" x14ac:dyDescent="0.3">
      <c r="A45" s="464" t="s">
        <v>529</v>
      </c>
      <c r="B45" s="465" t="s">
        <v>690</v>
      </c>
      <c r="C45" s="466" t="s">
        <v>535</v>
      </c>
      <c r="D45" s="467" t="s">
        <v>1727</v>
      </c>
      <c r="E45" s="466" t="s">
        <v>1736</v>
      </c>
      <c r="F45" s="467" t="s">
        <v>1737</v>
      </c>
      <c r="G45" s="466" t="s">
        <v>1172</v>
      </c>
      <c r="H45" s="466" t="s">
        <v>1173</v>
      </c>
      <c r="I45" s="468">
        <v>2427.9135116912598</v>
      </c>
      <c r="J45" s="468">
        <v>1</v>
      </c>
      <c r="K45" s="469">
        <v>2427.9135116912598</v>
      </c>
    </row>
    <row r="46" spans="1:11" ht="14.4" customHeight="1" x14ac:dyDescent="0.3">
      <c r="A46" s="464" t="s">
        <v>529</v>
      </c>
      <c r="B46" s="465" t="s">
        <v>690</v>
      </c>
      <c r="C46" s="466" t="s">
        <v>535</v>
      </c>
      <c r="D46" s="467" t="s">
        <v>1727</v>
      </c>
      <c r="E46" s="466" t="s">
        <v>1736</v>
      </c>
      <c r="F46" s="467" t="s">
        <v>1737</v>
      </c>
      <c r="G46" s="466" t="s">
        <v>1174</v>
      </c>
      <c r="H46" s="466" t="s">
        <v>1175</v>
      </c>
      <c r="I46" s="468">
        <v>3088.1512953889001</v>
      </c>
      <c r="J46" s="468">
        <v>1</v>
      </c>
      <c r="K46" s="469">
        <v>3088.1512953889001</v>
      </c>
    </row>
    <row r="47" spans="1:11" ht="14.4" customHeight="1" x14ac:dyDescent="0.3">
      <c r="A47" s="464" t="s">
        <v>529</v>
      </c>
      <c r="B47" s="465" t="s">
        <v>690</v>
      </c>
      <c r="C47" s="466" t="s">
        <v>535</v>
      </c>
      <c r="D47" s="467" t="s">
        <v>1727</v>
      </c>
      <c r="E47" s="466" t="s">
        <v>1736</v>
      </c>
      <c r="F47" s="467" t="s">
        <v>1737</v>
      </c>
      <c r="G47" s="466" t="s">
        <v>1176</v>
      </c>
      <c r="H47" s="466" t="s">
        <v>1177</v>
      </c>
      <c r="I47" s="468">
        <v>414</v>
      </c>
      <c r="J47" s="468">
        <v>2</v>
      </c>
      <c r="K47" s="469">
        <v>828</v>
      </c>
    </row>
    <row r="48" spans="1:11" ht="14.4" customHeight="1" x14ac:dyDescent="0.3">
      <c r="A48" s="464" t="s">
        <v>529</v>
      </c>
      <c r="B48" s="465" t="s">
        <v>690</v>
      </c>
      <c r="C48" s="466" t="s">
        <v>535</v>
      </c>
      <c r="D48" s="467" t="s">
        <v>1727</v>
      </c>
      <c r="E48" s="466" t="s">
        <v>1736</v>
      </c>
      <c r="F48" s="467" t="s">
        <v>1737</v>
      </c>
      <c r="G48" s="466" t="s">
        <v>1178</v>
      </c>
      <c r="H48" s="466" t="s">
        <v>1179</v>
      </c>
      <c r="I48" s="468">
        <v>1306.0543446317499</v>
      </c>
      <c r="J48" s="468">
        <v>1</v>
      </c>
      <c r="K48" s="469">
        <v>1306.0543446317499</v>
      </c>
    </row>
    <row r="49" spans="1:11" ht="14.4" customHeight="1" x14ac:dyDescent="0.3">
      <c r="A49" s="464" t="s">
        <v>529</v>
      </c>
      <c r="B49" s="465" t="s">
        <v>690</v>
      </c>
      <c r="C49" s="466" t="s">
        <v>535</v>
      </c>
      <c r="D49" s="467" t="s">
        <v>1727</v>
      </c>
      <c r="E49" s="466" t="s">
        <v>1736</v>
      </c>
      <c r="F49" s="467" t="s">
        <v>1737</v>
      </c>
      <c r="G49" s="466" t="s">
        <v>1180</v>
      </c>
      <c r="H49" s="466" t="s">
        <v>1181</v>
      </c>
      <c r="I49" s="468">
        <v>2363.13</v>
      </c>
      <c r="J49" s="468">
        <v>1</v>
      </c>
      <c r="K49" s="469">
        <v>2363.13</v>
      </c>
    </row>
    <row r="50" spans="1:11" ht="14.4" customHeight="1" x14ac:dyDescent="0.3">
      <c r="A50" s="464" t="s">
        <v>529</v>
      </c>
      <c r="B50" s="465" t="s">
        <v>690</v>
      </c>
      <c r="C50" s="466" t="s">
        <v>535</v>
      </c>
      <c r="D50" s="467" t="s">
        <v>1727</v>
      </c>
      <c r="E50" s="466" t="s">
        <v>1736</v>
      </c>
      <c r="F50" s="467" t="s">
        <v>1737</v>
      </c>
      <c r="G50" s="466" t="s">
        <v>1182</v>
      </c>
      <c r="H50" s="466" t="s">
        <v>1183</v>
      </c>
      <c r="I50" s="468">
        <v>3010.9426910645502</v>
      </c>
      <c r="J50" s="468">
        <v>1</v>
      </c>
      <c r="K50" s="469">
        <v>3010.9426910645502</v>
      </c>
    </row>
    <row r="51" spans="1:11" ht="14.4" customHeight="1" x14ac:dyDescent="0.3">
      <c r="A51" s="464" t="s">
        <v>529</v>
      </c>
      <c r="B51" s="465" t="s">
        <v>690</v>
      </c>
      <c r="C51" s="466" t="s">
        <v>535</v>
      </c>
      <c r="D51" s="467" t="s">
        <v>1727</v>
      </c>
      <c r="E51" s="466" t="s">
        <v>1736</v>
      </c>
      <c r="F51" s="467" t="s">
        <v>1737</v>
      </c>
      <c r="G51" s="466" t="s">
        <v>1184</v>
      </c>
      <c r="H51" s="466" t="s">
        <v>1185</v>
      </c>
      <c r="I51" s="468">
        <v>2627.4736176035099</v>
      </c>
      <c r="J51" s="468">
        <v>1</v>
      </c>
      <c r="K51" s="469">
        <v>2627.4736176035099</v>
      </c>
    </row>
    <row r="52" spans="1:11" ht="14.4" customHeight="1" x14ac:dyDescent="0.3">
      <c r="A52" s="464" t="s">
        <v>529</v>
      </c>
      <c r="B52" s="465" t="s">
        <v>690</v>
      </c>
      <c r="C52" s="466" t="s">
        <v>535</v>
      </c>
      <c r="D52" s="467" t="s">
        <v>1727</v>
      </c>
      <c r="E52" s="466" t="s">
        <v>1736</v>
      </c>
      <c r="F52" s="467" t="s">
        <v>1737</v>
      </c>
      <c r="G52" s="466" t="s">
        <v>1186</v>
      </c>
      <c r="H52" s="466" t="s">
        <v>1187</v>
      </c>
      <c r="I52" s="468">
        <v>3322.87967988952</v>
      </c>
      <c r="J52" s="468">
        <v>1</v>
      </c>
      <c r="K52" s="469">
        <v>3322.87967988952</v>
      </c>
    </row>
    <row r="53" spans="1:11" ht="14.4" customHeight="1" x14ac:dyDescent="0.3">
      <c r="A53" s="464" t="s">
        <v>529</v>
      </c>
      <c r="B53" s="465" t="s">
        <v>690</v>
      </c>
      <c r="C53" s="466" t="s">
        <v>535</v>
      </c>
      <c r="D53" s="467" t="s">
        <v>1727</v>
      </c>
      <c r="E53" s="466" t="s">
        <v>1736</v>
      </c>
      <c r="F53" s="467" t="s">
        <v>1737</v>
      </c>
      <c r="G53" s="466" t="s">
        <v>1188</v>
      </c>
      <c r="H53" s="466" t="s">
        <v>1189</v>
      </c>
      <c r="I53" s="468">
        <v>1888.93288649178</v>
      </c>
      <c r="J53" s="468">
        <v>1</v>
      </c>
      <c r="K53" s="469">
        <v>1888.93288649178</v>
      </c>
    </row>
    <row r="54" spans="1:11" ht="14.4" customHeight="1" x14ac:dyDescent="0.3">
      <c r="A54" s="464" t="s">
        <v>529</v>
      </c>
      <c r="B54" s="465" t="s">
        <v>690</v>
      </c>
      <c r="C54" s="466" t="s">
        <v>535</v>
      </c>
      <c r="D54" s="467" t="s">
        <v>1727</v>
      </c>
      <c r="E54" s="466" t="s">
        <v>1736</v>
      </c>
      <c r="F54" s="467" t="s">
        <v>1737</v>
      </c>
      <c r="G54" s="466" t="s">
        <v>1190</v>
      </c>
      <c r="H54" s="466" t="s">
        <v>1191</v>
      </c>
      <c r="I54" s="468">
        <v>1888.93288649178</v>
      </c>
      <c r="J54" s="468">
        <v>1</v>
      </c>
      <c r="K54" s="469">
        <v>1888.93288649178</v>
      </c>
    </row>
    <row r="55" spans="1:11" ht="14.4" customHeight="1" x14ac:dyDescent="0.3">
      <c r="A55" s="464" t="s">
        <v>529</v>
      </c>
      <c r="B55" s="465" t="s">
        <v>690</v>
      </c>
      <c r="C55" s="466" t="s">
        <v>535</v>
      </c>
      <c r="D55" s="467" t="s">
        <v>1727</v>
      </c>
      <c r="E55" s="466" t="s">
        <v>1736</v>
      </c>
      <c r="F55" s="467" t="s">
        <v>1737</v>
      </c>
      <c r="G55" s="466" t="s">
        <v>1192</v>
      </c>
      <c r="H55" s="466" t="s">
        <v>1193</v>
      </c>
      <c r="I55" s="468">
        <v>15754.2</v>
      </c>
      <c r="J55" s="468">
        <v>1</v>
      </c>
      <c r="K55" s="469">
        <v>15754.2</v>
      </c>
    </row>
    <row r="56" spans="1:11" ht="14.4" customHeight="1" x14ac:dyDescent="0.3">
      <c r="A56" s="464" t="s">
        <v>529</v>
      </c>
      <c r="B56" s="465" t="s">
        <v>690</v>
      </c>
      <c r="C56" s="466" t="s">
        <v>535</v>
      </c>
      <c r="D56" s="467" t="s">
        <v>1727</v>
      </c>
      <c r="E56" s="466" t="s">
        <v>1736</v>
      </c>
      <c r="F56" s="467" t="s">
        <v>1737</v>
      </c>
      <c r="G56" s="466" t="s">
        <v>1194</v>
      </c>
      <c r="H56" s="466" t="s">
        <v>1195</v>
      </c>
      <c r="I56" s="468">
        <v>2441.6071428571427</v>
      </c>
      <c r="J56" s="468">
        <v>11</v>
      </c>
      <c r="K56" s="469">
        <v>26644.199999999997</v>
      </c>
    </row>
    <row r="57" spans="1:11" ht="14.4" customHeight="1" x14ac:dyDescent="0.3">
      <c r="A57" s="464" t="s">
        <v>529</v>
      </c>
      <c r="B57" s="465" t="s">
        <v>690</v>
      </c>
      <c r="C57" s="466" t="s">
        <v>535</v>
      </c>
      <c r="D57" s="467" t="s">
        <v>1727</v>
      </c>
      <c r="E57" s="466" t="s">
        <v>1736</v>
      </c>
      <c r="F57" s="467" t="s">
        <v>1737</v>
      </c>
      <c r="G57" s="466" t="s">
        <v>1196</v>
      </c>
      <c r="H57" s="466" t="s">
        <v>1197</v>
      </c>
      <c r="I57" s="468">
        <v>126428.82</v>
      </c>
      <c r="J57" s="468">
        <v>1</v>
      </c>
      <c r="K57" s="469">
        <v>126428.82</v>
      </c>
    </row>
    <row r="58" spans="1:11" ht="14.4" customHeight="1" x14ac:dyDescent="0.3">
      <c r="A58" s="464" t="s">
        <v>529</v>
      </c>
      <c r="B58" s="465" t="s">
        <v>690</v>
      </c>
      <c r="C58" s="466" t="s">
        <v>535</v>
      </c>
      <c r="D58" s="467" t="s">
        <v>1727</v>
      </c>
      <c r="E58" s="466" t="s">
        <v>1736</v>
      </c>
      <c r="F58" s="467" t="s">
        <v>1737</v>
      </c>
      <c r="G58" s="466" t="s">
        <v>1198</v>
      </c>
      <c r="H58" s="466" t="s">
        <v>1199</v>
      </c>
      <c r="I58" s="468">
        <v>285.74923076923073</v>
      </c>
      <c r="J58" s="468">
        <v>65</v>
      </c>
      <c r="K58" s="469">
        <v>18573.760000000002</v>
      </c>
    </row>
    <row r="59" spans="1:11" ht="14.4" customHeight="1" x14ac:dyDescent="0.3">
      <c r="A59" s="464" t="s">
        <v>529</v>
      </c>
      <c r="B59" s="465" t="s">
        <v>690</v>
      </c>
      <c r="C59" s="466" t="s">
        <v>535</v>
      </c>
      <c r="D59" s="467" t="s">
        <v>1727</v>
      </c>
      <c r="E59" s="466" t="s">
        <v>1736</v>
      </c>
      <c r="F59" s="467" t="s">
        <v>1737</v>
      </c>
      <c r="G59" s="466" t="s">
        <v>1200</v>
      </c>
      <c r="H59" s="466" t="s">
        <v>1201</v>
      </c>
      <c r="I59" s="468">
        <v>285.74923076923073</v>
      </c>
      <c r="J59" s="468">
        <v>13</v>
      </c>
      <c r="K59" s="469">
        <v>3714.74</v>
      </c>
    </row>
    <row r="60" spans="1:11" ht="14.4" customHeight="1" x14ac:dyDescent="0.3">
      <c r="A60" s="464" t="s">
        <v>529</v>
      </c>
      <c r="B60" s="465" t="s">
        <v>690</v>
      </c>
      <c r="C60" s="466" t="s">
        <v>535</v>
      </c>
      <c r="D60" s="467" t="s">
        <v>1727</v>
      </c>
      <c r="E60" s="466" t="s">
        <v>1736</v>
      </c>
      <c r="F60" s="467" t="s">
        <v>1737</v>
      </c>
      <c r="G60" s="466" t="s">
        <v>1202</v>
      </c>
      <c r="H60" s="466" t="s">
        <v>1203</v>
      </c>
      <c r="I60" s="468">
        <v>3364.2533333333326</v>
      </c>
      <c r="J60" s="468">
        <v>4</v>
      </c>
      <c r="K60" s="469">
        <v>13704.64</v>
      </c>
    </row>
    <row r="61" spans="1:11" ht="14.4" customHeight="1" x14ac:dyDescent="0.3">
      <c r="A61" s="464" t="s">
        <v>529</v>
      </c>
      <c r="B61" s="465" t="s">
        <v>690</v>
      </c>
      <c r="C61" s="466" t="s">
        <v>535</v>
      </c>
      <c r="D61" s="467" t="s">
        <v>1727</v>
      </c>
      <c r="E61" s="466" t="s">
        <v>1736</v>
      </c>
      <c r="F61" s="467" t="s">
        <v>1737</v>
      </c>
      <c r="G61" s="466" t="s">
        <v>1204</v>
      </c>
      <c r="H61" s="466" t="s">
        <v>1205</v>
      </c>
      <c r="I61" s="468">
        <v>108.90000000000002</v>
      </c>
      <c r="J61" s="468">
        <v>18</v>
      </c>
      <c r="K61" s="469">
        <v>1960.2</v>
      </c>
    </row>
    <row r="62" spans="1:11" ht="14.4" customHeight="1" x14ac:dyDescent="0.3">
      <c r="A62" s="464" t="s">
        <v>529</v>
      </c>
      <c r="B62" s="465" t="s">
        <v>690</v>
      </c>
      <c r="C62" s="466" t="s">
        <v>535</v>
      </c>
      <c r="D62" s="467" t="s">
        <v>1727</v>
      </c>
      <c r="E62" s="466" t="s">
        <v>1736</v>
      </c>
      <c r="F62" s="467" t="s">
        <v>1737</v>
      </c>
      <c r="G62" s="466" t="s">
        <v>1206</v>
      </c>
      <c r="H62" s="466" t="s">
        <v>1207</v>
      </c>
      <c r="I62" s="468">
        <v>285.74923076923073</v>
      </c>
      <c r="J62" s="468">
        <v>13</v>
      </c>
      <c r="K62" s="469">
        <v>3714.74</v>
      </c>
    </row>
    <row r="63" spans="1:11" ht="14.4" customHeight="1" x14ac:dyDescent="0.3">
      <c r="A63" s="464" t="s">
        <v>529</v>
      </c>
      <c r="B63" s="465" t="s">
        <v>690</v>
      </c>
      <c r="C63" s="466" t="s">
        <v>535</v>
      </c>
      <c r="D63" s="467" t="s">
        <v>1727</v>
      </c>
      <c r="E63" s="466" t="s">
        <v>1736</v>
      </c>
      <c r="F63" s="467" t="s">
        <v>1737</v>
      </c>
      <c r="G63" s="466" t="s">
        <v>1208</v>
      </c>
      <c r="H63" s="466" t="s">
        <v>1209</v>
      </c>
      <c r="I63" s="468">
        <v>1400.3899999999996</v>
      </c>
      <c r="J63" s="468">
        <v>12</v>
      </c>
      <c r="K63" s="469">
        <v>16804.679999999997</v>
      </c>
    </row>
    <row r="64" spans="1:11" ht="14.4" customHeight="1" x14ac:dyDescent="0.3">
      <c r="A64" s="464" t="s">
        <v>529</v>
      </c>
      <c r="B64" s="465" t="s">
        <v>690</v>
      </c>
      <c r="C64" s="466" t="s">
        <v>535</v>
      </c>
      <c r="D64" s="467" t="s">
        <v>1727</v>
      </c>
      <c r="E64" s="466" t="s">
        <v>1736</v>
      </c>
      <c r="F64" s="467" t="s">
        <v>1737</v>
      </c>
      <c r="G64" s="466" t="s">
        <v>1210</v>
      </c>
      <c r="H64" s="466" t="s">
        <v>1211</v>
      </c>
      <c r="I64" s="468">
        <v>2427.91</v>
      </c>
      <c r="J64" s="468">
        <v>12</v>
      </c>
      <c r="K64" s="469">
        <v>29134.92</v>
      </c>
    </row>
    <row r="65" spans="1:11" ht="14.4" customHeight="1" x14ac:dyDescent="0.3">
      <c r="A65" s="464" t="s">
        <v>529</v>
      </c>
      <c r="B65" s="465" t="s">
        <v>690</v>
      </c>
      <c r="C65" s="466" t="s">
        <v>535</v>
      </c>
      <c r="D65" s="467" t="s">
        <v>1727</v>
      </c>
      <c r="E65" s="466" t="s">
        <v>1736</v>
      </c>
      <c r="F65" s="467" t="s">
        <v>1737</v>
      </c>
      <c r="G65" s="466" t="s">
        <v>1212</v>
      </c>
      <c r="H65" s="466" t="s">
        <v>1213</v>
      </c>
      <c r="I65" s="468">
        <v>4550.2150000000001</v>
      </c>
      <c r="J65" s="468">
        <v>5</v>
      </c>
      <c r="K65" s="469">
        <v>22778.21</v>
      </c>
    </row>
    <row r="66" spans="1:11" ht="14.4" customHeight="1" x14ac:dyDescent="0.3">
      <c r="A66" s="464" t="s">
        <v>529</v>
      </c>
      <c r="B66" s="465" t="s">
        <v>690</v>
      </c>
      <c r="C66" s="466" t="s">
        <v>535</v>
      </c>
      <c r="D66" s="467" t="s">
        <v>1727</v>
      </c>
      <c r="E66" s="466" t="s">
        <v>1736</v>
      </c>
      <c r="F66" s="467" t="s">
        <v>1737</v>
      </c>
      <c r="G66" s="466" t="s">
        <v>1214</v>
      </c>
      <c r="H66" s="466" t="s">
        <v>1215</v>
      </c>
      <c r="I66" s="468">
        <v>2178.7080000000001</v>
      </c>
      <c r="J66" s="468">
        <v>25</v>
      </c>
      <c r="K66" s="469">
        <v>54638.91</v>
      </c>
    </row>
    <row r="67" spans="1:11" ht="14.4" customHeight="1" x14ac:dyDescent="0.3">
      <c r="A67" s="464" t="s">
        <v>529</v>
      </c>
      <c r="B67" s="465" t="s">
        <v>690</v>
      </c>
      <c r="C67" s="466" t="s">
        <v>535</v>
      </c>
      <c r="D67" s="467" t="s">
        <v>1727</v>
      </c>
      <c r="E67" s="466" t="s">
        <v>1736</v>
      </c>
      <c r="F67" s="467" t="s">
        <v>1737</v>
      </c>
      <c r="G67" s="466" t="s">
        <v>1216</v>
      </c>
      <c r="H67" s="466" t="s">
        <v>1217</v>
      </c>
      <c r="I67" s="468">
        <v>285.74923076923073</v>
      </c>
      <c r="J67" s="468">
        <v>65</v>
      </c>
      <c r="K67" s="469">
        <v>18573.760000000002</v>
      </c>
    </row>
    <row r="68" spans="1:11" ht="14.4" customHeight="1" x14ac:dyDescent="0.3">
      <c r="A68" s="464" t="s">
        <v>529</v>
      </c>
      <c r="B68" s="465" t="s">
        <v>690</v>
      </c>
      <c r="C68" s="466" t="s">
        <v>535</v>
      </c>
      <c r="D68" s="467" t="s">
        <v>1727</v>
      </c>
      <c r="E68" s="466" t="s">
        <v>1736</v>
      </c>
      <c r="F68" s="467" t="s">
        <v>1737</v>
      </c>
      <c r="G68" s="466" t="s">
        <v>1218</v>
      </c>
      <c r="H68" s="466" t="s">
        <v>1219</v>
      </c>
      <c r="I68" s="468">
        <v>3088.150000000001</v>
      </c>
      <c r="J68" s="468">
        <v>12</v>
      </c>
      <c r="K68" s="469">
        <v>37057.80000000001</v>
      </c>
    </row>
    <row r="69" spans="1:11" ht="14.4" customHeight="1" x14ac:dyDescent="0.3">
      <c r="A69" s="464" t="s">
        <v>529</v>
      </c>
      <c r="B69" s="465" t="s">
        <v>690</v>
      </c>
      <c r="C69" s="466" t="s">
        <v>535</v>
      </c>
      <c r="D69" s="467" t="s">
        <v>1727</v>
      </c>
      <c r="E69" s="466" t="s">
        <v>1736</v>
      </c>
      <c r="F69" s="467" t="s">
        <v>1737</v>
      </c>
      <c r="G69" s="466" t="s">
        <v>1220</v>
      </c>
      <c r="H69" s="466" t="s">
        <v>1221</v>
      </c>
      <c r="I69" s="468">
        <v>1138.5</v>
      </c>
      <c r="J69" s="468">
        <v>40</v>
      </c>
      <c r="K69" s="469">
        <v>45540</v>
      </c>
    </row>
    <row r="70" spans="1:11" ht="14.4" customHeight="1" x14ac:dyDescent="0.3">
      <c r="A70" s="464" t="s">
        <v>529</v>
      </c>
      <c r="B70" s="465" t="s">
        <v>690</v>
      </c>
      <c r="C70" s="466" t="s">
        <v>535</v>
      </c>
      <c r="D70" s="467" t="s">
        <v>1727</v>
      </c>
      <c r="E70" s="466" t="s">
        <v>1736</v>
      </c>
      <c r="F70" s="467" t="s">
        <v>1737</v>
      </c>
      <c r="G70" s="466" t="s">
        <v>1222</v>
      </c>
      <c r="H70" s="466" t="s">
        <v>1223</v>
      </c>
      <c r="I70" s="468">
        <v>1288.335</v>
      </c>
      <c r="J70" s="468">
        <v>23</v>
      </c>
      <c r="K70" s="469">
        <v>30232.690000000002</v>
      </c>
    </row>
    <row r="71" spans="1:11" ht="14.4" customHeight="1" x14ac:dyDescent="0.3">
      <c r="A71" s="464" t="s">
        <v>529</v>
      </c>
      <c r="B71" s="465" t="s">
        <v>690</v>
      </c>
      <c r="C71" s="466" t="s">
        <v>535</v>
      </c>
      <c r="D71" s="467" t="s">
        <v>1727</v>
      </c>
      <c r="E71" s="466" t="s">
        <v>1736</v>
      </c>
      <c r="F71" s="467" t="s">
        <v>1737</v>
      </c>
      <c r="G71" s="466" t="s">
        <v>1224</v>
      </c>
      <c r="H71" s="466" t="s">
        <v>1225</v>
      </c>
      <c r="I71" s="468">
        <v>1433.7276923076922</v>
      </c>
      <c r="J71" s="468">
        <v>52</v>
      </c>
      <c r="K71" s="469">
        <v>74553.83</v>
      </c>
    </row>
    <row r="72" spans="1:11" ht="14.4" customHeight="1" x14ac:dyDescent="0.3">
      <c r="A72" s="464" t="s">
        <v>529</v>
      </c>
      <c r="B72" s="465" t="s">
        <v>690</v>
      </c>
      <c r="C72" s="466" t="s">
        <v>535</v>
      </c>
      <c r="D72" s="467" t="s">
        <v>1727</v>
      </c>
      <c r="E72" s="466" t="s">
        <v>1736</v>
      </c>
      <c r="F72" s="467" t="s">
        <v>1737</v>
      </c>
      <c r="G72" s="466" t="s">
        <v>1226</v>
      </c>
      <c r="H72" s="466" t="s">
        <v>1227</v>
      </c>
      <c r="I72" s="468">
        <v>1582.3500000000001</v>
      </c>
      <c r="J72" s="468">
        <v>12</v>
      </c>
      <c r="K72" s="469">
        <v>18988.2</v>
      </c>
    </row>
    <row r="73" spans="1:11" ht="14.4" customHeight="1" x14ac:dyDescent="0.3">
      <c r="A73" s="464" t="s">
        <v>529</v>
      </c>
      <c r="B73" s="465" t="s">
        <v>690</v>
      </c>
      <c r="C73" s="466" t="s">
        <v>535</v>
      </c>
      <c r="D73" s="467" t="s">
        <v>1727</v>
      </c>
      <c r="E73" s="466" t="s">
        <v>1736</v>
      </c>
      <c r="F73" s="467" t="s">
        <v>1737</v>
      </c>
      <c r="G73" s="466" t="s">
        <v>1228</v>
      </c>
      <c r="H73" s="466" t="s">
        <v>1229</v>
      </c>
      <c r="I73" s="468">
        <v>378.50461538461536</v>
      </c>
      <c r="J73" s="468">
        <v>26</v>
      </c>
      <c r="K73" s="469">
        <v>9841.11</v>
      </c>
    </row>
    <row r="74" spans="1:11" ht="14.4" customHeight="1" x14ac:dyDescent="0.3">
      <c r="A74" s="464" t="s">
        <v>529</v>
      </c>
      <c r="B74" s="465" t="s">
        <v>690</v>
      </c>
      <c r="C74" s="466" t="s">
        <v>535</v>
      </c>
      <c r="D74" s="467" t="s">
        <v>1727</v>
      </c>
      <c r="E74" s="466" t="s">
        <v>1736</v>
      </c>
      <c r="F74" s="467" t="s">
        <v>1737</v>
      </c>
      <c r="G74" s="466" t="s">
        <v>1230</v>
      </c>
      <c r="H74" s="466" t="s">
        <v>1231</v>
      </c>
      <c r="I74" s="468">
        <v>84.7</v>
      </c>
      <c r="J74" s="468">
        <v>18</v>
      </c>
      <c r="K74" s="469">
        <v>1524.6</v>
      </c>
    </row>
    <row r="75" spans="1:11" ht="14.4" customHeight="1" x14ac:dyDescent="0.3">
      <c r="A75" s="464" t="s">
        <v>529</v>
      </c>
      <c r="B75" s="465" t="s">
        <v>690</v>
      </c>
      <c r="C75" s="466" t="s">
        <v>535</v>
      </c>
      <c r="D75" s="467" t="s">
        <v>1727</v>
      </c>
      <c r="E75" s="466" t="s">
        <v>1736</v>
      </c>
      <c r="F75" s="467" t="s">
        <v>1737</v>
      </c>
      <c r="G75" s="466" t="s">
        <v>1232</v>
      </c>
      <c r="H75" s="466" t="s">
        <v>1233</v>
      </c>
      <c r="I75" s="468">
        <v>2039</v>
      </c>
      <c r="J75" s="468">
        <v>1</v>
      </c>
      <c r="K75" s="469">
        <v>2039</v>
      </c>
    </row>
    <row r="76" spans="1:11" ht="14.4" customHeight="1" x14ac:dyDescent="0.3">
      <c r="A76" s="464" t="s">
        <v>529</v>
      </c>
      <c r="B76" s="465" t="s">
        <v>690</v>
      </c>
      <c r="C76" s="466" t="s">
        <v>535</v>
      </c>
      <c r="D76" s="467" t="s">
        <v>1727</v>
      </c>
      <c r="E76" s="466" t="s">
        <v>1736</v>
      </c>
      <c r="F76" s="467" t="s">
        <v>1737</v>
      </c>
      <c r="G76" s="466" t="s">
        <v>1234</v>
      </c>
      <c r="H76" s="466" t="s">
        <v>1235</v>
      </c>
      <c r="I76" s="468">
        <v>1504</v>
      </c>
      <c r="J76" s="468">
        <v>4</v>
      </c>
      <c r="K76" s="469">
        <v>6016</v>
      </c>
    </row>
    <row r="77" spans="1:11" ht="14.4" customHeight="1" x14ac:dyDescent="0.3">
      <c r="A77" s="464" t="s">
        <v>529</v>
      </c>
      <c r="B77" s="465" t="s">
        <v>690</v>
      </c>
      <c r="C77" s="466" t="s">
        <v>535</v>
      </c>
      <c r="D77" s="467" t="s">
        <v>1727</v>
      </c>
      <c r="E77" s="466" t="s">
        <v>1736</v>
      </c>
      <c r="F77" s="467" t="s">
        <v>1737</v>
      </c>
      <c r="G77" s="466" t="s">
        <v>1236</v>
      </c>
      <c r="H77" s="466" t="s">
        <v>1237</v>
      </c>
      <c r="I77" s="468">
        <v>3242.355</v>
      </c>
      <c r="J77" s="468">
        <v>2</v>
      </c>
      <c r="K77" s="469">
        <v>6484.71</v>
      </c>
    </row>
    <row r="78" spans="1:11" ht="14.4" customHeight="1" x14ac:dyDescent="0.3">
      <c r="A78" s="464" t="s">
        <v>529</v>
      </c>
      <c r="B78" s="465" t="s">
        <v>690</v>
      </c>
      <c r="C78" s="466" t="s">
        <v>535</v>
      </c>
      <c r="D78" s="467" t="s">
        <v>1727</v>
      </c>
      <c r="E78" s="466" t="s">
        <v>1736</v>
      </c>
      <c r="F78" s="467" t="s">
        <v>1737</v>
      </c>
      <c r="G78" s="466" t="s">
        <v>1236</v>
      </c>
      <c r="H78" s="466" t="s">
        <v>1238</v>
      </c>
      <c r="I78" s="468">
        <v>3159.03</v>
      </c>
      <c r="J78" s="468">
        <v>1</v>
      </c>
      <c r="K78" s="469">
        <v>3159.03</v>
      </c>
    </row>
    <row r="79" spans="1:11" ht="14.4" customHeight="1" x14ac:dyDescent="0.3">
      <c r="A79" s="464" t="s">
        <v>529</v>
      </c>
      <c r="B79" s="465" t="s">
        <v>690</v>
      </c>
      <c r="C79" s="466" t="s">
        <v>535</v>
      </c>
      <c r="D79" s="467" t="s">
        <v>1727</v>
      </c>
      <c r="E79" s="466" t="s">
        <v>1736</v>
      </c>
      <c r="F79" s="467" t="s">
        <v>1737</v>
      </c>
      <c r="G79" s="466" t="s">
        <v>1239</v>
      </c>
      <c r="H79" s="466" t="s">
        <v>1240</v>
      </c>
      <c r="I79" s="468">
        <v>1869.83</v>
      </c>
      <c r="J79" s="468">
        <v>1</v>
      </c>
      <c r="K79" s="469">
        <v>1869.83</v>
      </c>
    </row>
    <row r="80" spans="1:11" ht="14.4" customHeight="1" x14ac:dyDescent="0.3">
      <c r="A80" s="464" t="s">
        <v>529</v>
      </c>
      <c r="B80" s="465" t="s">
        <v>690</v>
      </c>
      <c r="C80" s="466" t="s">
        <v>535</v>
      </c>
      <c r="D80" s="467" t="s">
        <v>1727</v>
      </c>
      <c r="E80" s="466" t="s">
        <v>1736</v>
      </c>
      <c r="F80" s="467" t="s">
        <v>1737</v>
      </c>
      <c r="G80" s="466" t="s">
        <v>1239</v>
      </c>
      <c r="H80" s="466" t="s">
        <v>1241</v>
      </c>
      <c r="I80" s="468">
        <v>1776.74</v>
      </c>
      <c r="J80" s="468">
        <v>1</v>
      </c>
      <c r="K80" s="469">
        <v>1776.74</v>
      </c>
    </row>
    <row r="81" spans="1:11" ht="14.4" customHeight="1" x14ac:dyDescent="0.3">
      <c r="A81" s="464" t="s">
        <v>529</v>
      </c>
      <c r="B81" s="465" t="s">
        <v>690</v>
      </c>
      <c r="C81" s="466" t="s">
        <v>535</v>
      </c>
      <c r="D81" s="467" t="s">
        <v>1727</v>
      </c>
      <c r="E81" s="466" t="s">
        <v>1736</v>
      </c>
      <c r="F81" s="467" t="s">
        <v>1737</v>
      </c>
      <c r="G81" s="466" t="s">
        <v>1242</v>
      </c>
      <c r="H81" s="466" t="s">
        <v>1243</v>
      </c>
      <c r="I81" s="468">
        <v>2346</v>
      </c>
      <c r="J81" s="468">
        <v>3</v>
      </c>
      <c r="K81" s="469">
        <v>7038</v>
      </c>
    </row>
    <row r="82" spans="1:11" ht="14.4" customHeight="1" x14ac:dyDescent="0.3">
      <c r="A82" s="464" t="s">
        <v>529</v>
      </c>
      <c r="B82" s="465" t="s">
        <v>690</v>
      </c>
      <c r="C82" s="466" t="s">
        <v>535</v>
      </c>
      <c r="D82" s="467" t="s">
        <v>1727</v>
      </c>
      <c r="E82" s="466" t="s">
        <v>1736</v>
      </c>
      <c r="F82" s="467" t="s">
        <v>1737</v>
      </c>
      <c r="G82" s="466" t="s">
        <v>1244</v>
      </c>
      <c r="H82" s="466" t="s">
        <v>1245</v>
      </c>
      <c r="I82" s="468">
        <v>4184.13</v>
      </c>
      <c r="J82" s="468">
        <v>2</v>
      </c>
      <c r="K82" s="469">
        <v>8368.26</v>
      </c>
    </row>
    <row r="83" spans="1:11" ht="14.4" customHeight="1" x14ac:dyDescent="0.3">
      <c r="A83" s="464" t="s">
        <v>529</v>
      </c>
      <c r="B83" s="465" t="s">
        <v>690</v>
      </c>
      <c r="C83" s="466" t="s">
        <v>535</v>
      </c>
      <c r="D83" s="467" t="s">
        <v>1727</v>
      </c>
      <c r="E83" s="466" t="s">
        <v>1736</v>
      </c>
      <c r="F83" s="467" t="s">
        <v>1737</v>
      </c>
      <c r="G83" s="466" t="s">
        <v>1246</v>
      </c>
      <c r="H83" s="466" t="s">
        <v>1247</v>
      </c>
      <c r="I83" s="468">
        <v>2535</v>
      </c>
      <c r="J83" s="468">
        <v>1</v>
      </c>
      <c r="K83" s="469">
        <v>2535</v>
      </c>
    </row>
    <row r="84" spans="1:11" ht="14.4" customHeight="1" x14ac:dyDescent="0.3">
      <c r="A84" s="464" t="s">
        <v>529</v>
      </c>
      <c r="B84" s="465" t="s">
        <v>690</v>
      </c>
      <c r="C84" s="466" t="s">
        <v>535</v>
      </c>
      <c r="D84" s="467" t="s">
        <v>1727</v>
      </c>
      <c r="E84" s="466" t="s">
        <v>1736</v>
      </c>
      <c r="F84" s="467" t="s">
        <v>1737</v>
      </c>
      <c r="G84" s="466" t="s">
        <v>1248</v>
      </c>
      <c r="H84" s="466" t="s">
        <v>1249</v>
      </c>
      <c r="I84" s="468">
        <v>414</v>
      </c>
      <c r="J84" s="468">
        <v>24</v>
      </c>
      <c r="K84" s="469">
        <v>9936</v>
      </c>
    </row>
    <row r="85" spans="1:11" ht="14.4" customHeight="1" x14ac:dyDescent="0.3">
      <c r="A85" s="464" t="s">
        <v>529</v>
      </c>
      <c r="B85" s="465" t="s">
        <v>690</v>
      </c>
      <c r="C85" s="466" t="s">
        <v>535</v>
      </c>
      <c r="D85" s="467" t="s">
        <v>1727</v>
      </c>
      <c r="E85" s="466" t="s">
        <v>1736</v>
      </c>
      <c r="F85" s="467" t="s">
        <v>1737</v>
      </c>
      <c r="G85" s="466" t="s">
        <v>1250</v>
      </c>
      <c r="H85" s="466" t="s">
        <v>1251</v>
      </c>
      <c r="I85" s="468">
        <v>2176.145</v>
      </c>
      <c r="J85" s="468">
        <v>6</v>
      </c>
      <c r="K85" s="469">
        <v>13162.08</v>
      </c>
    </row>
    <row r="86" spans="1:11" ht="14.4" customHeight="1" x14ac:dyDescent="0.3">
      <c r="A86" s="464" t="s">
        <v>529</v>
      </c>
      <c r="B86" s="465" t="s">
        <v>690</v>
      </c>
      <c r="C86" s="466" t="s">
        <v>535</v>
      </c>
      <c r="D86" s="467" t="s">
        <v>1727</v>
      </c>
      <c r="E86" s="466" t="s">
        <v>1736</v>
      </c>
      <c r="F86" s="467" t="s">
        <v>1737</v>
      </c>
      <c r="G86" s="466" t="s">
        <v>1252</v>
      </c>
      <c r="H86" s="466" t="s">
        <v>1253</v>
      </c>
      <c r="I86" s="468">
        <v>82026.28</v>
      </c>
      <c r="J86" s="468">
        <v>4</v>
      </c>
      <c r="K86" s="469">
        <v>328105.12</v>
      </c>
    </row>
    <row r="87" spans="1:11" ht="14.4" customHeight="1" x14ac:dyDescent="0.3">
      <c r="A87" s="464" t="s">
        <v>529</v>
      </c>
      <c r="B87" s="465" t="s">
        <v>690</v>
      </c>
      <c r="C87" s="466" t="s">
        <v>535</v>
      </c>
      <c r="D87" s="467" t="s">
        <v>1727</v>
      </c>
      <c r="E87" s="466" t="s">
        <v>1736</v>
      </c>
      <c r="F87" s="467" t="s">
        <v>1737</v>
      </c>
      <c r="G87" s="466" t="s">
        <v>1254</v>
      </c>
      <c r="H87" s="466" t="s">
        <v>1255</v>
      </c>
      <c r="I87" s="468">
        <v>1776.74</v>
      </c>
      <c r="J87" s="468">
        <v>2</v>
      </c>
      <c r="K87" s="469">
        <v>3553.48</v>
      </c>
    </row>
    <row r="88" spans="1:11" ht="14.4" customHeight="1" x14ac:dyDescent="0.3">
      <c r="A88" s="464" t="s">
        <v>529</v>
      </c>
      <c r="B88" s="465" t="s">
        <v>690</v>
      </c>
      <c r="C88" s="466" t="s">
        <v>535</v>
      </c>
      <c r="D88" s="467" t="s">
        <v>1727</v>
      </c>
      <c r="E88" s="466" t="s">
        <v>1736</v>
      </c>
      <c r="F88" s="467" t="s">
        <v>1737</v>
      </c>
      <c r="G88" s="466" t="s">
        <v>1256</v>
      </c>
      <c r="H88" s="466" t="s">
        <v>1257</v>
      </c>
      <c r="I88" s="468">
        <v>1181.8900000000001</v>
      </c>
      <c r="J88" s="468">
        <v>1</v>
      </c>
      <c r="K88" s="469">
        <v>1181.8900000000001</v>
      </c>
    </row>
    <row r="89" spans="1:11" ht="14.4" customHeight="1" x14ac:dyDescent="0.3">
      <c r="A89" s="464" t="s">
        <v>529</v>
      </c>
      <c r="B89" s="465" t="s">
        <v>690</v>
      </c>
      <c r="C89" s="466" t="s">
        <v>535</v>
      </c>
      <c r="D89" s="467" t="s">
        <v>1727</v>
      </c>
      <c r="E89" s="466" t="s">
        <v>1736</v>
      </c>
      <c r="F89" s="467" t="s">
        <v>1737</v>
      </c>
      <c r="G89" s="466" t="s">
        <v>1258</v>
      </c>
      <c r="H89" s="466" t="s">
        <v>1259</v>
      </c>
      <c r="I89" s="468">
        <v>3934.01</v>
      </c>
      <c r="J89" s="468">
        <v>1</v>
      </c>
      <c r="K89" s="469">
        <v>3934.01</v>
      </c>
    </row>
    <row r="90" spans="1:11" ht="14.4" customHeight="1" x14ac:dyDescent="0.3">
      <c r="A90" s="464" t="s">
        <v>529</v>
      </c>
      <c r="B90" s="465" t="s">
        <v>690</v>
      </c>
      <c r="C90" s="466" t="s">
        <v>535</v>
      </c>
      <c r="D90" s="467" t="s">
        <v>1727</v>
      </c>
      <c r="E90" s="466" t="s">
        <v>1736</v>
      </c>
      <c r="F90" s="467" t="s">
        <v>1737</v>
      </c>
      <c r="G90" s="466" t="s">
        <v>1258</v>
      </c>
      <c r="H90" s="466" t="s">
        <v>1260</v>
      </c>
      <c r="I90" s="468">
        <v>3740.93</v>
      </c>
      <c r="J90" s="468">
        <v>1</v>
      </c>
      <c r="K90" s="469">
        <v>3740.93</v>
      </c>
    </row>
    <row r="91" spans="1:11" ht="14.4" customHeight="1" x14ac:dyDescent="0.3">
      <c r="A91" s="464" t="s">
        <v>529</v>
      </c>
      <c r="B91" s="465" t="s">
        <v>690</v>
      </c>
      <c r="C91" s="466" t="s">
        <v>535</v>
      </c>
      <c r="D91" s="467" t="s">
        <v>1727</v>
      </c>
      <c r="E91" s="466" t="s">
        <v>1736</v>
      </c>
      <c r="F91" s="467" t="s">
        <v>1737</v>
      </c>
      <c r="G91" s="466" t="s">
        <v>1261</v>
      </c>
      <c r="H91" s="466" t="s">
        <v>1262</v>
      </c>
      <c r="I91" s="468">
        <v>2338.8333333333335</v>
      </c>
      <c r="J91" s="468">
        <v>12</v>
      </c>
      <c r="K91" s="469">
        <v>28066</v>
      </c>
    </row>
    <row r="92" spans="1:11" ht="14.4" customHeight="1" x14ac:dyDescent="0.3">
      <c r="A92" s="464" t="s">
        <v>529</v>
      </c>
      <c r="B92" s="465" t="s">
        <v>690</v>
      </c>
      <c r="C92" s="466" t="s">
        <v>535</v>
      </c>
      <c r="D92" s="467" t="s">
        <v>1727</v>
      </c>
      <c r="E92" s="466" t="s">
        <v>1736</v>
      </c>
      <c r="F92" s="467" t="s">
        <v>1737</v>
      </c>
      <c r="G92" s="466" t="s">
        <v>1263</v>
      </c>
      <c r="H92" s="466" t="s">
        <v>1264</v>
      </c>
      <c r="I92" s="468">
        <v>1909</v>
      </c>
      <c r="J92" s="468">
        <v>1</v>
      </c>
      <c r="K92" s="469">
        <v>1909</v>
      </c>
    </row>
    <row r="93" spans="1:11" ht="14.4" customHeight="1" x14ac:dyDescent="0.3">
      <c r="A93" s="464" t="s">
        <v>529</v>
      </c>
      <c r="B93" s="465" t="s">
        <v>690</v>
      </c>
      <c r="C93" s="466" t="s">
        <v>535</v>
      </c>
      <c r="D93" s="467" t="s">
        <v>1727</v>
      </c>
      <c r="E93" s="466" t="s">
        <v>1736</v>
      </c>
      <c r="F93" s="467" t="s">
        <v>1737</v>
      </c>
      <c r="G93" s="466" t="s">
        <v>1265</v>
      </c>
      <c r="H93" s="466" t="s">
        <v>1266</v>
      </c>
      <c r="I93" s="468">
        <v>1202.4100000000001</v>
      </c>
      <c r="J93" s="468">
        <v>1</v>
      </c>
      <c r="K93" s="469">
        <v>1202.4100000000001</v>
      </c>
    </row>
    <row r="94" spans="1:11" ht="14.4" customHeight="1" x14ac:dyDescent="0.3">
      <c r="A94" s="464" t="s">
        <v>529</v>
      </c>
      <c r="B94" s="465" t="s">
        <v>690</v>
      </c>
      <c r="C94" s="466" t="s">
        <v>535</v>
      </c>
      <c r="D94" s="467" t="s">
        <v>1727</v>
      </c>
      <c r="E94" s="466" t="s">
        <v>1736</v>
      </c>
      <c r="F94" s="467" t="s">
        <v>1737</v>
      </c>
      <c r="G94" s="466" t="s">
        <v>1267</v>
      </c>
      <c r="H94" s="466" t="s">
        <v>1268</v>
      </c>
      <c r="I94" s="468">
        <v>1391.5</v>
      </c>
      <c r="J94" s="468">
        <v>4</v>
      </c>
      <c r="K94" s="469">
        <v>5566</v>
      </c>
    </row>
    <row r="95" spans="1:11" ht="14.4" customHeight="1" x14ac:dyDescent="0.3">
      <c r="A95" s="464" t="s">
        <v>529</v>
      </c>
      <c r="B95" s="465" t="s">
        <v>690</v>
      </c>
      <c r="C95" s="466" t="s">
        <v>535</v>
      </c>
      <c r="D95" s="467" t="s">
        <v>1727</v>
      </c>
      <c r="E95" s="466" t="s">
        <v>1736</v>
      </c>
      <c r="F95" s="467" t="s">
        <v>1737</v>
      </c>
      <c r="G95" s="466" t="s">
        <v>1269</v>
      </c>
      <c r="H95" s="466" t="s">
        <v>1270</v>
      </c>
      <c r="I95" s="468">
        <v>1391.5</v>
      </c>
      <c r="J95" s="468">
        <v>4</v>
      </c>
      <c r="K95" s="469">
        <v>5566</v>
      </c>
    </row>
    <row r="96" spans="1:11" ht="14.4" customHeight="1" x14ac:dyDescent="0.3">
      <c r="A96" s="464" t="s">
        <v>529</v>
      </c>
      <c r="B96" s="465" t="s">
        <v>690</v>
      </c>
      <c r="C96" s="466" t="s">
        <v>535</v>
      </c>
      <c r="D96" s="467" t="s">
        <v>1727</v>
      </c>
      <c r="E96" s="466" t="s">
        <v>1736</v>
      </c>
      <c r="F96" s="467" t="s">
        <v>1737</v>
      </c>
      <c r="G96" s="466" t="s">
        <v>1271</v>
      </c>
      <c r="H96" s="466" t="s">
        <v>1272</v>
      </c>
      <c r="I96" s="468">
        <v>651</v>
      </c>
      <c r="J96" s="468">
        <v>2</v>
      </c>
      <c r="K96" s="469">
        <v>1302</v>
      </c>
    </row>
    <row r="97" spans="1:11" ht="14.4" customHeight="1" x14ac:dyDescent="0.3">
      <c r="A97" s="464" t="s">
        <v>529</v>
      </c>
      <c r="B97" s="465" t="s">
        <v>690</v>
      </c>
      <c r="C97" s="466" t="s">
        <v>535</v>
      </c>
      <c r="D97" s="467" t="s">
        <v>1727</v>
      </c>
      <c r="E97" s="466" t="s">
        <v>1736</v>
      </c>
      <c r="F97" s="467" t="s">
        <v>1737</v>
      </c>
      <c r="G97" s="466" t="s">
        <v>1273</v>
      </c>
      <c r="H97" s="466" t="s">
        <v>1274</v>
      </c>
      <c r="I97" s="468">
        <v>322</v>
      </c>
      <c r="J97" s="468">
        <v>3</v>
      </c>
      <c r="K97" s="469">
        <v>966</v>
      </c>
    </row>
    <row r="98" spans="1:11" ht="14.4" customHeight="1" x14ac:dyDescent="0.3">
      <c r="A98" s="464" t="s">
        <v>529</v>
      </c>
      <c r="B98" s="465" t="s">
        <v>690</v>
      </c>
      <c r="C98" s="466" t="s">
        <v>535</v>
      </c>
      <c r="D98" s="467" t="s">
        <v>1727</v>
      </c>
      <c r="E98" s="466" t="s">
        <v>1736</v>
      </c>
      <c r="F98" s="467" t="s">
        <v>1737</v>
      </c>
      <c r="G98" s="466" t="s">
        <v>1275</v>
      </c>
      <c r="H98" s="466" t="s">
        <v>1276</v>
      </c>
      <c r="I98" s="468">
        <v>3685.85</v>
      </c>
      <c r="J98" s="468">
        <v>1</v>
      </c>
      <c r="K98" s="469">
        <v>3685.85</v>
      </c>
    </row>
    <row r="99" spans="1:11" ht="14.4" customHeight="1" x14ac:dyDescent="0.3">
      <c r="A99" s="464" t="s">
        <v>529</v>
      </c>
      <c r="B99" s="465" t="s">
        <v>690</v>
      </c>
      <c r="C99" s="466" t="s">
        <v>535</v>
      </c>
      <c r="D99" s="467" t="s">
        <v>1727</v>
      </c>
      <c r="E99" s="466" t="s">
        <v>1736</v>
      </c>
      <c r="F99" s="467" t="s">
        <v>1737</v>
      </c>
      <c r="G99" s="466" t="s">
        <v>1277</v>
      </c>
      <c r="H99" s="466" t="s">
        <v>1278</v>
      </c>
      <c r="I99" s="468">
        <v>93.492868870094171</v>
      </c>
      <c r="J99" s="468">
        <v>1</v>
      </c>
      <c r="K99" s="469">
        <v>93.492868870094171</v>
      </c>
    </row>
    <row r="100" spans="1:11" ht="14.4" customHeight="1" x14ac:dyDescent="0.3">
      <c r="A100" s="464" t="s">
        <v>529</v>
      </c>
      <c r="B100" s="465" t="s">
        <v>690</v>
      </c>
      <c r="C100" s="466" t="s">
        <v>535</v>
      </c>
      <c r="D100" s="467" t="s">
        <v>1727</v>
      </c>
      <c r="E100" s="466" t="s">
        <v>1736</v>
      </c>
      <c r="F100" s="467" t="s">
        <v>1737</v>
      </c>
      <c r="G100" s="466" t="s">
        <v>1279</v>
      </c>
      <c r="H100" s="466" t="s">
        <v>1280</v>
      </c>
      <c r="I100" s="468">
        <v>1083.48</v>
      </c>
      <c r="J100" s="468">
        <v>4</v>
      </c>
      <c r="K100" s="469">
        <v>4333.92</v>
      </c>
    </row>
    <row r="101" spans="1:11" ht="14.4" customHeight="1" x14ac:dyDescent="0.3">
      <c r="A101" s="464" t="s">
        <v>529</v>
      </c>
      <c r="B101" s="465" t="s">
        <v>690</v>
      </c>
      <c r="C101" s="466" t="s">
        <v>535</v>
      </c>
      <c r="D101" s="467" t="s">
        <v>1727</v>
      </c>
      <c r="E101" s="466" t="s">
        <v>1736</v>
      </c>
      <c r="F101" s="467" t="s">
        <v>1737</v>
      </c>
      <c r="G101" s="466" t="s">
        <v>1281</v>
      </c>
      <c r="H101" s="466" t="s">
        <v>1282</v>
      </c>
      <c r="I101" s="468">
        <v>1359.07</v>
      </c>
      <c r="J101" s="468">
        <v>40</v>
      </c>
      <c r="K101" s="469">
        <v>56453.56</v>
      </c>
    </row>
    <row r="102" spans="1:11" ht="14.4" customHeight="1" x14ac:dyDescent="0.3">
      <c r="A102" s="464" t="s">
        <v>529</v>
      </c>
      <c r="B102" s="465" t="s">
        <v>690</v>
      </c>
      <c r="C102" s="466" t="s">
        <v>535</v>
      </c>
      <c r="D102" s="467" t="s">
        <v>1727</v>
      </c>
      <c r="E102" s="466" t="s">
        <v>1736</v>
      </c>
      <c r="F102" s="467" t="s">
        <v>1737</v>
      </c>
      <c r="G102" s="466" t="s">
        <v>1283</v>
      </c>
      <c r="H102" s="466" t="s">
        <v>1284</v>
      </c>
      <c r="I102" s="468">
        <v>1868.69</v>
      </c>
      <c r="J102" s="468">
        <v>1</v>
      </c>
      <c r="K102" s="469">
        <v>1868.69</v>
      </c>
    </row>
    <row r="103" spans="1:11" ht="14.4" customHeight="1" x14ac:dyDescent="0.3">
      <c r="A103" s="464" t="s">
        <v>529</v>
      </c>
      <c r="B103" s="465" t="s">
        <v>690</v>
      </c>
      <c r="C103" s="466" t="s">
        <v>535</v>
      </c>
      <c r="D103" s="467" t="s">
        <v>1727</v>
      </c>
      <c r="E103" s="466" t="s">
        <v>1736</v>
      </c>
      <c r="F103" s="467" t="s">
        <v>1737</v>
      </c>
      <c r="G103" s="466" t="s">
        <v>1285</v>
      </c>
      <c r="H103" s="466" t="s">
        <v>1286</v>
      </c>
      <c r="I103" s="468">
        <v>4076.74</v>
      </c>
      <c r="J103" s="468">
        <v>2</v>
      </c>
      <c r="K103" s="469">
        <v>8153.47</v>
      </c>
    </row>
    <row r="104" spans="1:11" ht="14.4" customHeight="1" x14ac:dyDescent="0.3">
      <c r="A104" s="464" t="s">
        <v>529</v>
      </c>
      <c r="B104" s="465" t="s">
        <v>690</v>
      </c>
      <c r="C104" s="466" t="s">
        <v>535</v>
      </c>
      <c r="D104" s="467" t="s">
        <v>1727</v>
      </c>
      <c r="E104" s="466" t="s">
        <v>1736</v>
      </c>
      <c r="F104" s="467" t="s">
        <v>1737</v>
      </c>
      <c r="G104" s="466" t="s">
        <v>1287</v>
      </c>
      <c r="H104" s="466" t="s">
        <v>1288</v>
      </c>
      <c r="I104" s="468">
        <v>3737.4849999999997</v>
      </c>
      <c r="J104" s="468">
        <v>2</v>
      </c>
      <c r="K104" s="469">
        <v>7474.9699999999993</v>
      </c>
    </row>
    <row r="105" spans="1:11" ht="14.4" customHeight="1" x14ac:dyDescent="0.3">
      <c r="A105" s="464" t="s">
        <v>529</v>
      </c>
      <c r="B105" s="465" t="s">
        <v>690</v>
      </c>
      <c r="C105" s="466" t="s">
        <v>535</v>
      </c>
      <c r="D105" s="467" t="s">
        <v>1727</v>
      </c>
      <c r="E105" s="466" t="s">
        <v>1736</v>
      </c>
      <c r="F105" s="467" t="s">
        <v>1737</v>
      </c>
      <c r="G105" s="466" t="s">
        <v>1289</v>
      </c>
      <c r="H105" s="466" t="s">
        <v>1290</v>
      </c>
      <c r="I105" s="468">
        <v>264.39714285714291</v>
      </c>
      <c r="J105" s="468">
        <v>50</v>
      </c>
      <c r="K105" s="469">
        <v>13219.8</v>
      </c>
    </row>
    <row r="106" spans="1:11" ht="14.4" customHeight="1" x14ac:dyDescent="0.3">
      <c r="A106" s="464" t="s">
        <v>529</v>
      </c>
      <c r="B106" s="465" t="s">
        <v>690</v>
      </c>
      <c r="C106" s="466" t="s">
        <v>535</v>
      </c>
      <c r="D106" s="467" t="s">
        <v>1727</v>
      </c>
      <c r="E106" s="466" t="s">
        <v>1736</v>
      </c>
      <c r="F106" s="467" t="s">
        <v>1737</v>
      </c>
      <c r="G106" s="466" t="s">
        <v>1291</v>
      </c>
      <c r="H106" s="466" t="s">
        <v>1292</v>
      </c>
      <c r="I106" s="468">
        <v>6298.81</v>
      </c>
      <c r="J106" s="468">
        <v>5</v>
      </c>
      <c r="K106" s="469">
        <v>31494.050000000003</v>
      </c>
    </row>
    <row r="107" spans="1:11" ht="14.4" customHeight="1" x14ac:dyDescent="0.3">
      <c r="A107" s="464" t="s">
        <v>529</v>
      </c>
      <c r="B107" s="465" t="s">
        <v>690</v>
      </c>
      <c r="C107" s="466" t="s">
        <v>535</v>
      </c>
      <c r="D107" s="467" t="s">
        <v>1727</v>
      </c>
      <c r="E107" s="466" t="s">
        <v>1736</v>
      </c>
      <c r="F107" s="467" t="s">
        <v>1737</v>
      </c>
      <c r="G107" s="466" t="s">
        <v>1293</v>
      </c>
      <c r="H107" s="466" t="s">
        <v>1294</v>
      </c>
      <c r="I107" s="468">
        <v>4772.38</v>
      </c>
      <c r="J107" s="468">
        <v>8</v>
      </c>
      <c r="K107" s="469">
        <v>38008.589999999997</v>
      </c>
    </row>
    <row r="108" spans="1:11" ht="14.4" customHeight="1" x14ac:dyDescent="0.3">
      <c r="A108" s="464" t="s">
        <v>529</v>
      </c>
      <c r="B108" s="465" t="s">
        <v>690</v>
      </c>
      <c r="C108" s="466" t="s">
        <v>535</v>
      </c>
      <c r="D108" s="467" t="s">
        <v>1727</v>
      </c>
      <c r="E108" s="466" t="s">
        <v>1736</v>
      </c>
      <c r="F108" s="467" t="s">
        <v>1737</v>
      </c>
      <c r="G108" s="466" t="s">
        <v>1295</v>
      </c>
      <c r="H108" s="466" t="s">
        <v>1296</v>
      </c>
      <c r="I108" s="468">
        <v>1776.69</v>
      </c>
      <c r="J108" s="468">
        <v>1</v>
      </c>
      <c r="K108" s="469">
        <v>1776.69</v>
      </c>
    </row>
    <row r="109" spans="1:11" ht="14.4" customHeight="1" x14ac:dyDescent="0.3">
      <c r="A109" s="464" t="s">
        <v>529</v>
      </c>
      <c r="B109" s="465" t="s">
        <v>690</v>
      </c>
      <c r="C109" s="466" t="s">
        <v>535</v>
      </c>
      <c r="D109" s="467" t="s">
        <v>1727</v>
      </c>
      <c r="E109" s="466" t="s">
        <v>1736</v>
      </c>
      <c r="F109" s="467" t="s">
        <v>1737</v>
      </c>
      <c r="G109" s="466" t="s">
        <v>1295</v>
      </c>
      <c r="H109" s="466" t="s">
        <v>1297</v>
      </c>
      <c r="I109" s="468">
        <v>1776.74</v>
      </c>
      <c r="J109" s="468">
        <v>1</v>
      </c>
      <c r="K109" s="469">
        <v>1776.74</v>
      </c>
    </row>
    <row r="110" spans="1:11" ht="14.4" customHeight="1" x14ac:dyDescent="0.3">
      <c r="A110" s="464" t="s">
        <v>529</v>
      </c>
      <c r="B110" s="465" t="s">
        <v>690</v>
      </c>
      <c r="C110" s="466" t="s">
        <v>535</v>
      </c>
      <c r="D110" s="467" t="s">
        <v>1727</v>
      </c>
      <c r="E110" s="466" t="s">
        <v>1736</v>
      </c>
      <c r="F110" s="467" t="s">
        <v>1737</v>
      </c>
      <c r="G110" s="466" t="s">
        <v>1298</v>
      </c>
      <c r="H110" s="466" t="s">
        <v>1299</v>
      </c>
      <c r="I110" s="468">
        <v>5520</v>
      </c>
      <c r="J110" s="468">
        <v>1</v>
      </c>
      <c r="K110" s="469">
        <v>5520</v>
      </c>
    </row>
    <row r="111" spans="1:11" ht="14.4" customHeight="1" x14ac:dyDescent="0.3">
      <c r="A111" s="464" t="s">
        <v>529</v>
      </c>
      <c r="B111" s="465" t="s">
        <v>690</v>
      </c>
      <c r="C111" s="466" t="s">
        <v>535</v>
      </c>
      <c r="D111" s="467" t="s">
        <v>1727</v>
      </c>
      <c r="E111" s="466" t="s">
        <v>1736</v>
      </c>
      <c r="F111" s="467" t="s">
        <v>1737</v>
      </c>
      <c r="G111" s="466" t="s">
        <v>1300</v>
      </c>
      <c r="H111" s="466" t="s">
        <v>1301</v>
      </c>
      <c r="I111" s="468">
        <v>2035.5</v>
      </c>
      <c r="J111" s="468">
        <v>2</v>
      </c>
      <c r="K111" s="469">
        <v>4071</v>
      </c>
    </row>
    <row r="112" spans="1:11" ht="14.4" customHeight="1" x14ac:dyDescent="0.3">
      <c r="A112" s="464" t="s">
        <v>529</v>
      </c>
      <c r="B112" s="465" t="s">
        <v>690</v>
      </c>
      <c r="C112" s="466" t="s">
        <v>535</v>
      </c>
      <c r="D112" s="467" t="s">
        <v>1727</v>
      </c>
      <c r="E112" s="466" t="s">
        <v>1736</v>
      </c>
      <c r="F112" s="467" t="s">
        <v>1737</v>
      </c>
      <c r="G112" s="466" t="s">
        <v>1302</v>
      </c>
      <c r="H112" s="466" t="s">
        <v>1303</v>
      </c>
      <c r="I112" s="468">
        <v>1412</v>
      </c>
      <c r="J112" s="468">
        <v>1</v>
      </c>
      <c r="K112" s="469">
        <v>1412</v>
      </c>
    </row>
    <row r="113" spans="1:11" ht="14.4" customHeight="1" x14ac:dyDescent="0.3">
      <c r="A113" s="464" t="s">
        <v>529</v>
      </c>
      <c r="B113" s="465" t="s">
        <v>690</v>
      </c>
      <c r="C113" s="466" t="s">
        <v>535</v>
      </c>
      <c r="D113" s="467" t="s">
        <v>1727</v>
      </c>
      <c r="E113" s="466" t="s">
        <v>1736</v>
      </c>
      <c r="F113" s="467" t="s">
        <v>1737</v>
      </c>
      <c r="G113" s="466" t="s">
        <v>1304</v>
      </c>
      <c r="H113" s="466" t="s">
        <v>1305</v>
      </c>
      <c r="I113" s="468">
        <v>1876.8</v>
      </c>
      <c r="J113" s="468">
        <v>1</v>
      </c>
      <c r="K113" s="469">
        <v>1876.8</v>
      </c>
    </row>
    <row r="114" spans="1:11" ht="14.4" customHeight="1" x14ac:dyDescent="0.3">
      <c r="A114" s="464" t="s">
        <v>529</v>
      </c>
      <c r="B114" s="465" t="s">
        <v>690</v>
      </c>
      <c r="C114" s="466" t="s">
        <v>535</v>
      </c>
      <c r="D114" s="467" t="s">
        <v>1727</v>
      </c>
      <c r="E114" s="466" t="s">
        <v>1736</v>
      </c>
      <c r="F114" s="467" t="s">
        <v>1737</v>
      </c>
      <c r="G114" s="466" t="s">
        <v>1306</v>
      </c>
      <c r="H114" s="466" t="s">
        <v>1307</v>
      </c>
      <c r="I114" s="468">
        <v>5252.833333333333</v>
      </c>
      <c r="J114" s="468">
        <v>4</v>
      </c>
      <c r="K114" s="469">
        <v>21137.14</v>
      </c>
    </row>
    <row r="115" spans="1:11" ht="14.4" customHeight="1" x14ac:dyDescent="0.3">
      <c r="A115" s="464" t="s">
        <v>529</v>
      </c>
      <c r="B115" s="465" t="s">
        <v>690</v>
      </c>
      <c r="C115" s="466" t="s">
        <v>535</v>
      </c>
      <c r="D115" s="467" t="s">
        <v>1727</v>
      </c>
      <c r="E115" s="466" t="s">
        <v>1736</v>
      </c>
      <c r="F115" s="467" t="s">
        <v>1737</v>
      </c>
      <c r="G115" s="466" t="s">
        <v>1308</v>
      </c>
      <c r="H115" s="466" t="s">
        <v>1309</v>
      </c>
      <c r="I115" s="468">
        <v>8769.7000000000007</v>
      </c>
      <c r="J115" s="468">
        <v>5</v>
      </c>
      <c r="K115" s="469">
        <v>44005.100000000006</v>
      </c>
    </row>
    <row r="116" spans="1:11" ht="14.4" customHeight="1" x14ac:dyDescent="0.3">
      <c r="A116" s="464" t="s">
        <v>529</v>
      </c>
      <c r="B116" s="465" t="s">
        <v>690</v>
      </c>
      <c r="C116" s="466" t="s">
        <v>535</v>
      </c>
      <c r="D116" s="467" t="s">
        <v>1727</v>
      </c>
      <c r="E116" s="466" t="s">
        <v>1736</v>
      </c>
      <c r="F116" s="467" t="s">
        <v>1737</v>
      </c>
      <c r="G116" s="466" t="s">
        <v>1310</v>
      </c>
      <c r="H116" s="466" t="s">
        <v>1311</v>
      </c>
      <c r="I116" s="468">
        <v>1776.74</v>
      </c>
      <c r="J116" s="468">
        <v>1</v>
      </c>
      <c r="K116" s="469">
        <v>1776.74</v>
      </c>
    </row>
    <row r="117" spans="1:11" ht="14.4" customHeight="1" x14ac:dyDescent="0.3">
      <c r="A117" s="464" t="s">
        <v>529</v>
      </c>
      <c r="B117" s="465" t="s">
        <v>690</v>
      </c>
      <c r="C117" s="466" t="s">
        <v>535</v>
      </c>
      <c r="D117" s="467" t="s">
        <v>1727</v>
      </c>
      <c r="E117" s="466" t="s">
        <v>1736</v>
      </c>
      <c r="F117" s="467" t="s">
        <v>1737</v>
      </c>
      <c r="G117" s="466" t="s">
        <v>1312</v>
      </c>
      <c r="H117" s="466" t="s">
        <v>1313</v>
      </c>
      <c r="I117" s="468">
        <v>2035.24</v>
      </c>
      <c r="J117" s="468">
        <v>1</v>
      </c>
      <c r="K117" s="469">
        <v>2035.24</v>
      </c>
    </row>
    <row r="118" spans="1:11" ht="14.4" customHeight="1" x14ac:dyDescent="0.3">
      <c r="A118" s="464" t="s">
        <v>529</v>
      </c>
      <c r="B118" s="465" t="s">
        <v>690</v>
      </c>
      <c r="C118" s="466" t="s">
        <v>535</v>
      </c>
      <c r="D118" s="467" t="s">
        <v>1727</v>
      </c>
      <c r="E118" s="466" t="s">
        <v>1736</v>
      </c>
      <c r="F118" s="467" t="s">
        <v>1737</v>
      </c>
      <c r="G118" s="466" t="s">
        <v>1314</v>
      </c>
      <c r="H118" s="466" t="s">
        <v>1315</v>
      </c>
      <c r="I118" s="468">
        <v>1869.89</v>
      </c>
      <c r="J118" s="468">
        <v>1</v>
      </c>
      <c r="K118" s="469">
        <v>1869.89</v>
      </c>
    </row>
    <row r="119" spans="1:11" ht="14.4" customHeight="1" x14ac:dyDescent="0.3">
      <c r="A119" s="464" t="s">
        <v>529</v>
      </c>
      <c r="B119" s="465" t="s">
        <v>690</v>
      </c>
      <c r="C119" s="466" t="s">
        <v>535</v>
      </c>
      <c r="D119" s="467" t="s">
        <v>1727</v>
      </c>
      <c r="E119" s="466" t="s">
        <v>1736</v>
      </c>
      <c r="F119" s="467" t="s">
        <v>1737</v>
      </c>
      <c r="G119" s="466" t="s">
        <v>1316</v>
      </c>
      <c r="H119" s="466" t="s">
        <v>1317</v>
      </c>
      <c r="I119" s="468">
        <v>349.60999999999996</v>
      </c>
      <c r="J119" s="468">
        <v>3</v>
      </c>
      <c r="K119" s="469">
        <v>1048.83</v>
      </c>
    </row>
    <row r="120" spans="1:11" ht="14.4" customHeight="1" x14ac:dyDescent="0.3">
      <c r="A120" s="464" t="s">
        <v>529</v>
      </c>
      <c r="B120" s="465" t="s">
        <v>690</v>
      </c>
      <c r="C120" s="466" t="s">
        <v>535</v>
      </c>
      <c r="D120" s="467" t="s">
        <v>1727</v>
      </c>
      <c r="E120" s="466" t="s">
        <v>1736</v>
      </c>
      <c r="F120" s="467" t="s">
        <v>1737</v>
      </c>
      <c r="G120" s="466" t="s">
        <v>1318</v>
      </c>
      <c r="H120" s="466" t="s">
        <v>1319</v>
      </c>
      <c r="I120" s="468">
        <v>1869.89</v>
      </c>
      <c r="J120" s="468">
        <v>1</v>
      </c>
      <c r="K120" s="469">
        <v>1869.89</v>
      </c>
    </row>
    <row r="121" spans="1:11" ht="14.4" customHeight="1" x14ac:dyDescent="0.3">
      <c r="A121" s="464" t="s">
        <v>529</v>
      </c>
      <c r="B121" s="465" t="s">
        <v>690</v>
      </c>
      <c r="C121" s="466" t="s">
        <v>535</v>
      </c>
      <c r="D121" s="467" t="s">
        <v>1727</v>
      </c>
      <c r="E121" s="466" t="s">
        <v>1736</v>
      </c>
      <c r="F121" s="467" t="s">
        <v>1737</v>
      </c>
      <c r="G121" s="466" t="s">
        <v>1320</v>
      </c>
      <c r="H121" s="466" t="s">
        <v>1321</v>
      </c>
      <c r="I121" s="468">
        <v>284.39499999999998</v>
      </c>
      <c r="J121" s="468">
        <v>6</v>
      </c>
      <c r="K121" s="469">
        <v>1706.17</v>
      </c>
    </row>
    <row r="122" spans="1:11" ht="14.4" customHeight="1" x14ac:dyDescent="0.3">
      <c r="A122" s="464" t="s">
        <v>529</v>
      </c>
      <c r="B122" s="465" t="s">
        <v>690</v>
      </c>
      <c r="C122" s="466" t="s">
        <v>535</v>
      </c>
      <c r="D122" s="467" t="s">
        <v>1727</v>
      </c>
      <c r="E122" s="466" t="s">
        <v>1736</v>
      </c>
      <c r="F122" s="467" t="s">
        <v>1737</v>
      </c>
      <c r="G122" s="466" t="s">
        <v>1322</v>
      </c>
      <c r="H122" s="466" t="s">
        <v>1313</v>
      </c>
      <c r="I122" s="468">
        <v>1354</v>
      </c>
      <c r="J122" s="468">
        <v>1</v>
      </c>
      <c r="K122" s="469">
        <v>1354</v>
      </c>
    </row>
    <row r="123" spans="1:11" ht="14.4" customHeight="1" x14ac:dyDescent="0.3">
      <c r="A123" s="464" t="s">
        <v>529</v>
      </c>
      <c r="B123" s="465" t="s">
        <v>690</v>
      </c>
      <c r="C123" s="466" t="s">
        <v>535</v>
      </c>
      <c r="D123" s="467" t="s">
        <v>1727</v>
      </c>
      <c r="E123" s="466" t="s">
        <v>1736</v>
      </c>
      <c r="F123" s="467" t="s">
        <v>1737</v>
      </c>
      <c r="G123" s="466" t="s">
        <v>1323</v>
      </c>
      <c r="H123" s="466" t="s">
        <v>1324</v>
      </c>
      <c r="I123" s="468">
        <v>198.86961111590972</v>
      </c>
      <c r="J123" s="468">
        <v>36</v>
      </c>
      <c r="K123" s="469">
        <v>7159.3060001727499</v>
      </c>
    </row>
    <row r="124" spans="1:11" ht="14.4" customHeight="1" x14ac:dyDescent="0.3">
      <c r="A124" s="464" t="s">
        <v>529</v>
      </c>
      <c r="B124" s="465" t="s">
        <v>690</v>
      </c>
      <c r="C124" s="466" t="s">
        <v>535</v>
      </c>
      <c r="D124" s="467" t="s">
        <v>1727</v>
      </c>
      <c r="E124" s="466" t="s">
        <v>1736</v>
      </c>
      <c r="F124" s="467" t="s">
        <v>1737</v>
      </c>
      <c r="G124" s="466" t="s">
        <v>1325</v>
      </c>
      <c r="H124" s="466" t="s">
        <v>1326</v>
      </c>
      <c r="I124" s="468">
        <v>1254.53</v>
      </c>
      <c r="J124" s="468">
        <v>12</v>
      </c>
      <c r="K124" s="469">
        <v>15054.34</v>
      </c>
    </row>
    <row r="125" spans="1:11" ht="14.4" customHeight="1" x14ac:dyDescent="0.3">
      <c r="A125" s="464" t="s">
        <v>529</v>
      </c>
      <c r="B125" s="465" t="s">
        <v>690</v>
      </c>
      <c r="C125" s="466" t="s">
        <v>535</v>
      </c>
      <c r="D125" s="467" t="s">
        <v>1727</v>
      </c>
      <c r="E125" s="466" t="s">
        <v>1736</v>
      </c>
      <c r="F125" s="467" t="s">
        <v>1737</v>
      </c>
      <c r="G125" s="466" t="s">
        <v>1327</v>
      </c>
      <c r="H125" s="466" t="s">
        <v>1328</v>
      </c>
      <c r="I125" s="468">
        <v>793.5</v>
      </c>
      <c r="J125" s="468">
        <v>1</v>
      </c>
      <c r="K125" s="469">
        <v>793.5</v>
      </c>
    </row>
    <row r="126" spans="1:11" ht="14.4" customHeight="1" x14ac:dyDescent="0.3">
      <c r="A126" s="464" t="s">
        <v>529</v>
      </c>
      <c r="B126" s="465" t="s">
        <v>690</v>
      </c>
      <c r="C126" s="466" t="s">
        <v>535</v>
      </c>
      <c r="D126" s="467" t="s">
        <v>1727</v>
      </c>
      <c r="E126" s="466" t="s">
        <v>1736</v>
      </c>
      <c r="F126" s="467" t="s">
        <v>1737</v>
      </c>
      <c r="G126" s="466" t="s">
        <v>1329</v>
      </c>
      <c r="H126" s="466" t="s">
        <v>1330</v>
      </c>
      <c r="I126" s="468">
        <v>1888.95</v>
      </c>
      <c r="J126" s="468">
        <v>1</v>
      </c>
      <c r="K126" s="469">
        <v>1888.95</v>
      </c>
    </row>
    <row r="127" spans="1:11" ht="14.4" customHeight="1" x14ac:dyDescent="0.3">
      <c r="A127" s="464" t="s">
        <v>529</v>
      </c>
      <c r="B127" s="465" t="s">
        <v>690</v>
      </c>
      <c r="C127" s="466" t="s">
        <v>535</v>
      </c>
      <c r="D127" s="467" t="s">
        <v>1727</v>
      </c>
      <c r="E127" s="466" t="s">
        <v>1736</v>
      </c>
      <c r="F127" s="467" t="s">
        <v>1737</v>
      </c>
      <c r="G127" s="466" t="s">
        <v>1331</v>
      </c>
      <c r="H127" s="466" t="s">
        <v>1332</v>
      </c>
      <c r="I127" s="468">
        <v>3550.68</v>
      </c>
      <c r="J127" s="468">
        <v>1</v>
      </c>
      <c r="K127" s="469">
        <v>3550.68</v>
      </c>
    </row>
    <row r="128" spans="1:11" ht="14.4" customHeight="1" x14ac:dyDescent="0.3">
      <c r="A128" s="464" t="s">
        <v>529</v>
      </c>
      <c r="B128" s="465" t="s">
        <v>690</v>
      </c>
      <c r="C128" s="466" t="s">
        <v>535</v>
      </c>
      <c r="D128" s="467" t="s">
        <v>1727</v>
      </c>
      <c r="E128" s="466" t="s">
        <v>1736</v>
      </c>
      <c r="F128" s="467" t="s">
        <v>1737</v>
      </c>
      <c r="G128" s="466" t="s">
        <v>1333</v>
      </c>
      <c r="H128" s="466" t="s">
        <v>1334</v>
      </c>
      <c r="I128" s="468">
        <v>2045.19</v>
      </c>
      <c r="J128" s="468">
        <v>1</v>
      </c>
      <c r="K128" s="469">
        <v>2045.19</v>
      </c>
    </row>
    <row r="129" spans="1:11" ht="14.4" customHeight="1" x14ac:dyDescent="0.3">
      <c r="A129" s="464" t="s">
        <v>529</v>
      </c>
      <c r="B129" s="465" t="s">
        <v>690</v>
      </c>
      <c r="C129" s="466" t="s">
        <v>535</v>
      </c>
      <c r="D129" s="467" t="s">
        <v>1727</v>
      </c>
      <c r="E129" s="466" t="s">
        <v>1736</v>
      </c>
      <c r="F129" s="467" t="s">
        <v>1737</v>
      </c>
      <c r="G129" s="466" t="s">
        <v>1335</v>
      </c>
      <c r="H129" s="466" t="s">
        <v>1336</v>
      </c>
      <c r="I129" s="468">
        <v>2002.57</v>
      </c>
      <c r="J129" s="468">
        <v>1</v>
      </c>
      <c r="K129" s="469">
        <v>2002.57</v>
      </c>
    </row>
    <row r="130" spans="1:11" ht="14.4" customHeight="1" x14ac:dyDescent="0.3">
      <c r="A130" s="464" t="s">
        <v>529</v>
      </c>
      <c r="B130" s="465" t="s">
        <v>690</v>
      </c>
      <c r="C130" s="466" t="s">
        <v>535</v>
      </c>
      <c r="D130" s="467" t="s">
        <v>1727</v>
      </c>
      <c r="E130" s="466" t="s">
        <v>1736</v>
      </c>
      <c r="F130" s="467" t="s">
        <v>1737</v>
      </c>
      <c r="G130" s="466" t="s">
        <v>1337</v>
      </c>
      <c r="H130" s="466" t="s">
        <v>1338</v>
      </c>
      <c r="I130" s="468">
        <v>3322.56</v>
      </c>
      <c r="J130" s="468">
        <v>1</v>
      </c>
      <c r="K130" s="469">
        <v>3322.56</v>
      </c>
    </row>
    <row r="131" spans="1:11" ht="14.4" customHeight="1" x14ac:dyDescent="0.3">
      <c r="A131" s="464" t="s">
        <v>529</v>
      </c>
      <c r="B131" s="465" t="s">
        <v>690</v>
      </c>
      <c r="C131" s="466" t="s">
        <v>535</v>
      </c>
      <c r="D131" s="467" t="s">
        <v>1727</v>
      </c>
      <c r="E131" s="466" t="s">
        <v>1736</v>
      </c>
      <c r="F131" s="467" t="s">
        <v>1737</v>
      </c>
      <c r="G131" s="466" t="s">
        <v>1339</v>
      </c>
      <c r="H131" s="466" t="s">
        <v>1330</v>
      </c>
      <c r="I131" s="468">
        <v>1888.95</v>
      </c>
      <c r="J131" s="468">
        <v>1</v>
      </c>
      <c r="K131" s="469">
        <v>1888.95</v>
      </c>
    </row>
    <row r="132" spans="1:11" ht="14.4" customHeight="1" x14ac:dyDescent="0.3">
      <c r="A132" s="464" t="s">
        <v>529</v>
      </c>
      <c r="B132" s="465" t="s">
        <v>690</v>
      </c>
      <c r="C132" s="466" t="s">
        <v>535</v>
      </c>
      <c r="D132" s="467" t="s">
        <v>1727</v>
      </c>
      <c r="E132" s="466" t="s">
        <v>1736</v>
      </c>
      <c r="F132" s="467" t="s">
        <v>1737</v>
      </c>
      <c r="G132" s="466" t="s">
        <v>1340</v>
      </c>
      <c r="H132" s="466" t="s">
        <v>1341</v>
      </c>
      <c r="I132" s="468">
        <v>2045.19</v>
      </c>
      <c r="J132" s="468">
        <v>1</v>
      </c>
      <c r="K132" s="469">
        <v>2045.19</v>
      </c>
    </row>
    <row r="133" spans="1:11" ht="14.4" customHeight="1" x14ac:dyDescent="0.3">
      <c r="A133" s="464" t="s">
        <v>529</v>
      </c>
      <c r="B133" s="465" t="s">
        <v>690</v>
      </c>
      <c r="C133" s="466" t="s">
        <v>535</v>
      </c>
      <c r="D133" s="467" t="s">
        <v>1727</v>
      </c>
      <c r="E133" s="466" t="s">
        <v>1736</v>
      </c>
      <c r="F133" s="467" t="s">
        <v>1737</v>
      </c>
      <c r="G133" s="466" t="s">
        <v>1342</v>
      </c>
      <c r="H133" s="466" t="s">
        <v>1343</v>
      </c>
      <c r="I133" s="468">
        <v>6036.12</v>
      </c>
      <c r="J133" s="468">
        <v>1</v>
      </c>
      <c r="K133" s="469">
        <v>6036.12</v>
      </c>
    </row>
    <row r="134" spans="1:11" ht="14.4" customHeight="1" x14ac:dyDescent="0.3">
      <c r="A134" s="464" t="s">
        <v>529</v>
      </c>
      <c r="B134" s="465" t="s">
        <v>690</v>
      </c>
      <c r="C134" s="466" t="s">
        <v>535</v>
      </c>
      <c r="D134" s="467" t="s">
        <v>1727</v>
      </c>
      <c r="E134" s="466" t="s">
        <v>1736</v>
      </c>
      <c r="F134" s="467" t="s">
        <v>1737</v>
      </c>
      <c r="G134" s="466" t="s">
        <v>1344</v>
      </c>
      <c r="H134" s="466" t="s">
        <v>1345</v>
      </c>
      <c r="I134" s="468">
        <v>3550.67</v>
      </c>
      <c r="J134" s="468">
        <v>1</v>
      </c>
      <c r="K134" s="469">
        <v>3550.67</v>
      </c>
    </row>
    <row r="135" spans="1:11" ht="14.4" customHeight="1" x14ac:dyDescent="0.3">
      <c r="A135" s="464" t="s">
        <v>529</v>
      </c>
      <c r="B135" s="465" t="s">
        <v>690</v>
      </c>
      <c r="C135" s="466" t="s">
        <v>535</v>
      </c>
      <c r="D135" s="467" t="s">
        <v>1727</v>
      </c>
      <c r="E135" s="466" t="s">
        <v>1736</v>
      </c>
      <c r="F135" s="467" t="s">
        <v>1737</v>
      </c>
      <c r="G135" s="466" t="s">
        <v>1346</v>
      </c>
      <c r="H135" s="466" t="s">
        <v>1347</v>
      </c>
      <c r="I135" s="468">
        <v>2627.5</v>
      </c>
      <c r="J135" s="468">
        <v>1</v>
      </c>
      <c r="K135" s="469">
        <v>2627.5</v>
      </c>
    </row>
    <row r="136" spans="1:11" ht="14.4" customHeight="1" x14ac:dyDescent="0.3">
      <c r="A136" s="464" t="s">
        <v>529</v>
      </c>
      <c r="B136" s="465" t="s">
        <v>690</v>
      </c>
      <c r="C136" s="466" t="s">
        <v>535</v>
      </c>
      <c r="D136" s="467" t="s">
        <v>1727</v>
      </c>
      <c r="E136" s="466" t="s">
        <v>1736</v>
      </c>
      <c r="F136" s="467" t="s">
        <v>1737</v>
      </c>
      <c r="G136" s="466" t="s">
        <v>1348</v>
      </c>
      <c r="H136" s="466" t="s">
        <v>1349</v>
      </c>
      <c r="I136" s="468">
        <v>1988.36</v>
      </c>
      <c r="J136" s="468">
        <v>1</v>
      </c>
      <c r="K136" s="469">
        <v>1988.36</v>
      </c>
    </row>
    <row r="137" spans="1:11" ht="14.4" customHeight="1" x14ac:dyDescent="0.3">
      <c r="A137" s="464" t="s">
        <v>529</v>
      </c>
      <c r="B137" s="465" t="s">
        <v>690</v>
      </c>
      <c r="C137" s="466" t="s">
        <v>535</v>
      </c>
      <c r="D137" s="467" t="s">
        <v>1727</v>
      </c>
      <c r="E137" s="466" t="s">
        <v>1736</v>
      </c>
      <c r="F137" s="467" t="s">
        <v>1737</v>
      </c>
      <c r="G137" s="466" t="s">
        <v>1350</v>
      </c>
      <c r="H137" s="466" t="s">
        <v>1351</v>
      </c>
      <c r="I137" s="468">
        <v>229.58639999999991</v>
      </c>
      <c r="J137" s="468">
        <v>25</v>
      </c>
      <c r="K137" s="469">
        <v>5739.659999999998</v>
      </c>
    </row>
    <row r="138" spans="1:11" ht="14.4" customHeight="1" x14ac:dyDescent="0.3">
      <c r="A138" s="464" t="s">
        <v>529</v>
      </c>
      <c r="B138" s="465" t="s">
        <v>690</v>
      </c>
      <c r="C138" s="466" t="s">
        <v>540</v>
      </c>
      <c r="D138" s="467" t="s">
        <v>691</v>
      </c>
      <c r="E138" s="466" t="s">
        <v>1728</v>
      </c>
      <c r="F138" s="467" t="s">
        <v>1729</v>
      </c>
      <c r="G138" s="466" t="s">
        <v>1352</v>
      </c>
      <c r="H138" s="466" t="s">
        <v>1353</v>
      </c>
      <c r="I138" s="468">
        <v>42.444705882352949</v>
      </c>
      <c r="J138" s="468">
        <v>3823</v>
      </c>
      <c r="K138" s="469">
        <v>162262.6</v>
      </c>
    </row>
    <row r="139" spans="1:11" ht="14.4" customHeight="1" x14ac:dyDescent="0.3">
      <c r="A139" s="464" t="s">
        <v>529</v>
      </c>
      <c r="B139" s="465" t="s">
        <v>690</v>
      </c>
      <c r="C139" s="466" t="s">
        <v>540</v>
      </c>
      <c r="D139" s="467" t="s">
        <v>691</v>
      </c>
      <c r="E139" s="466" t="s">
        <v>1728</v>
      </c>
      <c r="F139" s="467" t="s">
        <v>1729</v>
      </c>
      <c r="G139" s="466" t="s">
        <v>1354</v>
      </c>
      <c r="H139" s="466" t="s">
        <v>1355</v>
      </c>
      <c r="I139" s="468">
        <v>4.3019999999999987</v>
      </c>
      <c r="J139" s="468">
        <v>1008</v>
      </c>
      <c r="K139" s="469">
        <v>4335.76</v>
      </c>
    </row>
    <row r="140" spans="1:11" ht="14.4" customHeight="1" x14ac:dyDescent="0.3">
      <c r="A140" s="464" t="s">
        <v>529</v>
      </c>
      <c r="B140" s="465" t="s">
        <v>690</v>
      </c>
      <c r="C140" s="466" t="s">
        <v>540</v>
      </c>
      <c r="D140" s="467" t="s">
        <v>691</v>
      </c>
      <c r="E140" s="466" t="s">
        <v>1728</v>
      </c>
      <c r="F140" s="467" t="s">
        <v>1729</v>
      </c>
      <c r="G140" s="466" t="s">
        <v>1356</v>
      </c>
      <c r="H140" s="466" t="s">
        <v>1357</v>
      </c>
      <c r="I140" s="468">
        <v>65.305714285714288</v>
      </c>
      <c r="J140" s="468">
        <v>90</v>
      </c>
      <c r="K140" s="469">
        <v>5754.7700000000013</v>
      </c>
    </row>
    <row r="141" spans="1:11" ht="14.4" customHeight="1" x14ac:dyDescent="0.3">
      <c r="A141" s="464" t="s">
        <v>529</v>
      </c>
      <c r="B141" s="465" t="s">
        <v>690</v>
      </c>
      <c r="C141" s="466" t="s">
        <v>540</v>
      </c>
      <c r="D141" s="467" t="s">
        <v>691</v>
      </c>
      <c r="E141" s="466" t="s">
        <v>1728</v>
      </c>
      <c r="F141" s="467" t="s">
        <v>1729</v>
      </c>
      <c r="G141" s="466" t="s">
        <v>1358</v>
      </c>
      <c r="H141" s="466" t="s">
        <v>1359</v>
      </c>
      <c r="I141" s="468">
        <v>0.4022222222222222</v>
      </c>
      <c r="J141" s="468">
        <v>38000</v>
      </c>
      <c r="K141" s="469">
        <v>15300</v>
      </c>
    </row>
    <row r="142" spans="1:11" ht="14.4" customHeight="1" x14ac:dyDescent="0.3">
      <c r="A142" s="464" t="s">
        <v>529</v>
      </c>
      <c r="B142" s="465" t="s">
        <v>690</v>
      </c>
      <c r="C142" s="466" t="s">
        <v>540</v>
      </c>
      <c r="D142" s="467" t="s">
        <v>691</v>
      </c>
      <c r="E142" s="466" t="s">
        <v>1728</v>
      </c>
      <c r="F142" s="467" t="s">
        <v>1729</v>
      </c>
      <c r="G142" s="466" t="s">
        <v>1098</v>
      </c>
      <c r="H142" s="466" t="s">
        <v>1099</v>
      </c>
      <c r="I142" s="468">
        <v>27.536250000000003</v>
      </c>
      <c r="J142" s="468">
        <v>54</v>
      </c>
      <c r="K142" s="469">
        <v>1484.5</v>
      </c>
    </row>
    <row r="143" spans="1:11" ht="14.4" customHeight="1" x14ac:dyDescent="0.3">
      <c r="A143" s="464" t="s">
        <v>529</v>
      </c>
      <c r="B143" s="465" t="s">
        <v>690</v>
      </c>
      <c r="C143" s="466" t="s">
        <v>540</v>
      </c>
      <c r="D143" s="467" t="s">
        <v>691</v>
      </c>
      <c r="E143" s="466" t="s">
        <v>1728</v>
      </c>
      <c r="F143" s="467" t="s">
        <v>1729</v>
      </c>
      <c r="G143" s="466" t="s">
        <v>1360</v>
      </c>
      <c r="H143" s="466" t="s">
        <v>1361</v>
      </c>
      <c r="I143" s="468">
        <v>1.4233333333333331</v>
      </c>
      <c r="J143" s="468">
        <v>2400</v>
      </c>
      <c r="K143" s="469">
        <v>3416</v>
      </c>
    </row>
    <row r="144" spans="1:11" ht="14.4" customHeight="1" x14ac:dyDescent="0.3">
      <c r="A144" s="464" t="s">
        <v>529</v>
      </c>
      <c r="B144" s="465" t="s">
        <v>690</v>
      </c>
      <c r="C144" s="466" t="s">
        <v>540</v>
      </c>
      <c r="D144" s="467" t="s">
        <v>691</v>
      </c>
      <c r="E144" s="466" t="s">
        <v>1728</v>
      </c>
      <c r="F144" s="467" t="s">
        <v>1729</v>
      </c>
      <c r="G144" s="466" t="s">
        <v>1360</v>
      </c>
      <c r="H144" s="466" t="s">
        <v>1362</v>
      </c>
      <c r="I144" s="468">
        <v>1.42</v>
      </c>
      <c r="J144" s="468">
        <v>1000</v>
      </c>
      <c r="K144" s="469">
        <v>1420</v>
      </c>
    </row>
    <row r="145" spans="1:11" ht="14.4" customHeight="1" x14ac:dyDescent="0.3">
      <c r="A145" s="464" t="s">
        <v>529</v>
      </c>
      <c r="B145" s="465" t="s">
        <v>690</v>
      </c>
      <c r="C145" s="466" t="s">
        <v>540</v>
      </c>
      <c r="D145" s="467" t="s">
        <v>691</v>
      </c>
      <c r="E145" s="466" t="s">
        <v>1728</v>
      </c>
      <c r="F145" s="467" t="s">
        <v>1729</v>
      </c>
      <c r="G145" s="466" t="s">
        <v>1363</v>
      </c>
      <c r="H145" s="466" t="s">
        <v>1364</v>
      </c>
      <c r="I145" s="468">
        <v>1.147777777777778</v>
      </c>
      <c r="J145" s="468">
        <v>30000</v>
      </c>
      <c r="K145" s="469">
        <v>34348.1</v>
      </c>
    </row>
    <row r="146" spans="1:11" ht="14.4" customHeight="1" x14ac:dyDescent="0.3">
      <c r="A146" s="464" t="s">
        <v>529</v>
      </c>
      <c r="B146" s="465" t="s">
        <v>690</v>
      </c>
      <c r="C146" s="466" t="s">
        <v>540</v>
      </c>
      <c r="D146" s="467" t="s">
        <v>691</v>
      </c>
      <c r="E146" s="466" t="s">
        <v>1728</v>
      </c>
      <c r="F146" s="467" t="s">
        <v>1729</v>
      </c>
      <c r="G146" s="466" t="s">
        <v>1365</v>
      </c>
      <c r="H146" s="466" t="s">
        <v>1366</v>
      </c>
      <c r="I146" s="468">
        <v>8.58</v>
      </c>
      <c r="J146" s="468">
        <v>62</v>
      </c>
      <c r="K146" s="469">
        <v>531.95999999999992</v>
      </c>
    </row>
    <row r="147" spans="1:11" ht="14.4" customHeight="1" x14ac:dyDescent="0.3">
      <c r="A147" s="464" t="s">
        <v>529</v>
      </c>
      <c r="B147" s="465" t="s">
        <v>690</v>
      </c>
      <c r="C147" s="466" t="s">
        <v>540</v>
      </c>
      <c r="D147" s="467" t="s">
        <v>691</v>
      </c>
      <c r="E147" s="466" t="s">
        <v>1728</v>
      </c>
      <c r="F147" s="467" t="s">
        <v>1729</v>
      </c>
      <c r="G147" s="466" t="s">
        <v>1102</v>
      </c>
      <c r="H147" s="466" t="s">
        <v>1367</v>
      </c>
      <c r="I147" s="468">
        <v>13.02</v>
      </c>
      <c r="J147" s="468">
        <v>5</v>
      </c>
      <c r="K147" s="469">
        <v>65.099999999999994</v>
      </c>
    </row>
    <row r="148" spans="1:11" ht="14.4" customHeight="1" x14ac:dyDescent="0.3">
      <c r="A148" s="464" t="s">
        <v>529</v>
      </c>
      <c r="B148" s="465" t="s">
        <v>690</v>
      </c>
      <c r="C148" s="466" t="s">
        <v>540</v>
      </c>
      <c r="D148" s="467" t="s">
        <v>691</v>
      </c>
      <c r="E148" s="466" t="s">
        <v>1728</v>
      </c>
      <c r="F148" s="467" t="s">
        <v>1729</v>
      </c>
      <c r="G148" s="466" t="s">
        <v>1102</v>
      </c>
      <c r="H148" s="466" t="s">
        <v>1103</v>
      </c>
      <c r="I148" s="468">
        <v>13.01</v>
      </c>
      <c r="J148" s="468">
        <v>5</v>
      </c>
      <c r="K148" s="469">
        <v>65.05</v>
      </c>
    </row>
    <row r="149" spans="1:11" ht="14.4" customHeight="1" x14ac:dyDescent="0.3">
      <c r="A149" s="464" t="s">
        <v>529</v>
      </c>
      <c r="B149" s="465" t="s">
        <v>690</v>
      </c>
      <c r="C149" s="466" t="s">
        <v>540</v>
      </c>
      <c r="D149" s="467" t="s">
        <v>691</v>
      </c>
      <c r="E149" s="466" t="s">
        <v>1728</v>
      </c>
      <c r="F149" s="467" t="s">
        <v>1729</v>
      </c>
      <c r="G149" s="466" t="s">
        <v>1368</v>
      </c>
      <c r="H149" s="466" t="s">
        <v>1369</v>
      </c>
      <c r="I149" s="468">
        <v>0.84</v>
      </c>
      <c r="J149" s="468">
        <v>15000</v>
      </c>
      <c r="K149" s="469">
        <v>12631.8</v>
      </c>
    </row>
    <row r="150" spans="1:11" ht="14.4" customHeight="1" x14ac:dyDescent="0.3">
      <c r="A150" s="464" t="s">
        <v>529</v>
      </c>
      <c r="B150" s="465" t="s">
        <v>690</v>
      </c>
      <c r="C150" s="466" t="s">
        <v>540</v>
      </c>
      <c r="D150" s="467" t="s">
        <v>691</v>
      </c>
      <c r="E150" s="466" t="s">
        <v>1728</v>
      </c>
      <c r="F150" s="467" t="s">
        <v>1729</v>
      </c>
      <c r="G150" s="466" t="s">
        <v>1370</v>
      </c>
      <c r="H150" s="466" t="s">
        <v>1371</v>
      </c>
      <c r="I150" s="468">
        <v>98.379999999999981</v>
      </c>
      <c r="J150" s="468">
        <v>135</v>
      </c>
      <c r="K150" s="469">
        <v>13280.869999999999</v>
      </c>
    </row>
    <row r="151" spans="1:11" ht="14.4" customHeight="1" x14ac:dyDescent="0.3">
      <c r="A151" s="464" t="s">
        <v>529</v>
      </c>
      <c r="B151" s="465" t="s">
        <v>690</v>
      </c>
      <c r="C151" s="466" t="s">
        <v>540</v>
      </c>
      <c r="D151" s="467" t="s">
        <v>691</v>
      </c>
      <c r="E151" s="466" t="s">
        <v>1728</v>
      </c>
      <c r="F151" s="467" t="s">
        <v>1729</v>
      </c>
      <c r="G151" s="466" t="s">
        <v>1372</v>
      </c>
      <c r="H151" s="466" t="s">
        <v>1373</v>
      </c>
      <c r="I151" s="468">
        <v>0.3</v>
      </c>
      <c r="J151" s="468">
        <v>2500</v>
      </c>
      <c r="K151" s="469">
        <v>758.41</v>
      </c>
    </row>
    <row r="152" spans="1:11" ht="14.4" customHeight="1" x14ac:dyDescent="0.3">
      <c r="A152" s="464" t="s">
        <v>529</v>
      </c>
      <c r="B152" s="465" t="s">
        <v>690</v>
      </c>
      <c r="C152" s="466" t="s">
        <v>540</v>
      </c>
      <c r="D152" s="467" t="s">
        <v>691</v>
      </c>
      <c r="E152" s="466" t="s">
        <v>1728</v>
      </c>
      <c r="F152" s="467" t="s">
        <v>1729</v>
      </c>
      <c r="G152" s="466" t="s">
        <v>1374</v>
      </c>
      <c r="H152" s="466" t="s">
        <v>1375</v>
      </c>
      <c r="I152" s="468">
        <v>0.85</v>
      </c>
      <c r="J152" s="468">
        <v>20</v>
      </c>
      <c r="K152" s="469">
        <v>17</v>
      </c>
    </row>
    <row r="153" spans="1:11" ht="14.4" customHeight="1" x14ac:dyDescent="0.3">
      <c r="A153" s="464" t="s">
        <v>529</v>
      </c>
      <c r="B153" s="465" t="s">
        <v>690</v>
      </c>
      <c r="C153" s="466" t="s">
        <v>540</v>
      </c>
      <c r="D153" s="467" t="s">
        <v>691</v>
      </c>
      <c r="E153" s="466" t="s">
        <v>1728</v>
      </c>
      <c r="F153" s="467" t="s">
        <v>1729</v>
      </c>
      <c r="G153" s="466" t="s">
        <v>1112</v>
      </c>
      <c r="H153" s="466" t="s">
        <v>1113</v>
      </c>
      <c r="I153" s="468">
        <v>7.1</v>
      </c>
      <c r="J153" s="468">
        <v>1</v>
      </c>
      <c r="K153" s="469">
        <v>7.1</v>
      </c>
    </row>
    <row r="154" spans="1:11" ht="14.4" customHeight="1" x14ac:dyDescent="0.3">
      <c r="A154" s="464" t="s">
        <v>529</v>
      </c>
      <c r="B154" s="465" t="s">
        <v>690</v>
      </c>
      <c r="C154" s="466" t="s">
        <v>540</v>
      </c>
      <c r="D154" s="467" t="s">
        <v>691</v>
      </c>
      <c r="E154" s="466" t="s">
        <v>1728</v>
      </c>
      <c r="F154" s="467" t="s">
        <v>1729</v>
      </c>
      <c r="G154" s="466" t="s">
        <v>1114</v>
      </c>
      <c r="H154" s="466" t="s">
        <v>1115</v>
      </c>
      <c r="I154" s="468">
        <v>5.92</v>
      </c>
      <c r="J154" s="468">
        <v>1</v>
      </c>
      <c r="K154" s="469">
        <v>5.92</v>
      </c>
    </row>
    <row r="155" spans="1:11" ht="14.4" customHeight="1" x14ac:dyDescent="0.3">
      <c r="A155" s="464" t="s">
        <v>529</v>
      </c>
      <c r="B155" s="465" t="s">
        <v>690</v>
      </c>
      <c r="C155" s="466" t="s">
        <v>540</v>
      </c>
      <c r="D155" s="467" t="s">
        <v>691</v>
      </c>
      <c r="E155" s="466" t="s">
        <v>1728</v>
      </c>
      <c r="F155" s="467" t="s">
        <v>1729</v>
      </c>
      <c r="G155" s="466" t="s">
        <v>1376</v>
      </c>
      <c r="H155" s="466" t="s">
        <v>1377</v>
      </c>
      <c r="I155" s="468">
        <v>13.22</v>
      </c>
      <c r="J155" s="468">
        <v>20</v>
      </c>
      <c r="K155" s="469">
        <v>264.45</v>
      </c>
    </row>
    <row r="156" spans="1:11" ht="14.4" customHeight="1" x14ac:dyDescent="0.3">
      <c r="A156" s="464" t="s">
        <v>529</v>
      </c>
      <c r="B156" s="465" t="s">
        <v>690</v>
      </c>
      <c r="C156" s="466" t="s">
        <v>540</v>
      </c>
      <c r="D156" s="467" t="s">
        <v>691</v>
      </c>
      <c r="E156" s="466" t="s">
        <v>1730</v>
      </c>
      <c r="F156" s="467" t="s">
        <v>1731</v>
      </c>
      <c r="G156" s="466" t="s">
        <v>1378</v>
      </c>
      <c r="H156" s="466" t="s">
        <v>1379</v>
      </c>
      <c r="I156" s="468">
        <v>0.22</v>
      </c>
      <c r="J156" s="468">
        <v>1000</v>
      </c>
      <c r="K156" s="469">
        <v>220</v>
      </c>
    </row>
    <row r="157" spans="1:11" ht="14.4" customHeight="1" x14ac:dyDescent="0.3">
      <c r="A157" s="464" t="s">
        <v>529</v>
      </c>
      <c r="B157" s="465" t="s">
        <v>690</v>
      </c>
      <c r="C157" s="466" t="s">
        <v>540</v>
      </c>
      <c r="D157" s="467" t="s">
        <v>691</v>
      </c>
      <c r="E157" s="466" t="s">
        <v>1730</v>
      </c>
      <c r="F157" s="467" t="s">
        <v>1731</v>
      </c>
      <c r="G157" s="466" t="s">
        <v>1380</v>
      </c>
      <c r="H157" s="466" t="s">
        <v>1381</v>
      </c>
      <c r="I157" s="468">
        <v>0.93</v>
      </c>
      <c r="J157" s="468">
        <v>100</v>
      </c>
      <c r="K157" s="469">
        <v>93</v>
      </c>
    </row>
    <row r="158" spans="1:11" ht="14.4" customHeight="1" x14ac:dyDescent="0.3">
      <c r="A158" s="464" t="s">
        <v>529</v>
      </c>
      <c r="B158" s="465" t="s">
        <v>690</v>
      </c>
      <c r="C158" s="466" t="s">
        <v>540</v>
      </c>
      <c r="D158" s="467" t="s">
        <v>691</v>
      </c>
      <c r="E158" s="466" t="s">
        <v>1730</v>
      </c>
      <c r="F158" s="467" t="s">
        <v>1731</v>
      </c>
      <c r="G158" s="466" t="s">
        <v>1382</v>
      </c>
      <c r="H158" s="466" t="s">
        <v>1383</v>
      </c>
      <c r="I158" s="468">
        <v>0.63200000000000001</v>
      </c>
      <c r="J158" s="468">
        <v>1900</v>
      </c>
      <c r="K158" s="469">
        <v>1205</v>
      </c>
    </row>
    <row r="159" spans="1:11" ht="14.4" customHeight="1" x14ac:dyDescent="0.3">
      <c r="A159" s="464" t="s">
        <v>529</v>
      </c>
      <c r="B159" s="465" t="s">
        <v>690</v>
      </c>
      <c r="C159" s="466" t="s">
        <v>540</v>
      </c>
      <c r="D159" s="467" t="s">
        <v>691</v>
      </c>
      <c r="E159" s="466" t="s">
        <v>1730</v>
      </c>
      <c r="F159" s="467" t="s">
        <v>1731</v>
      </c>
      <c r="G159" s="466" t="s">
        <v>1120</v>
      </c>
      <c r="H159" s="466" t="s">
        <v>1121</v>
      </c>
      <c r="I159" s="468">
        <v>0.59333333333333327</v>
      </c>
      <c r="J159" s="468">
        <v>12000</v>
      </c>
      <c r="K159" s="469">
        <v>7108</v>
      </c>
    </row>
    <row r="160" spans="1:11" ht="14.4" customHeight="1" x14ac:dyDescent="0.3">
      <c r="A160" s="464" t="s">
        <v>529</v>
      </c>
      <c r="B160" s="465" t="s">
        <v>690</v>
      </c>
      <c r="C160" s="466" t="s">
        <v>540</v>
      </c>
      <c r="D160" s="467" t="s">
        <v>691</v>
      </c>
      <c r="E160" s="466" t="s">
        <v>1730</v>
      </c>
      <c r="F160" s="467" t="s">
        <v>1731</v>
      </c>
      <c r="G160" s="466" t="s">
        <v>1384</v>
      </c>
      <c r="H160" s="466" t="s">
        <v>1385</v>
      </c>
      <c r="I160" s="468">
        <v>1.8811111111111112</v>
      </c>
      <c r="J160" s="468">
        <v>14400</v>
      </c>
      <c r="K160" s="469">
        <v>26868</v>
      </c>
    </row>
    <row r="161" spans="1:11" ht="14.4" customHeight="1" x14ac:dyDescent="0.3">
      <c r="A161" s="464" t="s">
        <v>529</v>
      </c>
      <c r="B161" s="465" t="s">
        <v>690</v>
      </c>
      <c r="C161" s="466" t="s">
        <v>540</v>
      </c>
      <c r="D161" s="467" t="s">
        <v>691</v>
      </c>
      <c r="E161" s="466" t="s">
        <v>1730</v>
      </c>
      <c r="F161" s="467" t="s">
        <v>1731</v>
      </c>
      <c r="G161" s="466" t="s">
        <v>1386</v>
      </c>
      <c r="H161" s="466" t="s">
        <v>1387</v>
      </c>
      <c r="I161" s="468">
        <v>1.7992857142857146</v>
      </c>
      <c r="J161" s="468">
        <v>66500</v>
      </c>
      <c r="K161" s="469">
        <v>119628</v>
      </c>
    </row>
    <row r="162" spans="1:11" ht="14.4" customHeight="1" x14ac:dyDescent="0.3">
      <c r="A162" s="464" t="s">
        <v>529</v>
      </c>
      <c r="B162" s="465" t="s">
        <v>690</v>
      </c>
      <c r="C162" s="466" t="s">
        <v>540</v>
      </c>
      <c r="D162" s="467" t="s">
        <v>691</v>
      </c>
      <c r="E162" s="466" t="s">
        <v>1730</v>
      </c>
      <c r="F162" s="467" t="s">
        <v>1731</v>
      </c>
      <c r="G162" s="466" t="s">
        <v>1388</v>
      </c>
      <c r="H162" s="466" t="s">
        <v>1389</v>
      </c>
      <c r="I162" s="468">
        <v>1.915</v>
      </c>
      <c r="J162" s="468">
        <v>100</v>
      </c>
      <c r="K162" s="469">
        <v>191.5</v>
      </c>
    </row>
    <row r="163" spans="1:11" ht="14.4" customHeight="1" x14ac:dyDescent="0.3">
      <c r="A163" s="464" t="s">
        <v>529</v>
      </c>
      <c r="B163" s="465" t="s">
        <v>690</v>
      </c>
      <c r="C163" s="466" t="s">
        <v>540</v>
      </c>
      <c r="D163" s="467" t="s">
        <v>691</v>
      </c>
      <c r="E163" s="466" t="s">
        <v>1730</v>
      </c>
      <c r="F163" s="467" t="s">
        <v>1731</v>
      </c>
      <c r="G163" s="466" t="s">
        <v>1390</v>
      </c>
      <c r="H163" s="466" t="s">
        <v>1391</v>
      </c>
      <c r="I163" s="468">
        <v>2.99</v>
      </c>
      <c r="J163" s="468">
        <v>20</v>
      </c>
      <c r="K163" s="469">
        <v>59.8</v>
      </c>
    </row>
    <row r="164" spans="1:11" ht="14.4" customHeight="1" x14ac:dyDescent="0.3">
      <c r="A164" s="464" t="s">
        <v>529</v>
      </c>
      <c r="B164" s="465" t="s">
        <v>690</v>
      </c>
      <c r="C164" s="466" t="s">
        <v>540</v>
      </c>
      <c r="D164" s="467" t="s">
        <v>691</v>
      </c>
      <c r="E164" s="466" t="s">
        <v>1730</v>
      </c>
      <c r="F164" s="467" t="s">
        <v>1731</v>
      </c>
      <c r="G164" s="466" t="s">
        <v>1392</v>
      </c>
      <c r="H164" s="466" t="s">
        <v>1393</v>
      </c>
      <c r="I164" s="468">
        <v>1.7650000000000001</v>
      </c>
      <c r="J164" s="468">
        <v>1800</v>
      </c>
      <c r="K164" s="469">
        <v>3180</v>
      </c>
    </row>
    <row r="165" spans="1:11" ht="14.4" customHeight="1" x14ac:dyDescent="0.3">
      <c r="A165" s="464" t="s">
        <v>529</v>
      </c>
      <c r="B165" s="465" t="s">
        <v>690</v>
      </c>
      <c r="C165" s="466" t="s">
        <v>540</v>
      </c>
      <c r="D165" s="467" t="s">
        <v>691</v>
      </c>
      <c r="E165" s="466" t="s">
        <v>1730</v>
      </c>
      <c r="F165" s="467" t="s">
        <v>1731</v>
      </c>
      <c r="G165" s="466" t="s">
        <v>1394</v>
      </c>
      <c r="H165" s="466" t="s">
        <v>1395</v>
      </c>
      <c r="I165" s="468">
        <v>1.8418181818181816</v>
      </c>
      <c r="J165" s="468">
        <v>29300</v>
      </c>
      <c r="K165" s="469">
        <v>54187</v>
      </c>
    </row>
    <row r="166" spans="1:11" ht="14.4" customHeight="1" x14ac:dyDescent="0.3">
      <c r="A166" s="464" t="s">
        <v>529</v>
      </c>
      <c r="B166" s="465" t="s">
        <v>690</v>
      </c>
      <c r="C166" s="466" t="s">
        <v>540</v>
      </c>
      <c r="D166" s="467" t="s">
        <v>691</v>
      </c>
      <c r="E166" s="466" t="s">
        <v>1730</v>
      </c>
      <c r="F166" s="467" t="s">
        <v>1731</v>
      </c>
      <c r="G166" s="466" t="s">
        <v>1396</v>
      </c>
      <c r="H166" s="466" t="s">
        <v>1397</v>
      </c>
      <c r="I166" s="468">
        <v>1.0769230769230771E-2</v>
      </c>
      <c r="J166" s="468">
        <v>34800</v>
      </c>
      <c r="K166" s="469">
        <v>372</v>
      </c>
    </row>
    <row r="167" spans="1:11" ht="14.4" customHeight="1" x14ac:dyDescent="0.3">
      <c r="A167" s="464" t="s">
        <v>529</v>
      </c>
      <c r="B167" s="465" t="s">
        <v>690</v>
      </c>
      <c r="C167" s="466" t="s">
        <v>540</v>
      </c>
      <c r="D167" s="467" t="s">
        <v>691</v>
      </c>
      <c r="E167" s="466" t="s">
        <v>1730</v>
      </c>
      <c r="F167" s="467" t="s">
        <v>1731</v>
      </c>
      <c r="G167" s="466" t="s">
        <v>1398</v>
      </c>
      <c r="H167" s="466" t="s">
        <v>1399</v>
      </c>
      <c r="I167" s="468">
        <v>46.027500000000003</v>
      </c>
      <c r="J167" s="468">
        <v>1000</v>
      </c>
      <c r="K167" s="469">
        <v>46026.48</v>
      </c>
    </row>
    <row r="168" spans="1:11" ht="14.4" customHeight="1" x14ac:dyDescent="0.3">
      <c r="A168" s="464" t="s">
        <v>529</v>
      </c>
      <c r="B168" s="465" t="s">
        <v>690</v>
      </c>
      <c r="C168" s="466" t="s">
        <v>540</v>
      </c>
      <c r="D168" s="467" t="s">
        <v>691</v>
      </c>
      <c r="E168" s="466" t="s">
        <v>1730</v>
      </c>
      <c r="F168" s="467" t="s">
        <v>1731</v>
      </c>
      <c r="G168" s="466" t="s">
        <v>1400</v>
      </c>
      <c r="H168" s="466" t="s">
        <v>1401</v>
      </c>
      <c r="I168" s="468">
        <v>126.9225</v>
      </c>
      <c r="J168" s="468">
        <v>18</v>
      </c>
      <c r="K168" s="469">
        <v>2285.5</v>
      </c>
    </row>
    <row r="169" spans="1:11" ht="14.4" customHeight="1" x14ac:dyDescent="0.3">
      <c r="A169" s="464" t="s">
        <v>529</v>
      </c>
      <c r="B169" s="465" t="s">
        <v>690</v>
      </c>
      <c r="C169" s="466" t="s">
        <v>540</v>
      </c>
      <c r="D169" s="467" t="s">
        <v>691</v>
      </c>
      <c r="E169" s="466" t="s">
        <v>1730</v>
      </c>
      <c r="F169" s="467" t="s">
        <v>1731</v>
      </c>
      <c r="G169" s="466" t="s">
        <v>1402</v>
      </c>
      <c r="H169" s="466" t="s">
        <v>1403</v>
      </c>
      <c r="I169" s="468">
        <v>2.46</v>
      </c>
      <c r="J169" s="468">
        <v>600</v>
      </c>
      <c r="K169" s="469">
        <v>1476.6</v>
      </c>
    </row>
    <row r="170" spans="1:11" ht="14.4" customHeight="1" x14ac:dyDescent="0.3">
      <c r="A170" s="464" t="s">
        <v>529</v>
      </c>
      <c r="B170" s="465" t="s">
        <v>690</v>
      </c>
      <c r="C170" s="466" t="s">
        <v>540</v>
      </c>
      <c r="D170" s="467" t="s">
        <v>691</v>
      </c>
      <c r="E170" s="466" t="s">
        <v>1730</v>
      </c>
      <c r="F170" s="467" t="s">
        <v>1731</v>
      </c>
      <c r="G170" s="466" t="s">
        <v>1404</v>
      </c>
      <c r="H170" s="466" t="s">
        <v>1405</v>
      </c>
      <c r="I170" s="468">
        <v>25.526153846153839</v>
      </c>
      <c r="J170" s="468">
        <v>1220</v>
      </c>
      <c r="K170" s="469">
        <v>31141.800000000003</v>
      </c>
    </row>
    <row r="171" spans="1:11" ht="14.4" customHeight="1" x14ac:dyDescent="0.3">
      <c r="A171" s="464" t="s">
        <v>529</v>
      </c>
      <c r="B171" s="465" t="s">
        <v>690</v>
      </c>
      <c r="C171" s="466" t="s">
        <v>540</v>
      </c>
      <c r="D171" s="467" t="s">
        <v>691</v>
      </c>
      <c r="E171" s="466" t="s">
        <v>1730</v>
      </c>
      <c r="F171" s="467" t="s">
        <v>1731</v>
      </c>
      <c r="G171" s="466" t="s">
        <v>1406</v>
      </c>
      <c r="H171" s="466" t="s">
        <v>1407</v>
      </c>
      <c r="I171" s="468">
        <v>210.54</v>
      </c>
      <c r="J171" s="468">
        <v>1</v>
      </c>
      <c r="K171" s="469">
        <v>210.54</v>
      </c>
    </row>
    <row r="172" spans="1:11" ht="14.4" customHeight="1" x14ac:dyDescent="0.3">
      <c r="A172" s="464" t="s">
        <v>529</v>
      </c>
      <c r="B172" s="465" t="s">
        <v>690</v>
      </c>
      <c r="C172" s="466" t="s">
        <v>540</v>
      </c>
      <c r="D172" s="467" t="s">
        <v>691</v>
      </c>
      <c r="E172" s="466" t="s">
        <v>1730</v>
      </c>
      <c r="F172" s="467" t="s">
        <v>1731</v>
      </c>
      <c r="G172" s="466" t="s">
        <v>1408</v>
      </c>
      <c r="H172" s="466" t="s">
        <v>1409</v>
      </c>
      <c r="I172" s="468">
        <v>2.73</v>
      </c>
      <c r="J172" s="468">
        <v>100</v>
      </c>
      <c r="K172" s="469">
        <v>273</v>
      </c>
    </row>
    <row r="173" spans="1:11" ht="14.4" customHeight="1" x14ac:dyDescent="0.3">
      <c r="A173" s="464" t="s">
        <v>529</v>
      </c>
      <c r="B173" s="465" t="s">
        <v>690</v>
      </c>
      <c r="C173" s="466" t="s">
        <v>540</v>
      </c>
      <c r="D173" s="467" t="s">
        <v>691</v>
      </c>
      <c r="E173" s="466" t="s">
        <v>1730</v>
      </c>
      <c r="F173" s="467" t="s">
        <v>1731</v>
      </c>
      <c r="G173" s="466" t="s">
        <v>1410</v>
      </c>
      <c r="H173" s="466" t="s">
        <v>1411</v>
      </c>
      <c r="I173" s="468">
        <v>19.706666666666663</v>
      </c>
      <c r="J173" s="468">
        <v>800</v>
      </c>
      <c r="K173" s="469">
        <v>15617.5</v>
      </c>
    </row>
    <row r="174" spans="1:11" ht="14.4" customHeight="1" x14ac:dyDescent="0.3">
      <c r="A174" s="464" t="s">
        <v>529</v>
      </c>
      <c r="B174" s="465" t="s">
        <v>690</v>
      </c>
      <c r="C174" s="466" t="s">
        <v>540</v>
      </c>
      <c r="D174" s="467" t="s">
        <v>691</v>
      </c>
      <c r="E174" s="466" t="s">
        <v>1730</v>
      </c>
      <c r="F174" s="467" t="s">
        <v>1731</v>
      </c>
      <c r="G174" s="466" t="s">
        <v>1412</v>
      </c>
      <c r="H174" s="466" t="s">
        <v>1413</v>
      </c>
      <c r="I174" s="468">
        <v>2.6</v>
      </c>
      <c r="J174" s="468">
        <v>2</v>
      </c>
      <c r="K174" s="469">
        <v>5.2</v>
      </c>
    </row>
    <row r="175" spans="1:11" ht="14.4" customHeight="1" x14ac:dyDescent="0.3">
      <c r="A175" s="464" t="s">
        <v>529</v>
      </c>
      <c r="B175" s="465" t="s">
        <v>690</v>
      </c>
      <c r="C175" s="466" t="s">
        <v>540</v>
      </c>
      <c r="D175" s="467" t="s">
        <v>691</v>
      </c>
      <c r="E175" s="466" t="s">
        <v>1730</v>
      </c>
      <c r="F175" s="467" t="s">
        <v>1731</v>
      </c>
      <c r="G175" s="466" t="s">
        <v>1414</v>
      </c>
      <c r="H175" s="466" t="s">
        <v>1415</v>
      </c>
      <c r="I175" s="468">
        <v>2.6</v>
      </c>
      <c r="J175" s="468">
        <v>1</v>
      </c>
      <c r="K175" s="469">
        <v>2.6</v>
      </c>
    </row>
    <row r="176" spans="1:11" ht="14.4" customHeight="1" x14ac:dyDescent="0.3">
      <c r="A176" s="464" t="s">
        <v>529</v>
      </c>
      <c r="B176" s="465" t="s">
        <v>690</v>
      </c>
      <c r="C176" s="466" t="s">
        <v>540</v>
      </c>
      <c r="D176" s="467" t="s">
        <v>691</v>
      </c>
      <c r="E176" s="466" t="s">
        <v>1730</v>
      </c>
      <c r="F176" s="467" t="s">
        <v>1731</v>
      </c>
      <c r="G176" s="466" t="s">
        <v>1416</v>
      </c>
      <c r="H176" s="466" t="s">
        <v>1417</v>
      </c>
      <c r="I176" s="468">
        <v>2.6</v>
      </c>
      <c r="J176" s="468">
        <v>1</v>
      </c>
      <c r="K176" s="469">
        <v>2.6</v>
      </c>
    </row>
    <row r="177" spans="1:11" ht="14.4" customHeight="1" x14ac:dyDescent="0.3">
      <c r="A177" s="464" t="s">
        <v>529</v>
      </c>
      <c r="B177" s="465" t="s">
        <v>690</v>
      </c>
      <c r="C177" s="466" t="s">
        <v>540</v>
      </c>
      <c r="D177" s="467" t="s">
        <v>691</v>
      </c>
      <c r="E177" s="466" t="s">
        <v>1730</v>
      </c>
      <c r="F177" s="467" t="s">
        <v>1731</v>
      </c>
      <c r="G177" s="466" t="s">
        <v>1418</v>
      </c>
      <c r="H177" s="466" t="s">
        <v>1419</v>
      </c>
      <c r="I177" s="468">
        <v>2.0099999999999998</v>
      </c>
      <c r="J177" s="468">
        <v>20</v>
      </c>
      <c r="K177" s="469">
        <v>40.200000000000003</v>
      </c>
    </row>
    <row r="178" spans="1:11" ht="14.4" customHeight="1" x14ac:dyDescent="0.3">
      <c r="A178" s="464" t="s">
        <v>529</v>
      </c>
      <c r="B178" s="465" t="s">
        <v>690</v>
      </c>
      <c r="C178" s="466" t="s">
        <v>540</v>
      </c>
      <c r="D178" s="467" t="s">
        <v>691</v>
      </c>
      <c r="E178" s="466" t="s">
        <v>1730</v>
      </c>
      <c r="F178" s="467" t="s">
        <v>1731</v>
      </c>
      <c r="G178" s="466" t="s">
        <v>1133</v>
      </c>
      <c r="H178" s="466" t="s">
        <v>1134</v>
      </c>
      <c r="I178" s="468">
        <v>0.61</v>
      </c>
      <c r="J178" s="468">
        <v>8000</v>
      </c>
      <c r="K178" s="469">
        <v>4888.3999999999996</v>
      </c>
    </row>
    <row r="179" spans="1:11" ht="14.4" customHeight="1" x14ac:dyDescent="0.3">
      <c r="A179" s="464" t="s">
        <v>529</v>
      </c>
      <c r="B179" s="465" t="s">
        <v>690</v>
      </c>
      <c r="C179" s="466" t="s">
        <v>540</v>
      </c>
      <c r="D179" s="467" t="s">
        <v>691</v>
      </c>
      <c r="E179" s="466" t="s">
        <v>1730</v>
      </c>
      <c r="F179" s="467" t="s">
        <v>1731</v>
      </c>
      <c r="G179" s="466" t="s">
        <v>1420</v>
      </c>
      <c r="H179" s="466" t="s">
        <v>1421</v>
      </c>
      <c r="I179" s="468">
        <v>75.02</v>
      </c>
      <c r="J179" s="468">
        <v>1</v>
      </c>
      <c r="K179" s="469">
        <v>75.02</v>
      </c>
    </row>
    <row r="180" spans="1:11" ht="14.4" customHeight="1" x14ac:dyDescent="0.3">
      <c r="A180" s="464" t="s">
        <v>529</v>
      </c>
      <c r="B180" s="465" t="s">
        <v>690</v>
      </c>
      <c r="C180" s="466" t="s">
        <v>540</v>
      </c>
      <c r="D180" s="467" t="s">
        <v>691</v>
      </c>
      <c r="E180" s="466" t="s">
        <v>1730</v>
      </c>
      <c r="F180" s="467" t="s">
        <v>1731</v>
      </c>
      <c r="G180" s="466" t="s">
        <v>1422</v>
      </c>
      <c r="H180" s="466" t="s">
        <v>1423</v>
      </c>
      <c r="I180" s="468">
        <v>3.62</v>
      </c>
      <c r="J180" s="468">
        <v>2000</v>
      </c>
      <c r="K180" s="469">
        <v>7241.79</v>
      </c>
    </row>
    <row r="181" spans="1:11" ht="14.4" customHeight="1" x14ac:dyDescent="0.3">
      <c r="A181" s="464" t="s">
        <v>529</v>
      </c>
      <c r="B181" s="465" t="s">
        <v>690</v>
      </c>
      <c r="C181" s="466" t="s">
        <v>540</v>
      </c>
      <c r="D181" s="467" t="s">
        <v>691</v>
      </c>
      <c r="E181" s="466" t="s">
        <v>1730</v>
      </c>
      <c r="F181" s="467" t="s">
        <v>1731</v>
      </c>
      <c r="G181" s="466" t="s">
        <v>1424</v>
      </c>
      <c r="H181" s="466" t="s">
        <v>1425</v>
      </c>
      <c r="I181" s="468">
        <v>75.02</v>
      </c>
      <c r="J181" s="468">
        <v>1</v>
      </c>
      <c r="K181" s="469">
        <v>75.02</v>
      </c>
    </row>
    <row r="182" spans="1:11" ht="14.4" customHeight="1" x14ac:dyDescent="0.3">
      <c r="A182" s="464" t="s">
        <v>529</v>
      </c>
      <c r="B182" s="465" t="s">
        <v>690</v>
      </c>
      <c r="C182" s="466" t="s">
        <v>540</v>
      </c>
      <c r="D182" s="467" t="s">
        <v>691</v>
      </c>
      <c r="E182" s="466" t="s">
        <v>1730</v>
      </c>
      <c r="F182" s="467" t="s">
        <v>1731</v>
      </c>
      <c r="G182" s="466" t="s">
        <v>1426</v>
      </c>
      <c r="H182" s="466" t="s">
        <v>1427</v>
      </c>
      <c r="I182" s="468">
        <v>3.79</v>
      </c>
      <c r="J182" s="468">
        <v>500</v>
      </c>
      <c r="K182" s="469">
        <v>1893.38</v>
      </c>
    </row>
    <row r="183" spans="1:11" ht="14.4" customHeight="1" x14ac:dyDescent="0.3">
      <c r="A183" s="464" t="s">
        <v>529</v>
      </c>
      <c r="B183" s="465" t="s">
        <v>690</v>
      </c>
      <c r="C183" s="466" t="s">
        <v>540</v>
      </c>
      <c r="D183" s="467" t="s">
        <v>691</v>
      </c>
      <c r="E183" s="466" t="s">
        <v>1730</v>
      </c>
      <c r="F183" s="467" t="s">
        <v>1731</v>
      </c>
      <c r="G183" s="466" t="s">
        <v>1428</v>
      </c>
      <c r="H183" s="466" t="s">
        <v>1429</v>
      </c>
      <c r="I183" s="468">
        <v>56.87</v>
      </c>
      <c r="J183" s="468">
        <v>190</v>
      </c>
      <c r="K183" s="469">
        <v>10805.3</v>
      </c>
    </row>
    <row r="184" spans="1:11" ht="14.4" customHeight="1" x14ac:dyDescent="0.3">
      <c r="A184" s="464" t="s">
        <v>529</v>
      </c>
      <c r="B184" s="465" t="s">
        <v>690</v>
      </c>
      <c r="C184" s="466" t="s">
        <v>540</v>
      </c>
      <c r="D184" s="467" t="s">
        <v>691</v>
      </c>
      <c r="E184" s="466" t="s">
        <v>1730</v>
      </c>
      <c r="F184" s="467" t="s">
        <v>1731</v>
      </c>
      <c r="G184" s="466" t="s">
        <v>1430</v>
      </c>
      <c r="H184" s="466" t="s">
        <v>1431</v>
      </c>
      <c r="I184" s="468">
        <v>45.98</v>
      </c>
      <c r="J184" s="468">
        <v>10</v>
      </c>
      <c r="K184" s="469">
        <v>459.8</v>
      </c>
    </row>
    <row r="185" spans="1:11" ht="14.4" customHeight="1" x14ac:dyDescent="0.3">
      <c r="A185" s="464" t="s">
        <v>529</v>
      </c>
      <c r="B185" s="465" t="s">
        <v>690</v>
      </c>
      <c r="C185" s="466" t="s">
        <v>540</v>
      </c>
      <c r="D185" s="467" t="s">
        <v>691</v>
      </c>
      <c r="E185" s="466" t="s">
        <v>1730</v>
      </c>
      <c r="F185" s="467" t="s">
        <v>1731</v>
      </c>
      <c r="G185" s="466" t="s">
        <v>1432</v>
      </c>
      <c r="H185" s="466" t="s">
        <v>1433</v>
      </c>
      <c r="I185" s="468">
        <v>3.36</v>
      </c>
      <c r="J185" s="468">
        <v>1000</v>
      </c>
      <c r="K185" s="469">
        <v>3364.6</v>
      </c>
    </row>
    <row r="186" spans="1:11" ht="14.4" customHeight="1" x14ac:dyDescent="0.3">
      <c r="A186" s="464" t="s">
        <v>529</v>
      </c>
      <c r="B186" s="465" t="s">
        <v>690</v>
      </c>
      <c r="C186" s="466" t="s">
        <v>540</v>
      </c>
      <c r="D186" s="467" t="s">
        <v>691</v>
      </c>
      <c r="E186" s="466" t="s">
        <v>1730</v>
      </c>
      <c r="F186" s="467" t="s">
        <v>1731</v>
      </c>
      <c r="G186" s="466" t="s">
        <v>1434</v>
      </c>
      <c r="H186" s="466" t="s">
        <v>1435</v>
      </c>
      <c r="I186" s="468">
        <v>3.34</v>
      </c>
      <c r="J186" s="468">
        <v>500</v>
      </c>
      <c r="K186" s="469">
        <v>1668.23</v>
      </c>
    </row>
    <row r="187" spans="1:11" ht="14.4" customHeight="1" x14ac:dyDescent="0.3">
      <c r="A187" s="464" t="s">
        <v>529</v>
      </c>
      <c r="B187" s="465" t="s">
        <v>690</v>
      </c>
      <c r="C187" s="466" t="s">
        <v>540</v>
      </c>
      <c r="D187" s="467" t="s">
        <v>691</v>
      </c>
      <c r="E187" s="466" t="s">
        <v>1732</v>
      </c>
      <c r="F187" s="467" t="s">
        <v>1733</v>
      </c>
      <c r="G187" s="466" t="s">
        <v>1436</v>
      </c>
      <c r="H187" s="466" t="s">
        <v>1437</v>
      </c>
      <c r="I187" s="468">
        <v>1.2449999999999997</v>
      </c>
      <c r="J187" s="468">
        <v>192000</v>
      </c>
      <c r="K187" s="469">
        <v>238401.7</v>
      </c>
    </row>
    <row r="188" spans="1:11" ht="14.4" customHeight="1" x14ac:dyDescent="0.3">
      <c r="A188" s="464" t="s">
        <v>529</v>
      </c>
      <c r="B188" s="465" t="s">
        <v>690</v>
      </c>
      <c r="C188" s="466" t="s">
        <v>540</v>
      </c>
      <c r="D188" s="467" t="s">
        <v>691</v>
      </c>
      <c r="E188" s="466" t="s">
        <v>1732</v>
      </c>
      <c r="F188" s="467" t="s">
        <v>1733</v>
      </c>
      <c r="G188" s="466" t="s">
        <v>1438</v>
      </c>
      <c r="H188" s="466" t="s">
        <v>1439</v>
      </c>
      <c r="I188" s="468">
        <v>3.0599999999999996</v>
      </c>
      <c r="J188" s="468">
        <v>30000</v>
      </c>
      <c r="K188" s="469">
        <v>91842</v>
      </c>
    </row>
    <row r="189" spans="1:11" ht="14.4" customHeight="1" x14ac:dyDescent="0.3">
      <c r="A189" s="464" t="s">
        <v>529</v>
      </c>
      <c r="B189" s="465" t="s">
        <v>690</v>
      </c>
      <c r="C189" s="466" t="s">
        <v>540</v>
      </c>
      <c r="D189" s="467" t="s">
        <v>691</v>
      </c>
      <c r="E189" s="466" t="s">
        <v>1732</v>
      </c>
      <c r="F189" s="467" t="s">
        <v>1733</v>
      </c>
      <c r="G189" s="466" t="s">
        <v>1440</v>
      </c>
      <c r="H189" s="466" t="s">
        <v>1441</v>
      </c>
      <c r="I189" s="468">
        <v>10.76</v>
      </c>
      <c r="J189" s="468">
        <v>10100</v>
      </c>
      <c r="K189" s="469">
        <v>108644.68999999999</v>
      </c>
    </row>
    <row r="190" spans="1:11" ht="14.4" customHeight="1" x14ac:dyDescent="0.3">
      <c r="A190" s="464" t="s">
        <v>529</v>
      </c>
      <c r="B190" s="465" t="s">
        <v>690</v>
      </c>
      <c r="C190" s="466" t="s">
        <v>540</v>
      </c>
      <c r="D190" s="467" t="s">
        <v>691</v>
      </c>
      <c r="E190" s="466" t="s">
        <v>1738</v>
      </c>
      <c r="F190" s="467" t="s">
        <v>1739</v>
      </c>
      <c r="G190" s="466" t="s">
        <v>1442</v>
      </c>
      <c r="H190" s="466" t="s">
        <v>1443</v>
      </c>
      <c r="I190" s="468">
        <v>598.95000000000005</v>
      </c>
      <c r="J190" s="468">
        <v>600</v>
      </c>
      <c r="K190" s="469">
        <v>359370</v>
      </c>
    </row>
    <row r="191" spans="1:11" ht="14.4" customHeight="1" x14ac:dyDescent="0.3">
      <c r="A191" s="464" t="s">
        <v>529</v>
      </c>
      <c r="B191" s="465" t="s">
        <v>690</v>
      </c>
      <c r="C191" s="466" t="s">
        <v>540</v>
      </c>
      <c r="D191" s="467" t="s">
        <v>691</v>
      </c>
      <c r="E191" s="466" t="s">
        <v>1738</v>
      </c>
      <c r="F191" s="467" t="s">
        <v>1739</v>
      </c>
      <c r="G191" s="466" t="s">
        <v>1444</v>
      </c>
      <c r="H191" s="466" t="s">
        <v>1445</v>
      </c>
      <c r="I191" s="468">
        <v>121</v>
      </c>
      <c r="J191" s="468">
        <v>1800</v>
      </c>
      <c r="K191" s="469">
        <v>217800</v>
      </c>
    </row>
    <row r="192" spans="1:11" ht="14.4" customHeight="1" x14ac:dyDescent="0.3">
      <c r="A192" s="464" t="s">
        <v>529</v>
      </c>
      <c r="B192" s="465" t="s">
        <v>690</v>
      </c>
      <c r="C192" s="466" t="s">
        <v>540</v>
      </c>
      <c r="D192" s="467" t="s">
        <v>691</v>
      </c>
      <c r="E192" s="466" t="s">
        <v>1738</v>
      </c>
      <c r="F192" s="467" t="s">
        <v>1739</v>
      </c>
      <c r="G192" s="466" t="s">
        <v>1446</v>
      </c>
      <c r="H192" s="466" t="s">
        <v>1447</v>
      </c>
      <c r="I192" s="468">
        <v>60.5</v>
      </c>
      <c r="J192" s="468">
        <v>9960</v>
      </c>
      <c r="K192" s="469">
        <v>602580</v>
      </c>
    </row>
    <row r="193" spans="1:11" ht="14.4" customHeight="1" x14ac:dyDescent="0.3">
      <c r="A193" s="464" t="s">
        <v>529</v>
      </c>
      <c r="B193" s="465" t="s">
        <v>690</v>
      </c>
      <c r="C193" s="466" t="s">
        <v>540</v>
      </c>
      <c r="D193" s="467" t="s">
        <v>691</v>
      </c>
      <c r="E193" s="466" t="s">
        <v>1738</v>
      </c>
      <c r="F193" s="467" t="s">
        <v>1739</v>
      </c>
      <c r="G193" s="466" t="s">
        <v>1448</v>
      </c>
      <c r="H193" s="466" t="s">
        <v>1449</v>
      </c>
      <c r="I193" s="468">
        <v>5445</v>
      </c>
      <c r="J193" s="468">
        <v>108</v>
      </c>
      <c r="K193" s="469">
        <v>588060</v>
      </c>
    </row>
    <row r="194" spans="1:11" ht="14.4" customHeight="1" x14ac:dyDescent="0.3">
      <c r="A194" s="464" t="s">
        <v>529</v>
      </c>
      <c r="B194" s="465" t="s">
        <v>690</v>
      </c>
      <c r="C194" s="466" t="s">
        <v>540</v>
      </c>
      <c r="D194" s="467" t="s">
        <v>691</v>
      </c>
      <c r="E194" s="466" t="s">
        <v>1738</v>
      </c>
      <c r="F194" s="467" t="s">
        <v>1739</v>
      </c>
      <c r="G194" s="466" t="s">
        <v>1450</v>
      </c>
      <c r="H194" s="466" t="s">
        <v>1451</v>
      </c>
      <c r="I194" s="468">
        <v>26.92</v>
      </c>
      <c r="J194" s="468">
        <v>4000</v>
      </c>
      <c r="K194" s="469">
        <v>107690</v>
      </c>
    </row>
    <row r="195" spans="1:11" ht="14.4" customHeight="1" x14ac:dyDescent="0.3">
      <c r="A195" s="464" t="s">
        <v>529</v>
      </c>
      <c r="B195" s="465" t="s">
        <v>690</v>
      </c>
      <c r="C195" s="466" t="s">
        <v>540</v>
      </c>
      <c r="D195" s="467" t="s">
        <v>691</v>
      </c>
      <c r="E195" s="466" t="s">
        <v>1738</v>
      </c>
      <c r="F195" s="467" t="s">
        <v>1739</v>
      </c>
      <c r="G195" s="466" t="s">
        <v>1450</v>
      </c>
      <c r="H195" s="466" t="s">
        <v>1452</v>
      </c>
      <c r="I195" s="468">
        <v>26.971111111111117</v>
      </c>
      <c r="J195" s="468">
        <v>9000</v>
      </c>
      <c r="K195" s="469">
        <v>242530.72</v>
      </c>
    </row>
    <row r="196" spans="1:11" ht="14.4" customHeight="1" x14ac:dyDescent="0.3">
      <c r="A196" s="464" t="s">
        <v>529</v>
      </c>
      <c r="B196" s="465" t="s">
        <v>690</v>
      </c>
      <c r="C196" s="466" t="s">
        <v>540</v>
      </c>
      <c r="D196" s="467" t="s">
        <v>691</v>
      </c>
      <c r="E196" s="466" t="s">
        <v>1738</v>
      </c>
      <c r="F196" s="467" t="s">
        <v>1739</v>
      </c>
      <c r="G196" s="466" t="s">
        <v>1453</v>
      </c>
      <c r="H196" s="466" t="s">
        <v>1454</v>
      </c>
      <c r="I196" s="468">
        <v>102.84999999999998</v>
      </c>
      <c r="J196" s="468">
        <v>10000</v>
      </c>
      <c r="K196" s="469">
        <v>1028500</v>
      </c>
    </row>
    <row r="197" spans="1:11" ht="14.4" customHeight="1" x14ac:dyDescent="0.3">
      <c r="A197" s="464" t="s">
        <v>529</v>
      </c>
      <c r="B197" s="465" t="s">
        <v>690</v>
      </c>
      <c r="C197" s="466" t="s">
        <v>540</v>
      </c>
      <c r="D197" s="467" t="s">
        <v>691</v>
      </c>
      <c r="E197" s="466" t="s">
        <v>1738</v>
      </c>
      <c r="F197" s="467" t="s">
        <v>1739</v>
      </c>
      <c r="G197" s="466" t="s">
        <v>1455</v>
      </c>
      <c r="H197" s="466" t="s">
        <v>1456</v>
      </c>
      <c r="I197" s="468">
        <v>272.25</v>
      </c>
      <c r="J197" s="468">
        <v>10070</v>
      </c>
      <c r="K197" s="469">
        <v>2741557.5</v>
      </c>
    </row>
    <row r="198" spans="1:11" ht="14.4" customHeight="1" x14ac:dyDescent="0.3">
      <c r="A198" s="464" t="s">
        <v>529</v>
      </c>
      <c r="B198" s="465" t="s">
        <v>690</v>
      </c>
      <c r="C198" s="466" t="s">
        <v>540</v>
      </c>
      <c r="D198" s="467" t="s">
        <v>691</v>
      </c>
      <c r="E198" s="466" t="s">
        <v>1738</v>
      </c>
      <c r="F198" s="467" t="s">
        <v>1739</v>
      </c>
      <c r="G198" s="466" t="s">
        <v>1457</v>
      </c>
      <c r="H198" s="466" t="s">
        <v>1458</v>
      </c>
      <c r="I198" s="468">
        <v>5566</v>
      </c>
      <c r="J198" s="468">
        <v>869</v>
      </c>
      <c r="K198" s="469">
        <v>4836854</v>
      </c>
    </row>
    <row r="199" spans="1:11" ht="14.4" customHeight="1" x14ac:dyDescent="0.3">
      <c r="A199" s="464" t="s">
        <v>529</v>
      </c>
      <c r="B199" s="465" t="s">
        <v>690</v>
      </c>
      <c r="C199" s="466" t="s">
        <v>540</v>
      </c>
      <c r="D199" s="467" t="s">
        <v>691</v>
      </c>
      <c r="E199" s="466" t="s">
        <v>1738</v>
      </c>
      <c r="F199" s="467" t="s">
        <v>1739</v>
      </c>
      <c r="G199" s="466" t="s">
        <v>1459</v>
      </c>
      <c r="H199" s="466" t="s">
        <v>1460</v>
      </c>
      <c r="I199" s="468">
        <v>290.39999999999998</v>
      </c>
      <c r="J199" s="468">
        <v>156</v>
      </c>
      <c r="K199" s="469">
        <v>45302.400000000001</v>
      </c>
    </row>
    <row r="200" spans="1:11" ht="14.4" customHeight="1" x14ac:dyDescent="0.3">
      <c r="A200" s="464" t="s">
        <v>529</v>
      </c>
      <c r="B200" s="465" t="s">
        <v>690</v>
      </c>
      <c r="C200" s="466" t="s">
        <v>540</v>
      </c>
      <c r="D200" s="467" t="s">
        <v>691</v>
      </c>
      <c r="E200" s="466" t="s">
        <v>1738</v>
      </c>
      <c r="F200" s="467" t="s">
        <v>1739</v>
      </c>
      <c r="G200" s="466" t="s">
        <v>1461</v>
      </c>
      <c r="H200" s="466" t="s">
        <v>1462</v>
      </c>
      <c r="I200" s="468">
        <v>139.15000000000003</v>
      </c>
      <c r="J200" s="468">
        <v>10032</v>
      </c>
      <c r="K200" s="469">
        <v>1395952.8000000003</v>
      </c>
    </row>
    <row r="201" spans="1:11" ht="14.4" customHeight="1" x14ac:dyDescent="0.3">
      <c r="A201" s="464" t="s">
        <v>529</v>
      </c>
      <c r="B201" s="465" t="s">
        <v>690</v>
      </c>
      <c r="C201" s="466" t="s">
        <v>540</v>
      </c>
      <c r="D201" s="467" t="s">
        <v>691</v>
      </c>
      <c r="E201" s="466" t="s">
        <v>1738</v>
      </c>
      <c r="F201" s="467" t="s">
        <v>1739</v>
      </c>
      <c r="G201" s="466" t="s">
        <v>1463</v>
      </c>
      <c r="H201" s="466" t="s">
        <v>1464</v>
      </c>
      <c r="I201" s="468">
        <v>722.04</v>
      </c>
      <c r="J201" s="468">
        <v>680</v>
      </c>
      <c r="K201" s="469">
        <v>490989.43999999994</v>
      </c>
    </row>
    <row r="202" spans="1:11" ht="14.4" customHeight="1" x14ac:dyDescent="0.3">
      <c r="A202" s="464" t="s">
        <v>529</v>
      </c>
      <c r="B202" s="465" t="s">
        <v>690</v>
      </c>
      <c r="C202" s="466" t="s">
        <v>540</v>
      </c>
      <c r="D202" s="467" t="s">
        <v>691</v>
      </c>
      <c r="E202" s="466" t="s">
        <v>1738</v>
      </c>
      <c r="F202" s="467" t="s">
        <v>1739</v>
      </c>
      <c r="G202" s="466" t="s">
        <v>1465</v>
      </c>
      <c r="H202" s="466" t="s">
        <v>1466</v>
      </c>
      <c r="I202" s="468">
        <v>1754.5</v>
      </c>
      <c r="J202" s="468">
        <v>95</v>
      </c>
      <c r="K202" s="469">
        <v>166677.5</v>
      </c>
    </row>
    <row r="203" spans="1:11" ht="14.4" customHeight="1" x14ac:dyDescent="0.3">
      <c r="A203" s="464" t="s">
        <v>529</v>
      </c>
      <c r="B203" s="465" t="s">
        <v>690</v>
      </c>
      <c r="C203" s="466" t="s">
        <v>540</v>
      </c>
      <c r="D203" s="467" t="s">
        <v>691</v>
      </c>
      <c r="E203" s="466" t="s">
        <v>1738</v>
      </c>
      <c r="F203" s="467" t="s">
        <v>1739</v>
      </c>
      <c r="G203" s="466" t="s">
        <v>1467</v>
      </c>
      <c r="H203" s="466" t="s">
        <v>1468</v>
      </c>
      <c r="I203" s="468">
        <v>152.11333333333332</v>
      </c>
      <c r="J203" s="468">
        <v>120</v>
      </c>
      <c r="K203" s="469">
        <v>18253.71</v>
      </c>
    </row>
    <row r="204" spans="1:11" ht="14.4" customHeight="1" x14ac:dyDescent="0.3">
      <c r="A204" s="464" t="s">
        <v>529</v>
      </c>
      <c r="B204" s="465" t="s">
        <v>690</v>
      </c>
      <c r="C204" s="466" t="s">
        <v>540</v>
      </c>
      <c r="D204" s="467" t="s">
        <v>691</v>
      </c>
      <c r="E204" s="466" t="s">
        <v>1738</v>
      </c>
      <c r="F204" s="467" t="s">
        <v>1739</v>
      </c>
      <c r="G204" s="466" t="s">
        <v>1467</v>
      </c>
      <c r="H204" s="466" t="s">
        <v>1469</v>
      </c>
      <c r="I204" s="468">
        <v>145.19999999999999</v>
      </c>
      <c r="J204" s="468">
        <v>40</v>
      </c>
      <c r="K204" s="469">
        <v>5808</v>
      </c>
    </row>
    <row r="205" spans="1:11" ht="14.4" customHeight="1" x14ac:dyDescent="0.3">
      <c r="A205" s="464" t="s">
        <v>529</v>
      </c>
      <c r="B205" s="465" t="s">
        <v>690</v>
      </c>
      <c r="C205" s="466" t="s">
        <v>540</v>
      </c>
      <c r="D205" s="467" t="s">
        <v>691</v>
      </c>
      <c r="E205" s="466" t="s">
        <v>1738</v>
      </c>
      <c r="F205" s="467" t="s">
        <v>1739</v>
      </c>
      <c r="G205" s="466" t="s">
        <v>1470</v>
      </c>
      <c r="H205" s="466" t="s">
        <v>1471</v>
      </c>
      <c r="I205" s="468">
        <v>689.7</v>
      </c>
      <c r="J205" s="468">
        <v>900</v>
      </c>
      <c r="K205" s="469">
        <v>620730</v>
      </c>
    </row>
    <row r="206" spans="1:11" ht="14.4" customHeight="1" x14ac:dyDescent="0.3">
      <c r="A206" s="464" t="s">
        <v>529</v>
      </c>
      <c r="B206" s="465" t="s">
        <v>690</v>
      </c>
      <c r="C206" s="466" t="s">
        <v>540</v>
      </c>
      <c r="D206" s="467" t="s">
        <v>691</v>
      </c>
      <c r="E206" s="466" t="s">
        <v>1738</v>
      </c>
      <c r="F206" s="467" t="s">
        <v>1739</v>
      </c>
      <c r="G206" s="466" t="s">
        <v>1472</v>
      </c>
      <c r="H206" s="466" t="s">
        <v>1473</v>
      </c>
      <c r="I206" s="468">
        <v>84.7</v>
      </c>
      <c r="J206" s="468">
        <v>250</v>
      </c>
      <c r="K206" s="469">
        <v>21175</v>
      </c>
    </row>
    <row r="207" spans="1:11" ht="14.4" customHeight="1" x14ac:dyDescent="0.3">
      <c r="A207" s="464" t="s">
        <v>529</v>
      </c>
      <c r="B207" s="465" t="s">
        <v>690</v>
      </c>
      <c r="C207" s="466" t="s">
        <v>540</v>
      </c>
      <c r="D207" s="467" t="s">
        <v>691</v>
      </c>
      <c r="E207" s="466" t="s">
        <v>1738</v>
      </c>
      <c r="F207" s="467" t="s">
        <v>1739</v>
      </c>
      <c r="G207" s="466" t="s">
        <v>1474</v>
      </c>
      <c r="H207" s="466" t="s">
        <v>1475</v>
      </c>
      <c r="I207" s="468">
        <v>136.76416666666668</v>
      </c>
      <c r="J207" s="468">
        <v>16000</v>
      </c>
      <c r="K207" s="469">
        <v>2188093.08</v>
      </c>
    </row>
    <row r="208" spans="1:11" ht="14.4" customHeight="1" x14ac:dyDescent="0.3">
      <c r="A208" s="464" t="s">
        <v>529</v>
      </c>
      <c r="B208" s="465" t="s">
        <v>690</v>
      </c>
      <c r="C208" s="466" t="s">
        <v>540</v>
      </c>
      <c r="D208" s="467" t="s">
        <v>691</v>
      </c>
      <c r="E208" s="466" t="s">
        <v>1738</v>
      </c>
      <c r="F208" s="467" t="s">
        <v>1739</v>
      </c>
      <c r="G208" s="466" t="s">
        <v>1476</v>
      </c>
      <c r="H208" s="466" t="s">
        <v>1477</v>
      </c>
      <c r="I208" s="468">
        <v>726</v>
      </c>
      <c r="J208" s="468">
        <v>800</v>
      </c>
      <c r="K208" s="469">
        <v>580800</v>
      </c>
    </row>
    <row r="209" spans="1:11" ht="14.4" customHeight="1" x14ac:dyDescent="0.3">
      <c r="A209" s="464" t="s">
        <v>529</v>
      </c>
      <c r="B209" s="465" t="s">
        <v>690</v>
      </c>
      <c r="C209" s="466" t="s">
        <v>540</v>
      </c>
      <c r="D209" s="467" t="s">
        <v>691</v>
      </c>
      <c r="E209" s="466" t="s">
        <v>1738</v>
      </c>
      <c r="F209" s="467" t="s">
        <v>1739</v>
      </c>
      <c r="G209" s="466" t="s">
        <v>1478</v>
      </c>
      <c r="H209" s="466" t="s">
        <v>1479</v>
      </c>
      <c r="I209" s="468">
        <v>21.849999999999998</v>
      </c>
      <c r="J209" s="468">
        <v>8155</v>
      </c>
      <c r="K209" s="469">
        <v>178186.75</v>
      </c>
    </row>
    <row r="210" spans="1:11" ht="14.4" customHeight="1" x14ac:dyDescent="0.3">
      <c r="A210" s="464" t="s">
        <v>529</v>
      </c>
      <c r="B210" s="465" t="s">
        <v>690</v>
      </c>
      <c r="C210" s="466" t="s">
        <v>540</v>
      </c>
      <c r="D210" s="467" t="s">
        <v>691</v>
      </c>
      <c r="E210" s="466" t="s">
        <v>1738</v>
      </c>
      <c r="F210" s="467" t="s">
        <v>1739</v>
      </c>
      <c r="G210" s="466" t="s">
        <v>1480</v>
      </c>
      <c r="H210" s="466" t="s">
        <v>1481</v>
      </c>
      <c r="I210" s="468">
        <v>4235</v>
      </c>
      <c r="J210" s="468">
        <v>128</v>
      </c>
      <c r="K210" s="469">
        <v>542080</v>
      </c>
    </row>
    <row r="211" spans="1:11" ht="14.4" customHeight="1" x14ac:dyDescent="0.3">
      <c r="A211" s="464" t="s">
        <v>529</v>
      </c>
      <c r="B211" s="465" t="s">
        <v>690</v>
      </c>
      <c r="C211" s="466" t="s">
        <v>540</v>
      </c>
      <c r="D211" s="467" t="s">
        <v>691</v>
      </c>
      <c r="E211" s="466" t="s">
        <v>1738</v>
      </c>
      <c r="F211" s="467" t="s">
        <v>1739</v>
      </c>
      <c r="G211" s="466" t="s">
        <v>1480</v>
      </c>
      <c r="H211" s="466" t="s">
        <v>1482</v>
      </c>
      <c r="I211" s="468">
        <v>4235</v>
      </c>
      <c r="J211" s="468">
        <v>16</v>
      </c>
      <c r="K211" s="469">
        <v>67760</v>
      </c>
    </row>
    <row r="212" spans="1:11" ht="14.4" customHeight="1" x14ac:dyDescent="0.3">
      <c r="A212" s="464" t="s">
        <v>529</v>
      </c>
      <c r="B212" s="465" t="s">
        <v>690</v>
      </c>
      <c r="C212" s="466" t="s">
        <v>540</v>
      </c>
      <c r="D212" s="467" t="s">
        <v>691</v>
      </c>
      <c r="E212" s="466" t="s">
        <v>1738</v>
      </c>
      <c r="F212" s="467" t="s">
        <v>1739</v>
      </c>
      <c r="G212" s="466" t="s">
        <v>1483</v>
      </c>
      <c r="H212" s="466" t="s">
        <v>1484</v>
      </c>
      <c r="I212" s="468">
        <v>3872</v>
      </c>
      <c r="J212" s="468">
        <v>80</v>
      </c>
      <c r="K212" s="469">
        <v>309760</v>
      </c>
    </row>
    <row r="213" spans="1:11" ht="14.4" customHeight="1" x14ac:dyDescent="0.3">
      <c r="A213" s="464" t="s">
        <v>529</v>
      </c>
      <c r="B213" s="465" t="s">
        <v>690</v>
      </c>
      <c r="C213" s="466" t="s">
        <v>540</v>
      </c>
      <c r="D213" s="467" t="s">
        <v>691</v>
      </c>
      <c r="E213" s="466" t="s">
        <v>1738</v>
      </c>
      <c r="F213" s="467" t="s">
        <v>1739</v>
      </c>
      <c r="G213" s="466" t="s">
        <v>1483</v>
      </c>
      <c r="H213" s="466" t="s">
        <v>1485</v>
      </c>
      <c r="I213" s="468">
        <v>3872</v>
      </c>
      <c r="J213" s="468">
        <v>16</v>
      </c>
      <c r="K213" s="469">
        <v>61952</v>
      </c>
    </row>
    <row r="214" spans="1:11" ht="14.4" customHeight="1" x14ac:dyDescent="0.3">
      <c r="A214" s="464" t="s">
        <v>529</v>
      </c>
      <c r="B214" s="465" t="s">
        <v>690</v>
      </c>
      <c r="C214" s="466" t="s">
        <v>540</v>
      </c>
      <c r="D214" s="467" t="s">
        <v>691</v>
      </c>
      <c r="E214" s="466" t="s">
        <v>1738</v>
      </c>
      <c r="F214" s="467" t="s">
        <v>1739</v>
      </c>
      <c r="G214" s="466" t="s">
        <v>1486</v>
      </c>
      <c r="H214" s="466" t="s">
        <v>1487</v>
      </c>
      <c r="I214" s="468">
        <v>205.69999999999996</v>
      </c>
      <c r="J214" s="468">
        <v>1000</v>
      </c>
      <c r="K214" s="469">
        <v>205700</v>
      </c>
    </row>
    <row r="215" spans="1:11" ht="14.4" customHeight="1" x14ac:dyDescent="0.3">
      <c r="A215" s="464" t="s">
        <v>529</v>
      </c>
      <c r="B215" s="465" t="s">
        <v>690</v>
      </c>
      <c r="C215" s="466" t="s">
        <v>540</v>
      </c>
      <c r="D215" s="467" t="s">
        <v>691</v>
      </c>
      <c r="E215" s="466" t="s">
        <v>1738</v>
      </c>
      <c r="F215" s="467" t="s">
        <v>1739</v>
      </c>
      <c r="G215" s="466" t="s">
        <v>1488</v>
      </c>
      <c r="H215" s="466" t="s">
        <v>1489</v>
      </c>
      <c r="I215" s="468">
        <v>205.69999999999996</v>
      </c>
      <c r="J215" s="468">
        <v>820</v>
      </c>
      <c r="K215" s="469">
        <v>168674</v>
      </c>
    </row>
    <row r="216" spans="1:11" ht="14.4" customHeight="1" x14ac:dyDescent="0.3">
      <c r="A216" s="464" t="s">
        <v>529</v>
      </c>
      <c r="B216" s="465" t="s">
        <v>690</v>
      </c>
      <c r="C216" s="466" t="s">
        <v>540</v>
      </c>
      <c r="D216" s="467" t="s">
        <v>691</v>
      </c>
      <c r="E216" s="466" t="s">
        <v>1738</v>
      </c>
      <c r="F216" s="467" t="s">
        <v>1739</v>
      </c>
      <c r="G216" s="466" t="s">
        <v>1490</v>
      </c>
      <c r="H216" s="466" t="s">
        <v>1491</v>
      </c>
      <c r="I216" s="468">
        <v>919.6</v>
      </c>
      <c r="J216" s="468">
        <v>408</v>
      </c>
      <c r="K216" s="469">
        <v>375196.8</v>
      </c>
    </row>
    <row r="217" spans="1:11" ht="14.4" customHeight="1" x14ac:dyDescent="0.3">
      <c r="A217" s="464" t="s">
        <v>529</v>
      </c>
      <c r="B217" s="465" t="s">
        <v>690</v>
      </c>
      <c r="C217" s="466" t="s">
        <v>540</v>
      </c>
      <c r="D217" s="467" t="s">
        <v>691</v>
      </c>
      <c r="E217" s="466" t="s">
        <v>1738</v>
      </c>
      <c r="F217" s="467" t="s">
        <v>1739</v>
      </c>
      <c r="G217" s="466" t="s">
        <v>1490</v>
      </c>
      <c r="H217" s="466" t="s">
        <v>1492</v>
      </c>
      <c r="I217" s="468">
        <v>919.6</v>
      </c>
      <c r="J217" s="468">
        <v>180</v>
      </c>
      <c r="K217" s="469">
        <v>165528</v>
      </c>
    </row>
    <row r="218" spans="1:11" ht="14.4" customHeight="1" x14ac:dyDescent="0.3">
      <c r="A218" s="464" t="s">
        <v>529</v>
      </c>
      <c r="B218" s="465" t="s">
        <v>690</v>
      </c>
      <c r="C218" s="466" t="s">
        <v>540</v>
      </c>
      <c r="D218" s="467" t="s">
        <v>691</v>
      </c>
      <c r="E218" s="466" t="s">
        <v>1738</v>
      </c>
      <c r="F218" s="467" t="s">
        <v>1739</v>
      </c>
      <c r="G218" s="466" t="s">
        <v>1493</v>
      </c>
      <c r="H218" s="466" t="s">
        <v>1494</v>
      </c>
      <c r="I218" s="468">
        <v>689.69999999999993</v>
      </c>
      <c r="J218" s="468">
        <v>2100</v>
      </c>
      <c r="K218" s="469">
        <v>1448370</v>
      </c>
    </row>
    <row r="219" spans="1:11" ht="14.4" customHeight="1" x14ac:dyDescent="0.3">
      <c r="A219" s="464" t="s">
        <v>529</v>
      </c>
      <c r="B219" s="465" t="s">
        <v>690</v>
      </c>
      <c r="C219" s="466" t="s">
        <v>540</v>
      </c>
      <c r="D219" s="467" t="s">
        <v>691</v>
      </c>
      <c r="E219" s="466" t="s">
        <v>1738</v>
      </c>
      <c r="F219" s="467" t="s">
        <v>1739</v>
      </c>
      <c r="G219" s="466" t="s">
        <v>1495</v>
      </c>
      <c r="H219" s="466" t="s">
        <v>1496</v>
      </c>
      <c r="I219" s="468">
        <v>108.9</v>
      </c>
      <c r="J219" s="468">
        <v>96</v>
      </c>
      <c r="K219" s="469">
        <v>10454.4</v>
      </c>
    </row>
    <row r="220" spans="1:11" ht="14.4" customHeight="1" x14ac:dyDescent="0.3">
      <c r="A220" s="464" t="s">
        <v>529</v>
      </c>
      <c r="B220" s="465" t="s">
        <v>690</v>
      </c>
      <c r="C220" s="466" t="s">
        <v>540</v>
      </c>
      <c r="D220" s="467" t="s">
        <v>691</v>
      </c>
      <c r="E220" s="466" t="s">
        <v>1738</v>
      </c>
      <c r="F220" s="467" t="s">
        <v>1739</v>
      </c>
      <c r="G220" s="466" t="s">
        <v>1497</v>
      </c>
      <c r="H220" s="466" t="s">
        <v>1498</v>
      </c>
      <c r="I220" s="468">
        <v>61.71</v>
      </c>
      <c r="J220" s="468">
        <v>50</v>
      </c>
      <c r="K220" s="469">
        <v>3085.5</v>
      </c>
    </row>
    <row r="221" spans="1:11" ht="14.4" customHeight="1" x14ac:dyDescent="0.3">
      <c r="A221" s="464" t="s">
        <v>529</v>
      </c>
      <c r="B221" s="465" t="s">
        <v>690</v>
      </c>
      <c r="C221" s="466" t="s">
        <v>540</v>
      </c>
      <c r="D221" s="467" t="s">
        <v>691</v>
      </c>
      <c r="E221" s="466" t="s">
        <v>1738</v>
      </c>
      <c r="F221" s="467" t="s">
        <v>1739</v>
      </c>
      <c r="G221" s="466" t="s">
        <v>1499</v>
      </c>
      <c r="H221" s="466" t="s">
        <v>1500</v>
      </c>
      <c r="I221" s="468">
        <v>3388</v>
      </c>
      <c r="J221" s="468">
        <v>40</v>
      </c>
      <c r="K221" s="469">
        <v>135520</v>
      </c>
    </row>
    <row r="222" spans="1:11" ht="14.4" customHeight="1" x14ac:dyDescent="0.3">
      <c r="A222" s="464" t="s">
        <v>529</v>
      </c>
      <c r="B222" s="465" t="s">
        <v>690</v>
      </c>
      <c r="C222" s="466" t="s">
        <v>540</v>
      </c>
      <c r="D222" s="467" t="s">
        <v>691</v>
      </c>
      <c r="E222" s="466" t="s">
        <v>1738</v>
      </c>
      <c r="F222" s="467" t="s">
        <v>1739</v>
      </c>
      <c r="G222" s="466" t="s">
        <v>1499</v>
      </c>
      <c r="H222" s="466" t="s">
        <v>1501</v>
      </c>
      <c r="I222" s="468">
        <v>3388</v>
      </c>
      <c r="J222" s="468">
        <v>24</v>
      </c>
      <c r="K222" s="469">
        <v>81312</v>
      </c>
    </row>
    <row r="223" spans="1:11" ht="14.4" customHeight="1" x14ac:dyDescent="0.3">
      <c r="A223" s="464" t="s">
        <v>529</v>
      </c>
      <c r="B223" s="465" t="s">
        <v>690</v>
      </c>
      <c r="C223" s="466" t="s">
        <v>540</v>
      </c>
      <c r="D223" s="467" t="s">
        <v>691</v>
      </c>
      <c r="E223" s="466" t="s">
        <v>1738</v>
      </c>
      <c r="F223" s="467" t="s">
        <v>1739</v>
      </c>
      <c r="G223" s="466" t="s">
        <v>1502</v>
      </c>
      <c r="H223" s="466" t="s">
        <v>1503</v>
      </c>
      <c r="I223" s="468">
        <v>228.17</v>
      </c>
      <c r="J223" s="468">
        <v>60</v>
      </c>
      <c r="K223" s="469">
        <v>13690.29</v>
      </c>
    </row>
    <row r="224" spans="1:11" ht="14.4" customHeight="1" x14ac:dyDescent="0.3">
      <c r="A224" s="464" t="s">
        <v>529</v>
      </c>
      <c r="B224" s="465" t="s">
        <v>690</v>
      </c>
      <c r="C224" s="466" t="s">
        <v>540</v>
      </c>
      <c r="D224" s="467" t="s">
        <v>691</v>
      </c>
      <c r="E224" s="466" t="s">
        <v>1738</v>
      </c>
      <c r="F224" s="467" t="s">
        <v>1739</v>
      </c>
      <c r="G224" s="466" t="s">
        <v>1502</v>
      </c>
      <c r="H224" s="466" t="s">
        <v>1504</v>
      </c>
      <c r="I224" s="468">
        <v>217.8</v>
      </c>
      <c r="J224" s="468">
        <v>40</v>
      </c>
      <c r="K224" s="469">
        <v>8712</v>
      </c>
    </row>
    <row r="225" spans="1:11" ht="14.4" customHeight="1" x14ac:dyDescent="0.3">
      <c r="A225" s="464" t="s">
        <v>529</v>
      </c>
      <c r="B225" s="465" t="s">
        <v>690</v>
      </c>
      <c r="C225" s="466" t="s">
        <v>540</v>
      </c>
      <c r="D225" s="467" t="s">
        <v>691</v>
      </c>
      <c r="E225" s="466" t="s">
        <v>1738</v>
      </c>
      <c r="F225" s="467" t="s">
        <v>1739</v>
      </c>
      <c r="G225" s="466" t="s">
        <v>1505</v>
      </c>
      <c r="H225" s="466" t="s">
        <v>1506</v>
      </c>
      <c r="I225" s="468">
        <v>598.94999999999993</v>
      </c>
      <c r="J225" s="468">
        <v>2880</v>
      </c>
      <c r="K225" s="469">
        <v>1724976</v>
      </c>
    </row>
    <row r="226" spans="1:11" ht="14.4" customHeight="1" x14ac:dyDescent="0.3">
      <c r="A226" s="464" t="s">
        <v>529</v>
      </c>
      <c r="B226" s="465" t="s">
        <v>690</v>
      </c>
      <c r="C226" s="466" t="s">
        <v>540</v>
      </c>
      <c r="D226" s="467" t="s">
        <v>691</v>
      </c>
      <c r="E226" s="466" t="s">
        <v>1738</v>
      </c>
      <c r="F226" s="467" t="s">
        <v>1739</v>
      </c>
      <c r="G226" s="466" t="s">
        <v>1507</v>
      </c>
      <c r="H226" s="466" t="s">
        <v>1508</v>
      </c>
      <c r="I226" s="468">
        <v>6050</v>
      </c>
      <c r="J226" s="468">
        <v>30</v>
      </c>
      <c r="K226" s="469">
        <v>181500</v>
      </c>
    </row>
    <row r="227" spans="1:11" ht="14.4" customHeight="1" x14ac:dyDescent="0.3">
      <c r="A227" s="464" t="s">
        <v>529</v>
      </c>
      <c r="B227" s="465" t="s">
        <v>690</v>
      </c>
      <c r="C227" s="466" t="s">
        <v>540</v>
      </c>
      <c r="D227" s="467" t="s">
        <v>691</v>
      </c>
      <c r="E227" s="466" t="s">
        <v>1738</v>
      </c>
      <c r="F227" s="467" t="s">
        <v>1739</v>
      </c>
      <c r="G227" s="466" t="s">
        <v>1507</v>
      </c>
      <c r="H227" s="466" t="s">
        <v>1509</v>
      </c>
      <c r="I227" s="468">
        <v>6050</v>
      </c>
      <c r="J227" s="468">
        <v>12</v>
      </c>
      <c r="K227" s="469">
        <v>72600</v>
      </c>
    </row>
    <row r="228" spans="1:11" ht="14.4" customHeight="1" x14ac:dyDescent="0.3">
      <c r="A228" s="464" t="s">
        <v>529</v>
      </c>
      <c r="B228" s="465" t="s">
        <v>690</v>
      </c>
      <c r="C228" s="466" t="s">
        <v>540</v>
      </c>
      <c r="D228" s="467" t="s">
        <v>691</v>
      </c>
      <c r="E228" s="466" t="s">
        <v>1738</v>
      </c>
      <c r="F228" s="467" t="s">
        <v>1739</v>
      </c>
      <c r="G228" s="466" t="s">
        <v>1510</v>
      </c>
      <c r="H228" s="466" t="s">
        <v>1511</v>
      </c>
      <c r="I228" s="468">
        <v>68.970000000000013</v>
      </c>
      <c r="J228" s="468">
        <v>2970</v>
      </c>
      <c r="K228" s="469">
        <v>204840.90000000002</v>
      </c>
    </row>
    <row r="229" spans="1:11" ht="14.4" customHeight="1" x14ac:dyDescent="0.3">
      <c r="A229" s="464" t="s">
        <v>529</v>
      </c>
      <c r="B229" s="465" t="s">
        <v>690</v>
      </c>
      <c r="C229" s="466" t="s">
        <v>540</v>
      </c>
      <c r="D229" s="467" t="s">
        <v>691</v>
      </c>
      <c r="E229" s="466" t="s">
        <v>1738</v>
      </c>
      <c r="F229" s="467" t="s">
        <v>1739</v>
      </c>
      <c r="G229" s="466" t="s">
        <v>1512</v>
      </c>
      <c r="H229" s="466" t="s">
        <v>1513</v>
      </c>
      <c r="I229" s="468">
        <v>631.62</v>
      </c>
      <c r="J229" s="468">
        <v>5</v>
      </c>
      <c r="K229" s="469">
        <v>3158.1</v>
      </c>
    </row>
    <row r="230" spans="1:11" ht="14.4" customHeight="1" x14ac:dyDescent="0.3">
      <c r="A230" s="464" t="s">
        <v>529</v>
      </c>
      <c r="B230" s="465" t="s">
        <v>690</v>
      </c>
      <c r="C230" s="466" t="s">
        <v>540</v>
      </c>
      <c r="D230" s="467" t="s">
        <v>691</v>
      </c>
      <c r="E230" s="466" t="s">
        <v>1738</v>
      </c>
      <c r="F230" s="467" t="s">
        <v>1739</v>
      </c>
      <c r="G230" s="466" t="s">
        <v>1514</v>
      </c>
      <c r="H230" s="466" t="s">
        <v>1515</v>
      </c>
      <c r="I230" s="468">
        <v>56.87</v>
      </c>
      <c r="J230" s="468">
        <v>210</v>
      </c>
      <c r="K230" s="469">
        <v>11942.7</v>
      </c>
    </row>
    <row r="231" spans="1:11" ht="14.4" customHeight="1" x14ac:dyDescent="0.3">
      <c r="A231" s="464" t="s">
        <v>529</v>
      </c>
      <c r="B231" s="465" t="s">
        <v>690</v>
      </c>
      <c r="C231" s="466" t="s">
        <v>540</v>
      </c>
      <c r="D231" s="467" t="s">
        <v>691</v>
      </c>
      <c r="E231" s="466" t="s">
        <v>1738</v>
      </c>
      <c r="F231" s="467" t="s">
        <v>1739</v>
      </c>
      <c r="G231" s="466" t="s">
        <v>1516</v>
      </c>
      <c r="H231" s="466" t="s">
        <v>1517</v>
      </c>
      <c r="I231" s="468">
        <v>330.33</v>
      </c>
      <c r="J231" s="468">
        <v>90</v>
      </c>
      <c r="K231" s="469">
        <v>29729.699999999997</v>
      </c>
    </row>
    <row r="232" spans="1:11" ht="14.4" customHeight="1" x14ac:dyDescent="0.3">
      <c r="A232" s="464" t="s">
        <v>529</v>
      </c>
      <c r="B232" s="465" t="s">
        <v>690</v>
      </c>
      <c r="C232" s="466" t="s">
        <v>540</v>
      </c>
      <c r="D232" s="467" t="s">
        <v>691</v>
      </c>
      <c r="E232" s="466" t="s">
        <v>1740</v>
      </c>
      <c r="F232" s="467" t="s">
        <v>1741</v>
      </c>
      <c r="G232" s="466" t="s">
        <v>1518</v>
      </c>
      <c r="H232" s="466" t="s">
        <v>1519</v>
      </c>
      <c r="I232" s="468">
        <v>0.3</v>
      </c>
      <c r="J232" s="468">
        <v>100</v>
      </c>
      <c r="K232" s="469">
        <v>30</v>
      </c>
    </row>
    <row r="233" spans="1:11" ht="14.4" customHeight="1" x14ac:dyDescent="0.3">
      <c r="A233" s="464" t="s">
        <v>529</v>
      </c>
      <c r="B233" s="465" t="s">
        <v>690</v>
      </c>
      <c r="C233" s="466" t="s">
        <v>540</v>
      </c>
      <c r="D233" s="467" t="s">
        <v>691</v>
      </c>
      <c r="E233" s="466" t="s">
        <v>1740</v>
      </c>
      <c r="F233" s="467" t="s">
        <v>1741</v>
      </c>
      <c r="G233" s="466" t="s">
        <v>1520</v>
      </c>
      <c r="H233" s="466" t="s">
        <v>1521</v>
      </c>
      <c r="I233" s="468">
        <v>0.3666666666666667</v>
      </c>
      <c r="J233" s="468">
        <v>2100</v>
      </c>
      <c r="K233" s="469">
        <v>821</v>
      </c>
    </row>
    <row r="234" spans="1:11" ht="14.4" customHeight="1" x14ac:dyDescent="0.3">
      <c r="A234" s="464" t="s">
        <v>529</v>
      </c>
      <c r="B234" s="465" t="s">
        <v>690</v>
      </c>
      <c r="C234" s="466" t="s">
        <v>540</v>
      </c>
      <c r="D234" s="467" t="s">
        <v>691</v>
      </c>
      <c r="E234" s="466" t="s">
        <v>1740</v>
      </c>
      <c r="F234" s="467" t="s">
        <v>1741</v>
      </c>
      <c r="G234" s="466" t="s">
        <v>1522</v>
      </c>
      <c r="H234" s="466" t="s">
        <v>1523</v>
      </c>
      <c r="I234" s="468">
        <v>1.7528571428571431</v>
      </c>
      <c r="J234" s="468">
        <v>36900</v>
      </c>
      <c r="K234" s="469">
        <v>64711</v>
      </c>
    </row>
    <row r="235" spans="1:11" ht="14.4" customHeight="1" x14ac:dyDescent="0.3">
      <c r="A235" s="464" t="s">
        <v>529</v>
      </c>
      <c r="B235" s="465" t="s">
        <v>690</v>
      </c>
      <c r="C235" s="466" t="s">
        <v>540</v>
      </c>
      <c r="D235" s="467" t="s">
        <v>691</v>
      </c>
      <c r="E235" s="466" t="s">
        <v>1734</v>
      </c>
      <c r="F235" s="467" t="s">
        <v>1735</v>
      </c>
      <c r="G235" s="466" t="s">
        <v>1151</v>
      </c>
      <c r="H235" s="466" t="s">
        <v>1152</v>
      </c>
      <c r="I235" s="468">
        <v>0.78</v>
      </c>
      <c r="J235" s="468">
        <v>400</v>
      </c>
      <c r="K235" s="469">
        <v>312</v>
      </c>
    </row>
    <row r="236" spans="1:11" ht="14.4" customHeight="1" x14ac:dyDescent="0.3">
      <c r="A236" s="464" t="s">
        <v>529</v>
      </c>
      <c r="B236" s="465" t="s">
        <v>690</v>
      </c>
      <c r="C236" s="466" t="s">
        <v>540</v>
      </c>
      <c r="D236" s="467" t="s">
        <v>691</v>
      </c>
      <c r="E236" s="466" t="s">
        <v>1734</v>
      </c>
      <c r="F236" s="467" t="s">
        <v>1735</v>
      </c>
      <c r="G236" s="466" t="s">
        <v>1153</v>
      </c>
      <c r="H236" s="466" t="s">
        <v>1154</v>
      </c>
      <c r="I236" s="468">
        <v>0.77249999999999996</v>
      </c>
      <c r="J236" s="468">
        <v>28500</v>
      </c>
      <c r="K236" s="469">
        <v>22020</v>
      </c>
    </row>
    <row r="237" spans="1:11" ht="14.4" customHeight="1" x14ac:dyDescent="0.3">
      <c r="A237" s="464" t="s">
        <v>529</v>
      </c>
      <c r="B237" s="465" t="s">
        <v>690</v>
      </c>
      <c r="C237" s="466" t="s">
        <v>540</v>
      </c>
      <c r="D237" s="467" t="s">
        <v>691</v>
      </c>
      <c r="E237" s="466" t="s">
        <v>1734</v>
      </c>
      <c r="F237" s="467" t="s">
        <v>1735</v>
      </c>
      <c r="G237" s="466" t="s">
        <v>1155</v>
      </c>
      <c r="H237" s="466" t="s">
        <v>1156</v>
      </c>
      <c r="I237" s="468">
        <v>0.77</v>
      </c>
      <c r="J237" s="468">
        <v>500</v>
      </c>
      <c r="K237" s="469">
        <v>385</v>
      </c>
    </row>
    <row r="238" spans="1:11" ht="14.4" customHeight="1" x14ac:dyDescent="0.3">
      <c r="A238" s="464" t="s">
        <v>529</v>
      </c>
      <c r="B238" s="465" t="s">
        <v>690</v>
      </c>
      <c r="C238" s="466" t="s">
        <v>540</v>
      </c>
      <c r="D238" s="467" t="s">
        <v>691</v>
      </c>
      <c r="E238" s="466" t="s">
        <v>1734</v>
      </c>
      <c r="F238" s="467" t="s">
        <v>1735</v>
      </c>
      <c r="G238" s="466" t="s">
        <v>1157</v>
      </c>
      <c r="H238" s="466" t="s">
        <v>1158</v>
      </c>
      <c r="I238" s="468">
        <v>0.71</v>
      </c>
      <c r="J238" s="468">
        <v>19000</v>
      </c>
      <c r="K238" s="469">
        <v>13490</v>
      </c>
    </row>
    <row r="239" spans="1:11" ht="14.4" customHeight="1" x14ac:dyDescent="0.3">
      <c r="A239" s="464" t="s">
        <v>529</v>
      </c>
      <c r="B239" s="465" t="s">
        <v>690</v>
      </c>
      <c r="C239" s="466" t="s">
        <v>540</v>
      </c>
      <c r="D239" s="467" t="s">
        <v>691</v>
      </c>
      <c r="E239" s="466" t="s">
        <v>1734</v>
      </c>
      <c r="F239" s="467" t="s">
        <v>1735</v>
      </c>
      <c r="G239" s="466" t="s">
        <v>1157</v>
      </c>
      <c r="H239" s="466" t="s">
        <v>1159</v>
      </c>
      <c r="I239" s="468">
        <v>0.71</v>
      </c>
      <c r="J239" s="468">
        <v>125000</v>
      </c>
      <c r="K239" s="469">
        <v>88750</v>
      </c>
    </row>
    <row r="240" spans="1:11" ht="14.4" customHeight="1" x14ac:dyDescent="0.3">
      <c r="A240" s="464" t="s">
        <v>529</v>
      </c>
      <c r="B240" s="465" t="s">
        <v>690</v>
      </c>
      <c r="C240" s="466" t="s">
        <v>540</v>
      </c>
      <c r="D240" s="467" t="s">
        <v>691</v>
      </c>
      <c r="E240" s="466" t="s">
        <v>1734</v>
      </c>
      <c r="F240" s="467" t="s">
        <v>1735</v>
      </c>
      <c r="G240" s="466" t="s">
        <v>1160</v>
      </c>
      <c r="H240" s="466" t="s">
        <v>1161</v>
      </c>
      <c r="I240" s="468">
        <v>0.71</v>
      </c>
      <c r="J240" s="468">
        <v>200</v>
      </c>
      <c r="K240" s="469">
        <v>142</v>
      </c>
    </row>
    <row r="241" spans="1:11" ht="14.4" customHeight="1" x14ac:dyDescent="0.3">
      <c r="A241" s="464" t="s">
        <v>529</v>
      </c>
      <c r="B241" s="465" t="s">
        <v>690</v>
      </c>
      <c r="C241" s="466" t="s">
        <v>540</v>
      </c>
      <c r="D241" s="467" t="s">
        <v>691</v>
      </c>
      <c r="E241" s="466" t="s">
        <v>1734</v>
      </c>
      <c r="F241" s="467" t="s">
        <v>1735</v>
      </c>
      <c r="G241" s="466" t="s">
        <v>1160</v>
      </c>
      <c r="H241" s="466" t="s">
        <v>1162</v>
      </c>
      <c r="I241" s="468">
        <v>0.71</v>
      </c>
      <c r="J241" s="468">
        <v>5600</v>
      </c>
      <c r="K241" s="469">
        <v>3976</v>
      </c>
    </row>
    <row r="242" spans="1:11" ht="14.4" customHeight="1" x14ac:dyDescent="0.3">
      <c r="A242" s="464" t="s">
        <v>529</v>
      </c>
      <c r="B242" s="465" t="s">
        <v>690</v>
      </c>
      <c r="C242" s="466" t="s">
        <v>540</v>
      </c>
      <c r="D242" s="467" t="s">
        <v>691</v>
      </c>
      <c r="E242" s="466" t="s">
        <v>1734</v>
      </c>
      <c r="F242" s="467" t="s">
        <v>1735</v>
      </c>
      <c r="G242" s="466" t="s">
        <v>1163</v>
      </c>
      <c r="H242" s="466" t="s">
        <v>1164</v>
      </c>
      <c r="I242" s="468">
        <v>0.71</v>
      </c>
      <c r="J242" s="468">
        <v>200</v>
      </c>
      <c r="K242" s="469">
        <v>142</v>
      </c>
    </row>
    <row r="243" spans="1:11" ht="14.4" customHeight="1" x14ac:dyDescent="0.3">
      <c r="A243" s="464" t="s">
        <v>529</v>
      </c>
      <c r="B243" s="465" t="s">
        <v>690</v>
      </c>
      <c r="C243" s="466" t="s">
        <v>540</v>
      </c>
      <c r="D243" s="467" t="s">
        <v>691</v>
      </c>
      <c r="E243" s="466" t="s">
        <v>1734</v>
      </c>
      <c r="F243" s="467" t="s">
        <v>1735</v>
      </c>
      <c r="G243" s="466" t="s">
        <v>1163</v>
      </c>
      <c r="H243" s="466" t="s">
        <v>1165</v>
      </c>
      <c r="I243" s="468">
        <v>0.71</v>
      </c>
      <c r="J243" s="468">
        <v>3200</v>
      </c>
      <c r="K243" s="469">
        <v>2272</v>
      </c>
    </row>
    <row r="244" spans="1:11" ht="14.4" customHeight="1" x14ac:dyDescent="0.3">
      <c r="A244" s="464" t="s">
        <v>529</v>
      </c>
      <c r="B244" s="465" t="s">
        <v>690</v>
      </c>
      <c r="C244" s="466" t="s">
        <v>540</v>
      </c>
      <c r="D244" s="467" t="s">
        <v>691</v>
      </c>
      <c r="E244" s="466" t="s">
        <v>1736</v>
      </c>
      <c r="F244" s="467" t="s">
        <v>1737</v>
      </c>
      <c r="G244" s="466" t="s">
        <v>1524</v>
      </c>
      <c r="H244" s="466" t="s">
        <v>1525</v>
      </c>
      <c r="I244" s="468">
        <v>1138.5</v>
      </c>
      <c r="J244" s="468">
        <v>8</v>
      </c>
      <c r="K244" s="469">
        <v>9108</v>
      </c>
    </row>
    <row r="245" spans="1:11" ht="14.4" customHeight="1" x14ac:dyDescent="0.3">
      <c r="A245" s="464" t="s">
        <v>529</v>
      </c>
      <c r="B245" s="465" t="s">
        <v>690</v>
      </c>
      <c r="C245" s="466" t="s">
        <v>540</v>
      </c>
      <c r="D245" s="467" t="s">
        <v>691</v>
      </c>
      <c r="E245" s="466" t="s">
        <v>1736</v>
      </c>
      <c r="F245" s="467" t="s">
        <v>1737</v>
      </c>
      <c r="G245" s="466" t="s">
        <v>1526</v>
      </c>
      <c r="H245" s="466" t="s">
        <v>1527</v>
      </c>
      <c r="I245" s="468">
        <v>3621.3626006320901</v>
      </c>
      <c r="J245" s="468">
        <v>3</v>
      </c>
      <c r="K245" s="469">
        <v>10864.08780189627</v>
      </c>
    </row>
    <row r="246" spans="1:11" ht="14.4" customHeight="1" x14ac:dyDescent="0.3">
      <c r="A246" s="464" t="s">
        <v>529</v>
      </c>
      <c r="B246" s="465" t="s">
        <v>690</v>
      </c>
      <c r="C246" s="466" t="s">
        <v>540</v>
      </c>
      <c r="D246" s="467" t="s">
        <v>691</v>
      </c>
      <c r="E246" s="466" t="s">
        <v>1736</v>
      </c>
      <c r="F246" s="467" t="s">
        <v>1737</v>
      </c>
      <c r="G246" s="466" t="s">
        <v>1528</v>
      </c>
      <c r="H246" s="466" t="s">
        <v>1529</v>
      </c>
      <c r="I246" s="468">
        <v>2861.20982685539</v>
      </c>
      <c r="J246" s="468">
        <v>2</v>
      </c>
      <c r="K246" s="469">
        <v>5722.41965371078</v>
      </c>
    </row>
    <row r="247" spans="1:11" ht="14.4" customHeight="1" x14ac:dyDescent="0.3">
      <c r="A247" s="464" t="s">
        <v>529</v>
      </c>
      <c r="B247" s="465" t="s">
        <v>690</v>
      </c>
      <c r="C247" s="466" t="s">
        <v>540</v>
      </c>
      <c r="D247" s="467" t="s">
        <v>691</v>
      </c>
      <c r="E247" s="466" t="s">
        <v>1736</v>
      </c>
      <c r="F247" s="467" t="s">
        <v>1737</v>
      </c>
      <c r="G247" s="466" t="s">
        <v>1530</v>
      </c>
      <c r="H247" s="466" t="s">
        <v>1531</v>
      </c>
      <c r="I247" s="468">
        <v>2861.20982685539</v>
      </c>
      <c r="J247" s="468">
        <v>2</v>
      </c>
      <c r="K247" s="469">
        <v>5722.41965371078</v>
      </c>
    </row>
    <row r="248" spans="1:11" ht="14.4" customHeight="1" x14ac:dyDescent="0.3">
      <c r="A248" s="464" t="s">
        <v>529</v>
      </c>
      <c r="B248" s="465" t="s">
        <v>690</v>
      </c>
      <c r="C248" s="466" t="s">
        <v>540</v>
      </c>
      <c r="D248" s="467" t="s">
        <v>691</v>
      </c>
      <c r="E248" s="466" t="s">
        <v>1736</v>
      </c>
      <c r="F248" s="467" t="s">
        <v>1737</v>
      </c>
      <c r="G248" s="466" t="s">
        <v>1532</v>
      </c>
      <c r="H248" s="466" t="s">
        <v>1533</v>
      </c>
      <c r="I248" s="468">
        <v>1503.0552022407601</v>
      </c>
      <c r="J248" s="468">
        <v>18</v>
      </c>
      <c r="K248" s="469">
        <v>27054.993640333683</v>
      </c>
    </row>
    <row r="249" spans="1:11" ht="14.4" customHeight="1" x14ac:dyDescent="0.3">
      <c r="A249" s="464" t="s">
        <v>529</v>
      </c>
      <c r="B249" s="465" t="s">
        <v>690</v>
      </c>
      <c r="C249" s="466" t="s">
        <v>540</v>
      </c>
      <c r="D249" s="467" t="s">
        <v>691</v>
      </c>
      <c r="E249" s="466" t="s">
        <v>1736</v>
      </c>
      <c r="F249" s="467" t="s">
        <v>1737</v>
      </c>
      <c r="G249" s="466" t="s">
        <v>1534</v>
      </c>
      <c r="H249" s="466" t="s">
        <v>1535</v>
      </c>
      <c r="I249" s="468">
        <v>1503.0552022407601</v>
      </c>
      <c r="J249" s="468">
        <v>18</v>
      </c>
      <c r="K249" s="469">
        <v>27054.993640333683</v>
      </c>
    </row>
    <row r="250" spans="1:11" ht="14.4" customHeight="1" x14ac:dyDescent="0.3">
      <c r="A250" s="464" t="s">
        <v>529</v>
      </c>
      <c r="B250" s="465" t="s">
        <v>690</v>
      </c>
      <c r="C250" s="466" t="s">
        <v>540</v>
      </c>
      <c r="D250" s="467" t="s">
        <v>691</v>
      </c>
      <c r="E250" s="466" t="s">
        <v>1736</v>
      </c>
      <c r="F250" s="467" t="s">
        <v>1737</v>
      </c>
      <c r="G250" s="466" t="s">
        <v>1536</v>
      </c>
      <c r="H250" s="466" t="s">
        <v>1537</v>
      </c>
      <c r="I250" s="468">
        <v>601.37206789902098</v>
      </c>
      <c r="J250" s="468">
        <v>4</v>
      </c>
      <c r="K250" s="469">
        <v>2405.4882715960839</v>
      </c>
    </row>
    <row r="251" spans="1:11" ht="14.4" customHeight="1" x14ac:dyDescent="0.3">
      <c r="A251" s="464" t="s">
        <v>529</v>
      </c>
      <c r="B251" s="465" t="s">
        <v>690</v>
      </c>
      <c r="C251" s="466" t="s">
        <v>540</v>
      </c>
      <c r="D251" s="467" t="s">
        <v>691</v>
      </c>
      <c r="E251" s="466" t="s">
        <v>1736</v>
      </c>
      <c r="F251" s="467" t="s">
        <v>1737</v>
      </c>
      <c r="G251" s="466" t="s">
        <v>1538</v>
      </c>
      <c r="H251" s="466" t="s">
        <v>1539</v>
      </c>
      <c r="I251" s="468">
        <v>1430.6049709276999</v>
      </c>
      <c r="J251" s="468">
        <v>7</v>
      </c>
      <c r="K251" s="469">
        <v>10014.2347964939</v>
      </c>
    </row>
    <row r="252" spans="1:11" ht="14.4" customHeight="1" x14ac:dyDescent="0.3">
      <c r="A252" s="464" t="s">
        <v>529</v>
      </c>
      <c r="B252" s="465" t="s">
        <v>690</v>
      </c>
      <c r="C252" s="466" t="s">
        <v>540</v>
      </c>
      <c r="D252" s="467" t="s">
        <v>691</v>
      </c>
      <c r="E252" s="466" t="s">
        <v>1736</v>
      </c>
      <c r="F252" s="467" t="s">
        <v>1737</v>
      </c>
      <c r="G252" s="466" t="s">
        <v>1540</v>
      </c>
      <c r="H252" s="466" t="s">
        <v>1541</v>
      </c>
      <c r="I252" s="468">
        <v>430.10150279498299</v>
      </c>
      <c r="J252" s="468">
        <v>15</v>
      </c>
      <c r="K252" s="469">
        <v>6451.5225419247445</v>
      </c>
    </row>
    <row r="253" spans="1:11" ht="14.4" customHeight="1" x14ac:dyDescent="0.3">
      <c r="A253" s="464" t="s">
        <v>529</v>
      </c>
      <c r="B253" s="465" t="s">
        <v>690</v>
      </c>
      <c r="C253" s="466" t="s">
        <v>540</v>
      </c>
      <c r="D253" s="467" t="s">
        <v>691</v>
      </c>
      <c r="E253" s="466" t="s">
        <v>1736</v>
      </c>
      <c r="F253" s="467" t="s">
        <v>1737</v>
      </c>
      <c r="G253" s="466" t="s">
        <v>1542</v>
      </c>
      <c r="H253" s="466" t="s">
        <v>1543</v>
      </c>
      <c r="I253" s="468">
        <v>9997.02</v>
      </c>
      <c r="J253" s="468">
        <v>1</v>
      </c>
      <c r="K253" s="469">
        <v>9997.02</v>
      </c>
    </row>
    <row r="254" spans="1:11" ht="14.4" customHeight="1" x14ac:dyDescent="0.3">
      <c r="A254" s="464" t="s">
        <v>529</v>
      </c>
      <c r="B254" s="465" t="s">
        <v>690</v>
      </c>
      <c r="C254" s="466" t="s">
        <v>540</v>
      </c>
      <c r="D254" s="467" t="s">
        <v>691</v>
      </c>
      <c r="E254" s="466" t="s">
        <v>1736</v>
      </c>
      <c r="F254" s="467" t="s">
        <v>1737</v>
      </c>
      <c r="G254" s="466" t="s">
        <v>1544</v>
      </c>
      <c r="H254" s="466" t="s">
        <v>1545</v>
      </c>
      <c r="I254" s="468">
        <v>11.66</v>
      </c>
      <c r="J254" s="468">
        <v>10</v>
      </c>
      <c r="K254" s="469">
        <v>116.64</v>
      </c>
    </row>
    <row r="255" spans="1:11" ht="14.4" customHeight="1" x14ac:dyDescent="0.3">
      <c r="A255" s="464" t="s">
        <v>529</v>
      </c>
      <c r="B255" s="465" t="s">
        <v>690</v>
      </c>
      <c r="C255" s="466" t="s">
        <v>540</v>
      </c>
      <c r="D255" s="467" t="s">
        <v>691</v>
      </c>
      <c r="E255" s="466" t="s">
        <v>1736</v>
      </c>
      <c r="F255" s="467" t="s">
        <v>1737</v>
      </c>
      <c r="G255" s="466" t="s">
        <v>1546</v>
      </c>
      <c r="H255" s="466" t="s">
        <v>1547</v>
      </c>
      <c r="I255" s="468">
        <v>17.54</v>
      </c>
      <c r="J255" s="468">
        <v>240</v>
      </c>
      <c r="K255" s="469">
        <v>4210.7999999999993</v>
      </c>
    </row>
    <row r="256" spans="1:11" ht="14.4" customHeight="1" x14ac:dyDescent="0.3">
      <c r="A256" s="464" t="s">
        <v>529</v>
      </c>
      <c r="B256" s="465" t="s">
        <v>690</v>
      </c>
      <c r="C256" s="466" t="s">
        <v>540</v>
      </c>
      <c r="D256" s="467" t="s">
        <v>691</v>
      </c>
      <c r="E256" s="466" t="s">
        <v>1736</v>
      </c>
      <c r="F256" s="467" t="s">
        <v>1737</v>
      </c>
      <c r="G256" s="466" t="s">
        <v>1548</v>
      </c>
      <c r="H256" s="466" t="s">
        <v>1549</v>
      </c>
      <c r="I256" s="468">
        <v>74761.866666666654</v>
      </c>
      <c r="J256" s="468">
        <v>21</v>
      </c>
      <c r="K256" s="469">
        <v>1569999.1999999997</v>
      </c>
    </row>
    <row r="257" spans="1:11" ht="14.4" customHeight="1" x14ac:dyDescent="0.3">
      <c r="A257" s="464" t="s">
        <v>529</v>
      </c>
      <c r="B257" s="465" t="s">
        <v>690</v>
      </c>
      <c r="C257" s="466" t="s">
        <v>540</v>
      </c>
      <c r="D257" s="467" t="s">
        <v>691</v>
      </c>
      <c r="E257" s="466" t="s">
        <v>1736</v>
      </c>
      <c r="F257" s="467" t="s">
        <v>1737</v>
      </c>
      <c r="G257" s="466" t="s">
        <v>1550</v>
      </c>
      <c r="H257" s="466" t="s">
        <v>1551</v>
      </c>
      <c r="I257" s="468">
        <v>152.46</v>
      </c>
      <c r="J257" s="468">
        <v>1</v>
      </c>
      <c r="K257" s="469">
        <v>152.46</v>
      </c>
    </row>
    <row r="258" spans="1:11" ht="14.4" customHeight="1" x14ac:dyDescent="0.3">
      <c r="A258" s="464" t="s">
        <v>529</v>
      </c>
      <c r="B258" s="465" t="s">
        <v>690</v>
      </c>
      <c r="C258" s="466" t="s">
        <v>540</v>
      </c>
      <c r="D258" s="467" t="s">
        <v>691</v>
      </c>
      <c r="E258" s="466" t="s">
        <v>1736</v>
      </c>
      <c r="F258" s="467" t="s">
        <v>1737</v>
      </c>
      <c r="G258" s="466" t="s">
        <v>1552</v>
      </c>
      <c r="H258" s="466" t="s">
        <v>1553</v>
      </c>
      <c r="I258" s="468">
        <v>1988.03</v>
      </c>
      <c r="J258" s="468">
        <v>21</v>
      </c>
      <c r="K258" s="469">
        <v>41748.629999999997</v>
      </c>
    </row>
    <row r="259" spans="1:11" ht="14.4" customHeight="1" x14ac:dyDescent="0.3">
      <c r="A259" s="464" t="s">
        <v>529</v>
      </c>
      <c r="B259" s="465" t="s">
        <v>690</v>
      </c>
      <c r="C259" s="466" t="s">
        <v>540</v>
      </c>
      <c r="D259" s="467" t="s">
        <v>691</v>
      </c>
      <c r="E259" s="466" t="s">
        <v>1736</v>
      </c>
      <c r="F259" s="467" t="s">
        <v>1737</v>
      </c>
      <c r="G259" s="466" t="s">
        <v>1554</v>
      </c>
      <c r="H259" s="466" t="s">
        <v>1555</v>
      </c>
      <c r="I259" s="468">
        <v>4247.0999999999995</v>
      </c>
      <c r="J259" s="468">
        <v>7</v>
      </c>
      <c r="K259" s="469">
        <v>29729.699999999997</v>
      </c>
    </row>
    <row r="260" spans="1:11" ht="14.4" customHeight="1" x14ac:dyDescent="0.3">
      <c r="A260" s="464" t="s">
        <v>529</v>
      </c>
      <c r="B260" s="465" t="s">
        <v>690</v>
      </c>
      <c r="C260" s="466" t="s">
        <v>540</v>
      </c>
      <c r="D260" s="467" t="s">
        <v>691</v>
      </c>
      <c r="E260" s="466" t="s">
        <v>1736</v>
      </c>
      <c r="F260" s="467" t="s">
        <v>1737</v>
      </c>
      <c r="G260" s="466" t="s">
        <v>1556</v>
      </c>
      <c r="H260" s="466" t="s">
        <v>1557</v>
      </c>
      <c r="I260" s="468">
        <v>54982.399999999994</v>
      </c>
      <c r="J260" s="468">
        <v>20</v>
      </c>
      <c r="K260" s="469">
        <v>1100591.7999999998</v>
      </c>
    </row>
    <row r="261" spans="1:11" ht="14.4" customHeight="1" x14ac:dyDescent="0.3">
      <c r="A261" s="464" t="s">
        <v>529</v>
      </c>
      <c r="B261" s="465" t="s">
        <v>690</v>
      </c>
      <c r="C261" s="466" t="s">
        <v>540</v>
      </c>
      <c r="D261" s="467" t="s">
        <v>691</v>
      </c>
      <c r="E261" s="466" t="s">
        <v>1736</v>
      </c>
      <c r="F261" s="467" t="s">
        <v>1737</v>
      </c>
      <c r="G261" s="466" t="s">
        <v>1558</v>
      </c>
      <c r="H261" s="466" t="s">
        <v>1559</v>
      </c>
      <c r="I261" s="468">
        <v>12.58</v>
      </c>
      <c r="J261" s="468">
        <v>540</v>
      </c>
      <c r="K261" s="469">
        <v>6795.3600000000006</v>
      </c>
    </row>
    <row r="262" spans="1:11" ht="14.4" customHeight="1" x14ac:dyDescent="0.3">
      <c r="A262" s="464" t="s">
        <v>529</v>
      </c>
      <c r="B262" s="465" t="s">
        <v>690</v>
      </c>
      <c r="C262" s="466" t="s">
        <v>540</v>
      </c>
      <c r="D262" s="467" t="s">
        <v>691</v>
      </c>
      <c r="E262" s="466" t="s">
        <v>1736</v>
      </c>
      <c r="F262" s="467" t="s">
        <v>1737</v>
      </c>
      <c r="G262" s="466" t="s">
        <v>1560</v>
      </c>
      <c r="H262" s="466" t="s">
        <v>1561</v>
      </c>
      <c r="I262" s="468">
        <v>10.89</v>
      </c>
      <c r="J262" s="468">
        <v>2200</v>
      </c>
      <c r="K262" s="469">
        <v>23958</v>
      </c>
    </row>
    <row r="263" spans="1:11" ht="14.4" customHeight="1" x14ac:dyDescent="0.3">
      <c r="A263" s="464" t="s">
        <v>529</v>
      </c>
      <c r="B263" s="465" t="s">
        <v>690</v>
      </c>
      <c r="C263" s="466" t="s">
        <v>540</v>
      </c>
      <c r="D263" s="467" t="s">
        <v>691</v>
      </c>
      <c r="E263" s="466" t="s">
        <v>1736</v>
      </c>
      <c r="F263" s="467" t="s">
        <v>1737</v>
      </c>
      <c r="G263" s="466" t="s">
        <v>1562</v>
      </c>
      <c r="H263" s="466" t="s">
        <v>1563</v>
      </c>
      <c r="I263" s="468">
        <v>410.185</v>
      </c>
      <c r="J263" s="468">
        <v>2</v>
      </c>
      <c r="K263" s="469">
        <v>820.37</v>
      </c>
    </row>
    <row r="264" spans="1:11" ht="14.4" customHeight="1" x14ac:dyDescent="0.3">
      <c r="A264" s="464" t="s">
        <v>529</v>
      </c>
      <c r="B264" s="465" t="s">
        <v>690</v>
      </c>
      <c r="C264" s="466" t="s">
        <v>540</v>
      </c>
      <c r="D264" s="467" t="s">
        <v>691</v>
      </c>
      <c r="E264" s="466" t="s">
        <v>1736</v>
      </c>
      <c r="F264" s="467" t="s">
        <v>1737</v>
      </c>
      <c r="G264" s="466" t="s">
        <v>1192</v>
      </c>
      <c r="H264" s="466" t="s">
        <v>1564</v>
      </c>
      <c r="I264" s="468">
        <v>15754.2</v>
      </c>
      <c r="J264" s="468">
        <v>3</v>
      </c>
      <c r="K264" s="469">
        <v>47262.600000000006</v>
      </c>
    </row>
    <row r="265" spans="1:11" ht="14.4" customHeight="1" x14ac:dyDescent="0.3">
      <c r="A265" s="464" t="s">
        <v>529</v>
      </c>
      <c r="B265" s="465" t="s">
        <v>690</v>
      </c>
      <c r="C265" s="466" t="s">
        <v>540</v>
      </c>
      <c r="D265" s="467" t="s">
        <v>691</v>
      </c>
      <c r="E265" s="466" t="s">
        <v>1736</v>
      </c>
      <c r="F265" s="467" t="s">
        <v>1737</v>
      </c>
      <c r="G265" s="466" t="s">
        <v>1192</v>
      </c>
      <c r="H265" s="466" t="s">
        <v>1193</v>
      </c>
      <c r="I265" s="468">
        <v>18339.95</v>
      </c>
      <c r="J265" s="468">
        <v>4</v>
      </c>
      <c r="K265" s="469">
        <v>73359.8</v>
      </c>
    </row>
    <row r="266" spans="1:11" ht="14.4" customHeight="1" x14ac:dyDescent="0.3">
      <c r="A266" s="464" t="s">
        <v>529</v>
      </c>
      <c r="B266" s="465" t="s">
        <v>690</v>
      </c>
      <c r="C266" s="466" t="s">
        <v>540</v>
      </c>
      <c r="D266" s="467" t="s">
        <v>691</v>
      </c>
      <c r="E266" s="466" t="s">
        <v>1736</v>
      </c>
      <c r="F266" s="467" t="s">
        <v>1737</v>
      </c>
      <c r="G266" s="466" t="s">
        <v>1565</v>
      </c>
      <c r="H266" s="466" t="s">
        <v>1566</v>
      </c>
      <c r="I266" s="468">
        <v>7991.7474999999995</v>
      </c>
      <c r="J266" s="468">
        <v>27</v>
      </c>
      <c r="K266" s="469">
        <v>216711.00000000003</v>
      </c>
    </row>
    <row r="267" spans="1:11" ht="14.4" customHeight="1" x14ac:dyDescent="0.3">
      <c r="A267" s="464" t="s">
        <v>529</v>
      </c>
      <c r="B267" s="465" t="s">
        <v>690</v>
      </c>
      <c r="C267" s="466" t="s">
        <v>540</v>
      </c>
      <c r="D267" s="467" t="s">
        <v>691</v>
      </c>
      <c r="E267" s="466" t="s">
        <v>1736</v>
      </c>
      <c r="F267" s="467" t="s">
        <v>1737</v>
      </c>
      <c r="G267" s="466" t="s">
        <v>1567</v>
      </c>
      <c r="H267" s="466" t="s">
        <v>1568</v>
      </c>
      <c r="I267" s="468">
        <v>232634.59999999998</v>
      </c>
      <c r="J267" s="468">
        <v>9</v>
      </c>
      <c r="K267" s="469">
        <v>2093711.4000000001</v>
      </c>
    </row>
    <row r="268" spans="1:11" ht="14.4" customHeight="1" x14ac:dyDescent="0.3">
      <c r="A268" s="464" t="s">
        <v>529</v>
      </c>
      <c r="B268" s="465" t="s">
        <v>690</v>
      </c>
      <c r="C268" s="466" t="s">
        <v>540</v>
      </c>
      <c r="D268" s="467" t="s">
        <v>691</v>
      </c>
      <c r="E268" s="466" t="s">
        <v>1736</v>
      </c>
      <c r="F268" s="467" t="s">
        <v>1737</v>
      </c>
      <c r="G268" s="466" t="s">
        <v>1569</v>
      </c>
      <c r="H268" s="466" t="s">
        <v>1570</v>
      </c>
      <c r="I268" s="468">
        <v>5115.88</v>
      </c>
      <c r="J268" s="468">
        <v>11</v>
      </c>
      <c r="K268" s="469">
        <v>56274.68</v>
      </c>
    </row>
    <row r="269" spans="1:11" ht="14.4" customHeight="1" x14ac:dyDescent="0.3">
      <c r="A269" s="464" t="s">
        <v>529</v>
      </c>
      <c r="B269" s="465" t="s">
        <v>690</v>
      </c>
      <c r="C269" s="466" t="s">
        <v>540</v>
      </c>
      <c r="D269" s="467" t="s">
        <v>691</v>
      </c>
      <c r="E269" s="466" t="s">
        <v>1736</v>
      </c>
      <c r="F269" s="467" t="s">
        <v>1737</v>
      </c>
      <c r="G269" s="466" t="s">
        <v>1194</v>
      </c>
      <c r="H269" s="466" t="s">
        <v>1195</v>
      </c>
      <c r="I269" s="468">
        <v>2359.5</v>
      </c>
      <c r="J269" s="468">
        <v>2</v>
      </c>
      <c r="K269" s="469">
        <v>4719</v>
      </c>
    </row>
    <row r="270" spans="1:11" ht="14.4" customHeight="1" x14ac:dyDescent="0.3">
      <c r="A270" s="464" t="s">
        <v>529</v>
      </c>
      <c r="B270" s="465" t="s">
        <v>690</v>
      </c>
      <c r="C270" s="466" t="s">
        <v>540</v>
      </c>
      <c r="D270" s="467" t="s">
        <v>691</v>
      </c>
      <c r="E270" s="466" t="s">
        <v>1736</v>
      </c>
      <c r="F270" s="467" t="s">
        <v>1737</v>
      </c>
      <c r="G270" s="466" t="s">
        <v>1571</v>
      </c>
      <c r="H270" s="466" t="s">
        <v>1572</v>
      </c>
      <c r="I270" s="468">
        <v>9.0772727272727263</v>
      </c>
      <c r="J270" s="468">
        <v>3300</v>
      </c>
      <c r="K270" s="469">
        <v>29947.5</v>
      </c>
    </row>
    <row r="271" spans="1:11" ht="14.4" customHeight="1" x14ac:dyDescent="0.3">
      <c r="A271" s="464" t="s">
        <v>529</v>
      </c>
      <c r="B271" s="465" t="s">
        <v>690</v>
      </c>
      <c r="C271" s="466" t="s">
        <v>540</v>
      </c>
      <c r="D271" s="467" t="s">
        <v>691</v>
      </c>
      <c r="E271" s="466" t="s">
        <v>1736</v>
      </c>
      <c r="F271" s="467" t="s">
        <v>1737</v>
      </c>
      <c r="G271" s="466" t="s">
        <v>1573</v>
      </c>
      <c r="H271" s="466" t="s">
        <v>1574</v>
      </c>
      <c r="I271" s="468">
        <v>612.54</v>
      </c>
      <c r="J271" s="468">
        <v>2</v>
      </c>
      <c r="K271" s="469">
        <v>1225.08</v>
      </c>
    </row>
    <row r="272" spans="1:11" ht="14.4" customHeight="1" x14ac:dyDescent="0.3">
      <c r="A272" s="464" t="s">
        <v>529</v>
      </c>
      <c r="B272" s="465" t="s">
        <v>690</v>
      </c>
      <c r="C272" s="466" t="s">
        <v>540</v>
      </c>
      <c r="D272" s="467" t="s">
        <v>691</v>
      </c>
      <c r="E272" s="466" t="s">
        <v>1736</v>
      </c>
      <c r="F272" s="467" t="s">
        <v>1737</v>
      </c>
      <c r="G272" s="466" t="s">
        <v>1575</v>
      </c>
      <c r="H272" s="466" t="s">
        <v>1576</v>
      </c>
      <c r="I272" s="468">
        <v>14217.5</v>
      </c>
      <c r="J272" s="468">
        <v>76</v>
      </c>
      <c r="K272" s="469">
        <v>1080530</v>
      </c>
    </row>
    <row r="273" spans="1:11" ht="14.4" customHeight="1" x14ac:dyDescent="0.3">
      <c r="A273" s="464" t="s">
        <v>529</v>
      </c>
      <c r="B273" s="465" t="s">
        <v>690</v>
      </c>
      <c r="C273" s="466" t="s">
        <v>540</v>
      </c>
      <c r="D273" s="467" t="s">
        <v>691</v>
      </c>
      <c r="E273" s="466" t="s">
        <v>1736</v>
      </c>
      <c r="F273" s="467" t="s">
        <v>1737</v>
      </c>
      <c r="G273" s="466" t="s">
        <v>1577</v>
      </c>
      <c r="H273" s="466" t="s">
        <v>1578</v>
      </c>
      <c r="I273" s="468">
        <v>5754.76</v>
      </c>
      <c r="J273" s="468">
        <v>2</v>
      </c>
      <c r="K273" s="469">
        <v>11509.52</v>
      </c>
    </row>
    <row r="274" spans="1:11" ht="14.4" customHeight="1" x14ac:dyDescent="0.3">
      <c r="A274" s="464" t="s">
        <v>529</v>
      </c>
      <c r="B274" s="465" t="s">
        <v>690</v>
      </c>
      <c r="C274" s="466" t="s">
        <v>540</v>
      </c>
      <c r="D274" s="467" t="s">
        <v>691</v>
      </c>
      <c r="E274" s="466" t="s">
        <v>1736</v>
      </c>
      <c r="F274" s="467" t="s">
        <v>1737</v>
      </c>
      <c r="G274" s="466" t="s">
        <v>1579</v>
      </c>
      <c r="H274" s="466" t="s">
        <v>1580</v>
      </c>
      <c r="I274" s="468">
        <v>1161.6000000000001</v>
      </c>
      <c r="J274" s="468">
        <v>140</v>
      </c>
      <c r="K274" s="469">
        <v>162624</v>
      </c>
    </row>
    <row r="275" spans="1:11" ht="14.4" customHeight="1" x14ac:dyDescent="0.3">
      <c r="A275" s="464" t="s">
        <v>529</v>
      </c>
      <c r="B275" s="465" t="s">
        <v>690</v>
      </c>
      <c r="C275" s="466" t="s">
        <v>540</v>
      </c>
      <c r="D275" s="467" t="s">
        <v>691</v>
      </c>
      <c r="E275" s="466" t="s">
        <v>1736</v>
      </c>
      <c r="F275" s="467" t="s">
        <v>1737</v>
      </c>
      <c r="G275" s="466" t="s">
        <v>1581</v>
      </c>
      <c r="H275" s="466" t="s">
        <v>1582</v>
      </c>
      <c r="I275" s="468">
        <v>8597.41</v>
      </c>
      <c r="J275" s="468">
        <v>5</v>
      </c>
      <c r="K275" s="469">
        <v>42987.06</v>
      </c>
    </row>
    <row r="276" spans="1:11" ht="14.4" customHeight="1" x14ac:dyDescent="0.3">
      <c r="A276" s="464" t="s">
        <v>529</v>
      </c>
      <c r="B276" s="465" t="s">
        <v>690</v>
      </c>
      <c r="C276" s="466" t="s">
        <v>540</v>
      </c>
      <c r="D276" s="467" t="s">
        <v>691</v>
      </c>
      <c r="E276" s="466" t="s">
        <v>1736</v>
      </c>
      <c r="F276" s="467" t="s">
        <v>1737</v>
      </c>
      <c r="G276" s="466" t="s">
        <v>1581</v>
      </c>
      <c r="H276" s="466" t="s">
        <v>1583</v>
      </c>
      <c r="I276" s="468">
        <v>8310.8266666666659</v>
      </c>
      <c r="J276" s="468">
        <v>10</v>
      </c>
      <c r="K276" s="469">
        <v>80815.62999999999</v>
      </c>
    </row>
    <row r="277" spans="1:11" ht="14.4" customHeight="1" x14ac:dyDescent="0.3">
      <c r="A277" s="464" t="s">
        <v>529</v>
      </c>
      <c r="B277" s="465" t="s">
        <v>690</v>
      </c>
      <c r="C277" s="466" t="s">
        <v>540</v>
      </c>
      <c r="D277" s="467" t="s">
        <v>691</v>
      </c>
      <c r="E277" s="466" t="s">
        <v>1736</v>
      </c>
      <c r="F277" s="467" t="s">
        <v>1737</v>
      </c>
      <c r="G277" s="466" t="s">
        <v>1584</v>
      </c>
      <c r="H277" s="466" t="s">
        <v>1585</v>
      </c>
      <c r="I277" s="468">
        <v>2197.9972727272725</v>
      </c>
      <c r="J277" s="468">
        <v>122</v>
      </c>
      <c r="K277" s="469">
        <v>276387.26</v>
      </c>
    </row>
    <row r="278" spans="1:11" ht="14.4" customHeight="1" x14ac:dyDescent="0.3">
      <c r="A278" s="464" t="s">
        <v>529</v>
      </c>
      <c r="B278" s="465" t="s">
        <v>690</v>
      </c>
      <c r="C278" s="466" t="s">
        <v>540</v>
      </c>
      <c r="D278" s="467" t="s">
        <v>691</v>
      </c>
      <c r="E278" s="466" t="s">
        <v>1736</v>
      </c>
      <c r="F278" s="467" t="s">
        <v>1737</v>
      </c>
      <c r="G278" s="466" t="s">
        <v>1586</v>
      </c>
      <c r="H278" s="466" t="s">
        <v>1587</v>
      </c>
      <c r="I278" s="468">
        <v>1690.5</v>
      </c>
      <c r="J278" s="468">
        <v>5</v>
      </c>
      <c r="K278" s="469">
        <v>8452.48</v>
      </c>
    </row>
    <row r="279" spans="1:11" ht="14.4" customHeight="1" x14ac:dyDescent="0.3">
      <c r="A279" s="464" t="s">
        <v>529</v>
      </c>
      <c r="B279" s="465" t="s">
        <v>690</v>
      </c>
      <c r="C279" s="466" t="s">
        <v>540</v>
      </c>
      <c r="D279" s="467" t="s">
        <v>691</v>
      </c>
      <c r="E279" s="466" t="s">
        <v>1736</v>
      </c>
      <c r="F279" s="467" t="s">
        <v>1737</v>
      </c>
      <c r="G279" s="466" t="s">
        <v>1586</v>
      </c>
      <c r="H279" s="466" t="s">
        <v>1588</v>
      </c>
      <c r="I279" s="468">
        <v>1521.45</v>
      </c>
      <c r="J279" s="468">
        <v>76</v>
      </c>
      <c r="K279" s="469">
        <v>116306.31999999999</v>
      </c>
    </row>
    <row r="280" spans="1:11" ht="14.4" customHeight="1" x14ac:dyDescent="0.3">
      <c r="A280" s="464" t="s">
        <v>529</v>
      </c>
      <c r="B280" s="465" t="s">
        <v>690</v>
      </c>
      <c r="C280" s="466" t="s">
        <v>540</v>
      </c>
      <c r="D280" s="467" t="s">
        <v>691</v>
      </c>
      <c r="E280" s="466" t="s">
        <v>1736</v>
      </c>
      <c r="F280" s="467" t="s">
        <v>1737</v>
      </c>
      <c r="G280" s="466" t="s">
        <v>1589</v>
      </c>
      <c r="H280" s="466" t="s">
        <v>1590</v>
      </c>
      <c r="I280" s="468">
        <v>1818.1500000000003</v>
      </c>
      <c r="J280" s="468">
        <v>45</v>
      </c>
      <c r="K280" s="469">
        <v>81816.66</v>
      </c>
    </row>
    <row r="281" spans="1:11" ht="14.4" customHeight="1" x14ac:dyDescent="0.3">
      <c r="A281" s="464" t="s">
        <v>529</v>
      </c>
      <c r="B281" s="465" t="s">
        <v>690</v>
      </c>
      <c r="C281" s="466" t="s">
        <v>540</v>
      </c>
      <c r="D281" s="467" t="s">
        <v>691</v>
      </c>
      <c r="E281" s="466" t="s">
        <v>1736</v>
      </c>
      <c r="F281" s="467" t="s">
        <v>1737</v>
      </c>
      <c r="G281" s="466" t="s">
        <v>1589</v>
      </c>
      <c r="H281" s="466" t="s">
        <v>1591</v>
      </c>
      <c r="I281" s="468">
        <v>1656.5366666666664</v>
      </c>
      <c r="J281" s="468">
        <v>112</v>
      </c>
      <c r="K281" s="469">
        <v>181087.66000000003</v>
      </c>
    </row>
    <row r="282" spans="1:11" ht="14.4" customHeight="1" x14ac:dyDescent="0.3">
      <c r="A282" s="464" t="s">
        <v>529</v>
      </c>
      <c r="B282" s="465" t="s">
        <v>690</v>
      </c>
      <c r="C282" s="466" t="s">
        <v>540</v>
      </c>
      <c r="D282" s="467" t="s">
        <v>691</v>
      </c>
      <c r="E282" s="466" t="s">
        <v>1736</v>
      </c>
      <c r="F282" s="467" t="s">
        <v>1737</v>
      </c>
      <c r="G282" s="466" t="s">
        <v>1592</v>
      </c>
      <c r="H282" s="466" t="s">
        <v>1593</v>
      </c>
      <c r="I282" s="468">
        <v>4328.1766666666672</v>
      </c>
      <c r="J282" s="468">
        <v>45</v>
      </c>
      <c r="K282" s="469">
        <v>194767.99</v>
      </c>
    </row>
    <row r="283" spans="1:11" ht="14.4" customHeight="1" x14ac:dyDescent="0.3">
      <c r="A283" s="464" t="s">
        <v>529</v>
      </c>
      <c r="B283" s="465" t="s">
        <v>690</v>
      </c>
      <c r="C283" s="466" t="s">
        <v>540</v>
      </c>
      <c r="D283" s="467" t="s">
        <v>691</v>
      </c>
      <c r="E283" s="466" t="s">
        <v>1736</v>
      </c>
      <c r="F283" s="467" t="s">
        <v>1737</v>
      </c>
      <c r="G283" s="466" t="s">
        <v>1592</v>
      </c>
      <c r="H283" s="466" t="s">
        <v>1594</v>
      </c>
      <c r="I283" s="468">
        <v>3943.4500000000003</v>
      </c>
      <c r="J283" s="468">
        <v>144</v>
      </c>
      <c r="K283" s="469">
        <v>576512.77999999991</v>
      </c>
    </row>
    <row r="284" spans="1:11" ht="14.4" customHeight="1" x14ac:dyDescent="0.3">
      <c r="A284" s="464" t="s">
        <v>529</v>
      </c>
      <c r="B284" s="465" t="s">
        <v>690</v>
      </c>
      <c r="C284" s="466" t="s">
        <v>540</v>
      </c>
      <c r="D284" s="467" t="s">
        <v>691</v>
      </c>
      <c r="E284" s="466" t="s">
        <v>1736</v>
      </c>
      <c r="F284" s="467" t="s">
        <v>1737</v>
      </c>
      <c r="G284" s="466" t="s">
        <v>1196</v>
      </c>
      <c r="H284" s="466" t="s">
        <v>1595</v>
      </c>
      <c r="I284" s="468">
        <v>158464.08666666667</v>
      </c>
      <c r="J284" s="468">
        <v>3</v>
      </c>
      <c r="K284" s="469">
        <v>475392.26</v>
      </c>
    </row>
    <row r="285" spans="1:11" ht="14.4" customHeight="1" x14ac:dyDescent="0.3">
      <c r="A285" s="464" t="s">
        <v>529</v>
      </c>
      <c r="B285" s="465" t="s">
        <v>690</v>
      </c>
      <c r="C285" s="466" t="s">
        <v>540</v>
      </c>
      <c r="D285" s="467" t="s">
        <v>691</v>
      </c>
      <c r="E285" s="466" t="s">
        <v>1736</v>
      </c>
      <c r="F285" s="467" t="s">
        <v>1737</v>
      </c>
      <c r="G285" s="466" t="s">
        <v>1196</v>
      </c>
      <c r="H285" s="466" t="s">
        <v>1197</v>
      </c>
      <c r="I285" s="468">
        <v>141911.13500000001</v>
      </c>
      <c r="J285" s="468">
        <v>9</v>
      </c>
      <c r="K285" s="469">
        <v>1261717.8899999999</v>
      </c>
    </row>
    <row r="286" spans="1:11" ht="14.4" customHeight="1" x14ac:dyDescent="0.3">
      <c r="A286" s="464" t="s">
        <v>529</v>
      </c>
      <c r="B286" s="465" t="s">
        <v>690</v>
      </c>
      <c r="C286" s="466" t="s">
        <v>540</v>
      </c>
      <c r="D286" s="467" t="s">
        <v>691</v>
      </c>
      <c r="E286" s="466" t="s">
        <v>1736</v>
      </c>
      <c r="F286" s="467" t="s">
        <v>1737</v>
      </c>
      <c r="G286" s="466" t="s">
        <v>1596</v>
      </c>
      <c r="H286" s="466" t="s">
        <v>1597</v>
      </c>
      <c r="I286" s="468">
        <v>2935.4650000000001</v>
      </c>
      <c r="J286" s="468">
        <v>30</v>
      </c>
      <c r="K286" s="469">
        <v>88063.89</v>
      </c>
    </row>
    <row r="287" spans="1:11" ht="14.4" customHeight="1" x14ac:dyDescent="0.3">
      <c r="A287" s="464" t="s">
        <v>529</v>
      </c>
      <c r="B287" s="465" t="s">
        <v>690</v>
      </c>
      <c r="C287" s="466" t="s">
        <v>540</v>
      </c>
      <c r="D287" s="467" t="s">
        <v>691</v>
      </c>
      <c r="E287" s="466" t="s">
        <v>1736</v>
      </c>
      <c r="F287" s="467" t="s">
        <v>1737</v>
      </c>
      <c r="G287" s="466" t="s">
        <v>1598</v>
      </c>
      <c r="H287" s="466" t="s">
        <v>1599</v>
      </c>
      <c r="I287" s="468">
        <v>131990</v>
      </c>
      <c r="J287" s="468">
        <v>1</v>
      </c>
      <c r="K287" s="469">
        <v>131990</v>
      </c>
    </row>
    <row r="288" spans="1:11" ht="14.4" customHeight="1" x14ac:dyDescent="0.3">
      <c r="A288" s="464" t="s">
        <v>529</v>
      </c>
      <c r="B288" s="465" t="s">
        <v>690</v>
      </c>
      <c r="C288" s="466" t="s">
        <v>540</v>
      </c>
      <c r="D288" s="467" t="s">
        <v>691</v>
      </c>
      <c r="E288" s="466" t="s">
        <v>1736</v>
      </c>
      <c r="F288" s="467" t="s">
        <v>1737</v>
      </c>
      <c r="G288" s="466" t="s">
        <v>1598</v>
      </c>
      <c r="H288" s="466" t="s">
        <v>1600</v>
      </c>
      <c r="I288" s="468">
        <v>125390.12</v>
      </c>
      <c r="J288" s="468">
        <v>1</v>
      </c>
      <c r="K288" s="469">
        <v>125390.12</v>
      </c>
    </row>
    <row r="289" spans="1:11" ht="14.4" customHeight="1" x14ac:dyDescent="0.3">
      <c r="A289" s="464" t="s">
        <v>529</v>
      </c>
      <c r="B289" s="465" t="s">
        <v>690</v>
      </c>
      <c r="C289" s="466" t="s">
        <v>540</v>
      </c>
      <c r="D289" s="467" t="s">
        <v>691</v>
      </c>
      <c r="E289" s="466" t="s">
        <v>1736</v>
      </c>
      <c r="F289" s="467" t="s">
        <v>1737</v>
      </c>
      <c r="G289" s="466" t="s">
        <v>1202</v>
      </c>
      <c r="H289" s="466" t="s">
        <v>1203</v>
      </c>
      <c r="I289" s="468">
        <v>3642.1200000000003</v>
      </c>
      <c r="J289" s="468">
        <v>5</v>
      </c>
      <c r="K289" s="469">
        <v>18240.87</v>
      </c>
    </row>
    <row r="290" spans="1:11" ht="14.4" customHeight="1" x14ac:dyDescent="0.3">
      <c r="A290" s="464" t="s">
        <v>529</v>
      </c>
      <c r="B290" s="465" t="s">
        <v>690</v>
      </c>
      <c r="C290" s="466" t="s">
        <v>540</v>
      </c>
      <c r="D290" s="467" t="s">
        <v>691</v>
      </c>
      <c r="E290" s="466" t="s">
        <v>1736</v>
      </c>
      <c r="F290" s="467" t="s">
        <v>1737</v>
      </c>
      <c r="G290" s="466" t="s">
        <v>1212</v>
      </c>
      <c r="H290" s="466" t="s">
        <v>1213</v>
      </c>
      <c r="I290" s="468">
        <v>4577.3999999999996</v>
      </c>
      <c r="J290" s="468">
        <v>2</v>
      </c>
      <c r="K290" s="469">
        <v>9154.7900000000009</v>
      </c>
    </row>
    <row r="291" spans="1:11" ht="14.4" customHeight="1" x14ac:dyDescent="0.3">
      <c r="A291" s="464" t="s">
        <v>529</v>
      </c>
      <c r="B291" s="465" t="s">
        <v>690</v>
      </c>
      <c r="C291" s="466" t="s">
        <v>540</v>
      </c>
      <c r="D291" s="467" t="s">
        <v>691</v>
      </c>
      <c r="E291" s="466" t="s">
        <v>1736</v>
      </c>
      <c r="F291" s="467" t="s">
        <v>1737</v>
      </c>
      <c r="G291" s="466" t="s">
        <v>1214</v>
      </c>
      <c r="H291" s="466" t="s">
        <v>1215</v>
      </c>
      <c r="I291" s="468">
        <v>2133.2379999999998</v>
      </c>
      <c r="J291" s="468">
        <v>50</v>
      </c>
      <c r="K291" s="469">
        <v>106661.42</v>
      </c>
    </row>
    <row r="292" spans="1:11" ht="14.4" customHeight="1" x14ac:dyDescent="0.3">
      <c r="A292" s="464" t="s">
        <v>529</v>
      </c>
      <c r="B292" s="465" t="s">
        <v>690</v>
      </c>
      <c r="C292" s="466" t="s">
        <v>540</v>
      </c>
      <c r="D292" s="467" t="s">
        <v>691</v>
      </c>
      <c r="E292" s="466" t="s">
        <v>1736</v>
      </c>
      <c r="F292" s="467" t="s">
        <v>1737</v>
      </c>
      <c r="G292" s="466" t="s">
        <v>1220</v>
      </c>
      <c r="H292" s="466" t="s">
        <v>1221</v>
      </c>
      <c r="I292" s="468">
        <v>1138.5</v>
      </c>
      <c r="J292" s="468">
        <v>10</v>
      </c>
      <c r="K292" s="469">
        <v>11385</v>
      </c>
    </row>
    <row r="293" spans="1:11" ht="14.4" customHeight="1" x14ac:dyDescent="0.3">
      <c r="A293" s="464" t="s">
        <v>529</v>
      </c>
      <c r="B293" s="465" t="s">
        <v>690</v>
      </c>
      <c r="C293" s="466" t="s">
        <v>540</v>
      </c>
      <c r="D293" s="467" t="s">
        <v>691</v>
      </c>
      <c r="E293" s="466" t="s">
        <v>1736</v>
      </c>
      <c r="F293" s="467" t="s">
        <v>1737</v>
      </c>
      <c r="G293" s="466" t="s">
        <v>1601</v>
      </c>
      <c r="H293" s="466" t="s">
        <v>1602</v>
      </c>
      <c r="I293" s="468">
        <v>4904.13</v>
      </c>
      <c r="J293" s="468">
        <v>4</v>
      </c>
      <c r="K293" s="469">
        <v>19616.52</v>
      </c>
    </row>
    <row r="294" spans="1:11" ht="14.4" customHeight="1" x14ac:dyDescent="0.3">
      <c r="A294" s="464" t="s">
        <v>529</v>
      </c>
      <c r="B294" s="465" t="s">
        <v>690</v>
      </c>
      <c r="C294" s="466" t="s">
        <v>540</v>
      </c>
      <c r="D294" s="467" t="s">
        <v>691</v>
      </c>
      <c r="E294" s="466" t="s">
        <v>1736</v>
      </c>
      <c r="F294" s="467" t="s">
        <v>1737</v>
      </c>
      <c r="G294" s="466" t="s">
        <v>1603</v>
      </c>
      <c r="H294" s="466" t="s">
        <v>1604</v>
      </c>
      <c r="I294" s="468">
        <v>1724.25</v>
      </c>
      <c r="J294" s="468">
        <v>25</v>
      </c>
      <c r="K294" s="469">
        <v>43106.25</v>
      </c>
    </row>
    <row r="295" spans="1:11" ht="14.4" customHeight="1" x14ac:dyDescent="0.3">
      <c r="A295" s="464" t="s">
        <v>529</v>
      </c>
      <c r="B295" s="465" t="s">
        <v>690</v>
      </c>
      <c r="C295" s="466" t="s">
        <v>540</v>
      </c>
      <c r="D295" s="467" t="s">
        <v>691</v>
      </c>
      <c r="E295" s="466" t="s">
        <v>1736</v>
      </c>
      <c r="F295" s="467" t="s">
        <v>1737</v>
      </c>
      <c r="G295" s="466" t="s">
        <v>1605</v>
      </c>
      <c r="H295" s="466" t="s">
        <v>1606</v>
      </c>
      <c r="I295" s="468">
        <v>1815</v>
      </c>
      <c r="J295" s="468">
        <v>2</v>
      </c>
      <c r="K295" s="469">
        <v>3630</v>
      </c>
    </row>
    <row r="296" spans="1:11" ht="14.4" customHeight="1" x14ac:dyDescent="0.3">
      <c r="A296" s="464" t="s">
        <v>529</v>
      </c>
      <c r="B296" s="465" t="s">
        <v>690</v>
      </c>
      <c r="C296" s="466" t="s">
        <v>540</v>
      </c>
      <c r="D296" s="467" t="s">
        <v>691</v>
      </c>
      <c r="E296" s="466" t="s">
        <v>1736</v>
      </c>
      <c r="F296" s="467" t="s">
        <v>1737</v>
      </c>
      <c r="G296" s="466" t="s">
        <v>1232</v>
      </c>
      <c r="H296" s="466" t="s">
        <v>1233</v>
      </c>
      <c r="I296" s="468">
        <v>1936.6</v>
      </c>
      <c r="J296" s="468">
        <v>1</v>
      </c>
      <c r="K296" s="469">
        <v>1936.6</v>
      </c>
    </row>
    <row r="297" spans="1:11" ht="14.4" customHeight="1" x14ac:dyDescent="0.3">
      <c r="A297" s="464" t="s">
        <v>529</v>
      </c>
      <c r="B297" s="465" t="s">
        <v>690</v>
      </c>
      <c r="C297" s="466" t="s">
        <v>540</v>
      </c>
      <c r="D297" s="467" t="s">
        <v>691</v>
      </c>
      <c r="E297" s="466" t="s">
        <v>1736</v>
      </c>
      <c r="F297" s="467" t="s">
        <v>1737</v>
      </c>
      <c r="G297" s="466" t="s">
        <v>1232</v>
      </c>
      <c r="H297" s="466" t="s">
        <v>1607</v>
      </c>
      <c r="I297" s="468">
        <v>1936.6</v>
      </c>
      <c r="J297" s="468">
        <v>2</v>
      </c>
      <c r="K297" s="469">
        <v>3873.2</v>
      </c>
    </row>
    <row r="298" spans="1:11" ht="14.4" customHeight="1" x14ac:dyDescent="0.3">
      <c r="A298" s="464" t="s">
        <v>529</v>
      </c>
      <c r="B298" s="465" t="s">
        <v>690</v>
      </c>
      <c r="C298" s="466" t="s">
        <v>540</v>
      </c>
      <c r="D298" s="467" t="s">
        <v>691</v>
      </c>
      <c r="E298" s="466" t="s">
        <v>1736</v>
      </c>
      <c r="F298" s="467" t="s">
        <v>1737</v>
      </c>
      <c r="G298" s="466" t="s">
        <v>1234</v>
      </c>
      <c r="H298" s="466" t="s">
        <v>1235</v>
      </c>
      <c r="I298" s="468">
        <v>1528.2449999999999</v>
      </c>
      <c r="J298" s="468">
        <v>5</v>
      </c>
      <c r="K298" s="469">
        <v>7641.26</v>
      </c>
    </row>
    <row r="299" spans="1:11" ht="14.4" customHeight="1" x14ac:dyDescent="0.3">
      <c r="A299" s="464" t="s">
        <v>529</v>
      </c>
      <c r="B299" s="465" t="s">
        <v>690</v>
      </c>
      <c r="C299" s="466" t="s">
        <v>540</v>
      </c>
      <c r="D299" s="467" t="s">
        <v>691</v>
      </c>
      <c r="E299" s="466" t="s">
        <v>1736</v>
      </c>
      <c r="F299" s="467" t="s">
        <v>1737</v>
      </c>
      <c r="G299" s="466" t="s">
        <v>1236</v>
      </c>
      <c r="H299" s="466" t="s">
        <v>1608</v>
      </c>
      <c r="I299" s="468">
        <v>2571.75</v>
      </c>
      <c r="J299" s="468">
        <v>1</v>
      </c>
      <c r="K299" s="469">
        <v>2571.75</v>
      </c>
    </row>
    <row r="300" spans="1:11" ht="14.4" customHeight="1" x14ac:dyDescent="0.3">
      <c r="A300" s="464" t="s">
        <v>529</v>
      </c>
      <c r="B300" s="465" t="s">
        <v>690</v>
      </c>
      <c r="C300" s="466" t="s">
        <v>540</v>
      </c>
      <c r="D300" s="467" t="s">
        <v>691</v>
      </c>
      <c r="E300" s="466" t="s">
        <v>1736</v>
      </c>
      <c r="F300" s="467" t="s">
        <v>1737</v>
      </c>
      <c r="G300" s="466" t="s">
        <v>1609</v>
      </c>
      <c r="H300" s="466" t="s">
        <v>1610</v>
      </c>
      <c r="I300" s="468">
        <v>2861.21</v>
      </c>
      <c r="J300" s="468">
        <v>4</v>
      </c>
      <c r="K300" s="469">
        <v>11444.84</v>
      </c>
    </row>
    <row r="301" spans="1:11" ht="14.4" customHeight="1" x14ac:dyDescent="0.3">
      <c r="A301" s="464" t="s">
        <v>529</v>
      </c>
      <c r="B301" s="465" t="s">
        <v>690</v>
      </c>
      <c r="C301" s="466" t="s">
        <v>540</v>
      </c>
      <c r="D301" s="467" t="s">
        <v>691</v>
      </c>
      <c r="E301" s="466" t="s">
        <v>1736</v>
      </c>
      <c r="F301" s="467" t="s">
        <v>1737</v>
      </c>
      <c r="G301" s="466" t="s">
        <v>1609</v>
      </c>
      <c r="H301" s="466" t="s">
        <v>1611</v>
      </c>
      <c r="I301" s="468">
        <v>2575.0809999999997</v>
      </c>
      <c r="J301" s="468">
        <v>20</v>
      </c>
      <c r="K301" s="469">
        <v>51501.619999999995</v>
      </c>
    </row>
    <row r="302" spans="1:11" ht="14.4" customHeight="1" x14ac:dyDescent="0.3">
      <c r="A302" s="464" t="s">
        <v>529</v>
      </c>
      <c r="B302" s="465" t="s">
        <v>690</v>
      </c>
      <c r="C302" s="466" t="s">
        <v>540</v>
      </c>
      <c r="D302" s="467" t="s">
        <v>691</v>
      </c>
      <c r="E302" s="466" t="s">
        <v>1736</v>
      </c>
      <c r="F302" s="467" t="s">
        <v>1737</v>
      </c>
      <c r="G302" s="466" t="s">
        <v>1612</v>
      </c>
      <c r="H302" s="466" t="s">
        <v>1613</v>
      </c>
      <c r="I302" s="468">
        <v>540.71916666666675</v>
      </c>
      <c r="J302" s="468">
        <v>48</v>
      </c>
      <c r="K302" s="469">
        <v>25954.480000000007</v>
      </c>
    </row>
    <row r="303" spans="1:11" ht="14.4" customHeight="1" x14ac:dyDescent="0.3">
      <c r="A303" s="464" t="s">
        <v>529</v>
      </c>
      <c r="B303" s="465" t="s">
        <v>690</v>
      </c>
      <c r="C303" s="466" t="s">
        <v>540</v>
      </c>
      <c r="D303" s="467" t="s">
        <v>691</v>
      </c>
      <c r="E303" s="466" t="s">
        <v>1736</v>
      </c>
      <c r="F303" s="467" t="s">
        <v>1737</v>
      </c>
      <c r="G303" s="466" t="s">
        <v>1614</v>
      </c>
      <c r="H303" s="466" t="s">
        <v>1315</v>
      </c>
      <c r="I303" s="468">
        <v>3646.62</v>
      </c>
      <c r="J303" s="468">
        <v>1</v>
      </c>
      <c r="K303" s="469">
        <v>3646.62</v>
      </c>
    </row>
    <row r="304" spans="1:11" ht="14.4" customHeight="1" x14ac:dyDescent="0.3">
      <c r="A304" s="464" t="s">
        <v>529</v>
      </c>
      <c r="B304" s="465" t="s">
        <v>690</v>
      </c>
      <c r="C304" s="466" t="s">
        <v>540</v>
      </c>
      <c r="D304" s="467" t="s">
        <v>691</v>
      </c>
      <c r="E304" s="466" t="s">
        <v>1736</v>
      </c>
      <c r="F304" s="467" t="s">
        <v>1737</v>
      </c>
      <c r="G304" s="466" t="s">
        <v>1242</v>
      </c>
      <c r="H304" s="466" t="s">
        <v>1615</v>
      </c>
      <c r="I304" s="468">
        <v>2346</v>
      </c>
      <c r="J304" s="468">
        <v>3</v>
      </c>
      <c r="K304" s="469">
        <v>7038</v>
      </c>
    </row>
    <row r="305" spans="1:11" ht="14.4" customHeight="1" x14ac:dyDescent="0.3">
      <c r="A305" s="464" t="s">
        <v>529</v>
      </c>
      <c r="B305" s="465" t="s">
        <v>690</v>
      </c>
      <c r="C305" s="466" t="s">
        <v>540</v>
      </c>
      <c r="D305" s="467" t="s">
        <v>691</v>
      </c>
      <c r="E305" s="466" t="s">
        <v>1736</v>
      </c>
      <c r="F305" s="467" t="s">
        <v>1737</v>
      </c>
      <c r="G305" s="466" t="s">
        <v>1242</v>
      </c>
      <c r="H305" s="466" t="s">
        <v>1243</v>
      </c>
      <c r="I305" s="468">
        <v>1876.8</v>
      </c>
      <c r="J305" s="468">
        <v>6</v>
      </c>
      <c r="K305" s="469">
        <v>11260.8</v>
      </c>
    </row>
    <row r="306" spans="1:11" ht="14.4" customHeight="1" x14ac:dyDescent="0.3">
      <c r="A306" s="464" t="s">
        <v>529</v>
      </c>
      <c r="B306" s="465" t="s">
        <v>690</v>
      </c>
      <c r="C306" s="466" t="s">
        <v>540</v>
      </c>
      <c r="D306" s="467" t="s">
        <v>691</v>
      </c>
      <c r="E306" s="466" t="s">
        <v>1736</v>
      </c>
      <c r="F306" s="467" t="s">
        <v>1737</v>
      </c>
      <c r="G306" s="466" t="s">
        <v>1244</v>
      </c>
      <c r="H306" s="466" t="s">
        <v>1616</v>
      </c>
      <c r="I306" s="468">
        <v>3697.6549999999997</v>
      </c>
      <c r="J306" s="468">
        <v>2</v>
      </c>
      <c r="K306" s="469">
        <v>7395.3099999999995</v>
      </c>
    </row>
    <row r="307" spans="1:11" ht="14.4" customHeight="1" x14ac:dyDescent="0.3">
      <c r="A307" s="464" t="s">
        <v>529</v>
      </c>
      <c r="B307" s="465" t="s">
        <v>690</v>
      </c>
      <c r="C307" s="466" t="s">
        <v>540</v>
      </c>
      <c r="D307" s="467" t="s">
        <v>691</v>
      </c>
      <c r="E307" s="466" t="s">
        <v>1736</v>
      </c>
      <c r="F307" s="467" t="s">
        <v>1737</v>
      </c>
      <c r="G307" s="466" t="s">
        <v>1617</v>
      </c>
      <c r="H307" s="466" t="s">
        <v>1618</v>
      </c>
      <c r="I307" s="468">
        <v>4719</v>
      </c>
      <c r="J307" s="468">
        <v>8</v>
      </c>
      <c r="K307" s="469">
        <v>37752</v>
      </c>
    </row>
    <row r="308" spans="1:11" ht="14.4" customHeight="1" x14ac:dyDescent="0.3">
      <c r="A308" s="464" t="s">
        <v>529</v>
      </c>
      <c r="B308" s="465" t="s">
        <v>690</v>
      </c>
      <c r="C308" s="466" t="s">
        <v>540</v>
      </c>
      <c r="D308" s="467" t="s">
        <v>691</v>
      </c>
      <c r="E308" s="466" t="s">
        <v>1736</v>
      </c>
      <c r="F308" s="467" t="s">
        <v>1737</v>
      </c>
      <c r="G308" s="466" t="s">
        <v>1619</v>
      </c>
      <c r="H308" s="466" t="s">
        <v>1620</v>
      </c>
      <c r="I308" s="468">
        <v>6823.1900000000005</v>
      </c>
      <c r="J308" s="468">
        <v>26</v>
      </c>
      <c r="K308" s="469">
        <v>177402.94000000003</v>
      </c>
    </row>
    <row r="309" spans="1:11" ht="14.4" customHeight="1" x14ac:dyDescent="0.3">
      <c r="A309" s="464" t="s">
        <v>529</v>
      </c>
      <c r="B309" s="465" t="s">
        <v>690</v>
      </c>
      <c r="C309" s="466" t="s">
        <v>540</v>
      </c>
      <c r="D309" s="467" t="s">
        <v>691</v>
      </c>
      <c r="E309" s="466" t="s">
        <v>1736</v>
      </c>
      <c r="F309" s="467" t="s">
        <v>1737</v>
      </c>
      <c r="G309" s="466" t="s">
        <v>1246</v>
      </c>
      <c r="H309" s="466" t="s">
        <v>1247</v>
      </c>
      <c r="I309" s="468">
        <v>3605.2646153846154</v>
      </c>
      <c r="J309" s="468">
        <v>49</v>
      </c>
      <c r="K309" s="469">
        <v>176485.52</v>
      </c>
    </row>
    <row r="310" spans="1:11" ht="14.4" customHeight="1" x14ac:dyDescent="0.3">
      <c r="A310" s="464" t="s">
        <v>529</v>
      </c>
      <c r="B310" s="465" t="s">
        <v>690</v>
      </c>
      <c r="C310" s="466" t="s">
        <v>540</v>
      </c>
      <c r="D310" s="467" t="s">
        <v>691</v>
      </c>
      <c r="E310" s="466" t="s">
        <v>1736</v>
      </c>
      <c r="F310" s="467" t="s">
        <v>1737</v>
      </c>
      <c r="G310" s="466" t="s">
        <v>1250</v>
      </c>
      <c r="H310" s="466" t="s">
        <v>1251</v>
      </c>
      <c r="I310" s="468">
        <v>2123.65</v>
      </c>
      <c r="J310" s="468">
        <v>8</v>
      </c>
      <c r="K310" s="469">
        <v>16988.75</v>
      </c>
    </row>
    <row r="311" spans="1:11" ht="14.4" customHeight="1" x14ac:dyDescent="0.3">
      <c r="A311" s="464" t="s">
        <v>529</v>
      </c>
      <c r="B311" s="465" t="s">
        <v>690</v>
      </c>
      <c r="C311" s="466" t="s">
        <v>540</v>
      </c>
      <c r="D311" s="467" t="s">
        <v>691</v>
      </c>
      <c r="E311" s="466" t="s">
        <v>1736</v>
      </c>
      <c r="F311" s="467" t="s">
        <v>1737</v>
      </c>
      <c r="G311" s="466" t="s">
        <v>1252</v>
      </c>
      <c r="H311" s="466" t="s">
        <v>1621</v>
      </c>
      <c r="I311" s="468">
        <v>102532.79500000001</v>
      </c>
      <c r="J311" s="468">
        <v>3</v>
      </c>
      <c r="K311" s="469">
        <v>307598.33999999997</v>
      </c>
    </row>
    <row r="312" spans="1:11" ht="14.4" customHeight="1" x14ac:dyDescent="0.3">
      <c r="A312" s="464" t="s">
        <v>529</v>
      </c>
      <c r="B312" s="465" t="s">
        <v>690</v>
      </c>
      <c r="C312" s="466" t="s">
        <v>540</v>
      </c>
      <c r="D312" s="467" t="s">
        <v>691</v>
      </c>
      <c r="E312" s="466" t="s">
        <v>1736</v>
      </c>
      <c r="F312" s="467" t="s">
        <v>1737</v>
      </c>
      <c r="G312" s="466" t="s">
        <v>1252</v>
      </c>
      <c r="H312" s="466" t="s">
        <v>1253</v>
      </c>
      <c r="I312" s="468">
        <v>94842.80750000001</v>
      </c>
      <c r="J312" s="468">
        <v>10</v>
      </c>
      <c r="K312" s="469">
        <v>922795.02</v>
      </c>
    </row>
    <row r="313" spans="1:11" ht="14.4" customHeight="1" x14ac:dyDescent="0.3">
      <c r="A313" s="464" t="s">
        <v>529</v>
      </c>
      <c r="B313" s="465" t="s">
        <v>690</v>
      </c>
      <c r="C313" s="466" t="s">
        <v>540</v>
      </c>
      <c r="D313" s="467" t="s">
        <v>691</v>
      </c>
      <c r="E313" s="466" t="s">
        <v>1736</v>
      </c>
      <c r="F313" s="467" t="s">
        <v>1737</v>
      </c>
      <c r="G313" s="466" t="s">
        <v>1622</v>
      </c>
      <c r="H313" s="466" t="s">
        <v>1623</v>
      </c>
      <c r="I313" s="468">
        <v>3010.48</v>
      </c>
      <c r="J313" s="468">
        <v>5</v>
      </c>
      <c r="K313" s="469">
        <v>15052.4</v>
      </c>
    </row>
    <row r="314" spans="1:11" ht="14.4" customHeight="1" x14ac:dyDescent="0.3">
      <c r="A314" s="464" t="s">
        <v>529</v>
      </c>
      <c r="B314" s="465" t="s">
        <v>690</v>
      </c>
      <c r="C314" s="466" t="s">
        <v>540</v>
      </c>
      <c r="D314" s="467" t="s">
        <v>691</v>
      </c>
      <c r="E314" s="466" t="s">
        <v>1736</v>
      </c>
      <c r="F314" s="467" t="s">
        <v>1737</v>
      </c>
      <c r="G314" s="466" t="s">
        <v>1254</v>
      </c>
      <c r="H314" s="466" t="s">
        <v>1255</v>
      </c>
      <c r="I314" s="468">
        <v>1776.75</v>
      </c>
      <c r="J314" s="468">
        <v>1</v>
      </c>
      <c r="K314" s="469">
        <v>1776.75</v>
      </c>
    </row>
    <row r="315" spans="1:11" ht="14.4" customHeight="1" x14ac:dyDescent="0.3">
      <c r="A315" s="464" t="s">
        <v>529</v>
      </c>
      <c r="B315" s="465" t="s">
        <v>690</v>
      </c>
      <c r="C315" s="466" t="s">
        <v>540</v>
      </c>
      <c r="D315" s="467" t="s">
        <v>691</v>
      </c>
      <c r="E315" s="466" t="s">
        <v>1736</v>
      </c>
      <c r="F315" s="467" t="s">
        <v>1737</v>
      </c>
      <c r="G315" s="466" t="s">
        <v>1256</v>
      </c>
      <c r="H315" s="466" t="s">
        <v>1624</v>
      </c>
      <c r="I315" s="468">
        <v>1473.1550000000002</v>
      </c>
      <c r="J315" s="468">
        <v>36</v>
      </c>
      <c r="K315" s="469">
        <v>53033.43</v>
      </c>
    </row>
    <row r="316" spans="1:11" ht="14.4" customHeight="1" x14ac:dyDescent="0.3">
      <c r="A316" s="464" t="s">
        <v>529</v>
      </c>
      <c r="B316" s="465" t="s">
        <v>690</v>
      </c>
      <c r="C316" s="466" t="s">
        <v>540</v>
      </c>
      <c r="D316" s="467" t="s">
        <v>691</v>
      </c>
      <c r="E316" s="466" t="s">
        <v>1736</v>
      </c>
      <c r="F316" s="467" t="s">
        <v>1737</v>
      </c>
      <c r="G316" s="466" t="s">
        <v>1256</v>
      </c>
      <c r="H316" s="466" t="s">
        <v>1257</v>
      </c>
      <c r="I316" s="468">
        <v>1327.53</v>
      </c>
      <c r="J316" s="468">
        <v>187</v>
      </c>
      <c r="K316" s="469">
        <v>247811.16</v>
      </c>
    </row>
    <row r="317" spans="1:11" ht="14.4" customHeight="1" x14ac:dyDescent="0.3">
      <c r="A317" s="464" t="s">
        <v>529</v>
      </c>
      <c r="B317" s="465" t="s">
        <v>690</v>
      </c>
      <c r="C317" s="466" t="s">
        <v>540</v>
      </c>
      <c r="D317" s="467" t="s">
        <v>691</v>
      </c>
      <c r="E317" s="466" t="s">
        <v>1736</v>
      </c>
      <c r="F317" s="467" t="s">
        <v>1737</v>
      </c>
      <c r="G317" s="466" t="s">
        <v>1625</v>
      </c>
      <c r="H317" s="466" t="s">
        <v>1626</v>
      </c>
      <c r="I317" s="468">
        <v>2861.21</v>
      </c>
      <c r="J317" s="468">
        <v>4</v>
      </c>
      <c r="K317" s="469">
        <v>11444.84</v>
      </c>
    </row>
    <row r="318" spans="1:11" ht="14.4" customHeight="1" x14ac:dyDescent="0.3">
      <c r="A318" s="464" t="s">
        <v>529</v>
      </c>
      <c r="B318" s="465" t="s">
        <v>690</v>
      </c>
      <c r="C318" s="466" t="s">
        <v>540</v>
      </c>
      <c r="D318" s="467" t="s">
        <v>691</v>
      </c>
      <c r="E318" s="466" t="s">
        <v>1736</v>
      </c>
      <c r="F318" s="467" t="s">
        <v>1737</v>
      </c>
      <c r="G318" s="466" t="s">
        <v>1625</v>
      </c>
      <c r="H318" s="466" t="s">
        <v>1627</v>
      </c>
      <c r="I318" s="468">
        <v>2575.076</v>
      </c>
      <c r="J318" s="468">
        <v>20</v>
      </c>
      <c r="K318" s="469">
        <v>51501.520000000004</v>
      </c>
    </row>
    <row r="319" spans="1:11" ht="14.4" customHeight="1" x14ac:dyDescent="0.3">
      <c r="A319" s="464" t="s">
        <v>529</v>
      </c>
      <c r="B319" s="465" t="s">
        <v>690</v>
      </c>
      <c r="C319" s="466" t="s">
        <v>540</v>
      </c>
      <c r="D319" s="467" t="s">
        <v>691</v>
      </c>
      <c r="E319" s="466" t="s">
        <v>1736</v>
      </c>
      <c r="F319" s="467" t="s">
        <v>1737</v>
      </c>
      <c r="G319" s="466" t="s">
        <v>1628</v>
      </c>
      <c r="H319" s="466" t="s">
        <v>1629</v>
      </c>
      <c r="I319" s="468">
        <v>1868.75</v>
      </c>
      <c r="J319" s="468">
        <v>1</v>
      </c>
      <c r="K319" s="469">
        <v>1868.75</v>
      </c>
    </row>
    <row r="320" spans="1:11" ht="14.4" customHeight="1" x14ac:dyDescent="0.3">
      <c r="A320" s="464" t="s">
        <v>529</v>
      </c>
      <c r="B320" s="465" t="s">
        <v>690</v>
      </c>
      <c r="C320" s="466" t="s">
        <v>540</v>
      </c>
      <c r="D320" s="467" t="s">
        <v>691</v>
      </c>
      <c r="E320" s="466" t="s">
        <v>1736</v>
      </c>
      <c r="F320" s="467" t="s">
        <v>1737</v>
      </c>
      <c r="G320" s="466" t="s">
        <v>1630</v>
      </c>
      <c r="H320" s="466" t="s">
        <v>1631</v>
      </c>
      <c r="I320" s="468">
        <v>0.46333333333333332</v>
      </c>
      <c r="J320" s="468">
        <v>4000</v>
      </c>
      <c r="K320" s="469">
        <v>1819.2</v>
      </c>
    </row>
    <row r="321" spans="1:11" ht="14.4" customHeight="1" x14ac:dyDescent="0.3">
      <c r="A321" s="464" t="s">
        <v>529</v>
      </c>
      <c r="B321" s="465" t="s">
        <v>690</v>
      </c>
      <c r="C321" s="466" t="s">
        <v>540</v>
      </c>
      <c r="D321" s="467" t="s">
        <v>691</v>
      </c>
      <c r="E321" s="466" t="s">
        <v>1736</v>
      </c>
      <c r="F321" s="467" t="s">
        <v>1737</v>
      </c>
      <c r="G321" s="466" t="s">
        <v>1265</v>
      </c>
      <c r="H321" s="466" t="s">
        <v>1266</v>
      </c>
      <c r="I321" s="468">
        <v>1377.7958333333329</v>
      </c>
      <c r="J321" s="468">
        <v>223</v>
      </c>
      <c r="K321" s="469">
        <v>306621.88</v>
      </c>
    </row>
    <row r="322" spans="1:11" ht="14.4" customHeight="1" x14ac:dyDescent="0.3">
      <c r="A322" s="464" t="s">
        <v>529</v>
      </c>
      <c r="B322" s="465" t="s">
        <v>690</v>
      </c>
      <c r="C322" s="466" t="s">
        <v>540</v>
      </c>
      <c r="D322" s="467" t="s">
        <v>691</v>
      </c>
      <c r="E322" s="466" t="s">
        <v>1736</v>
      </c>
      <c r="F322" s="467" t="s">
        <v>1737</v>
      </c>
      <c r="G322" s="466" t="s">
        <v>1267</v>
      </c>
      <c r="H322" s="466" t="s">
        <v>1268</v>
      </c>
      <c r="I322" s="468">
        <v>1391.5</v>
      </c>
      <c r="J322" s="468">
        <v>6</v>
      </c>
      <c r="K322" s="469">
        <v>8349</v>
      </c>
    </row>
    <row r="323" spans="1:11" ht="14.4" customHeight="1" x14ac:dyDescent="0.3">
      <c r="A323" s="464" t="s">
        <v>529</v>
      </c>
      <c r="B323" s="465" t="s">
        <v>690</v>
      </c>
      <c r="C323" s="466" t="s">
        <v>540</v>
      </c>
      <c r="D323" s="467" t="s">
        <v>691</v>
      </c>
      <c r="E323" s="466" t="s">
        <v>1736</v>
      </c>
      <c r="F323" s="467" t="s">
        <v>1737</v>
      </c>
      <c r="G323" s="466" t="s">
        <v>1269</v>
      </c>
      <c r="H323" s="466" t="s">
        <v>1270</v>
      </c>
      <c r="I323" s="468">
        <v>1391.5</v>
      </c>
      <c r="J323" s="468">
        <v>6</v>
      </c>
      <c r="K323" s="469">
        <v>8349</v>
      </c>
    </row>
    <row r="324" spans="1:11" ht="14.4" customHeight="1" x14ac:dyDescent="0.3">
      <c r="A324" s="464" t="s">
        <v>529</v>
      </c>
      <c r="B324" s="465" t="s">
        <v>690</v>
      </c>
      <c r="C324" s="466" t="s">
        <v>540</v>
      </c>
      <c r="D324" s="467" t="s">
        <v>691</v>
      </c>
      <c r="E324" s="466" t="s">
        <v>1736</v>
      </c>
      <c r="F324" s="467" t="s">
        <v>1737</v>
      </c>
      <c r="G324" s="466" t="s">
        <v>1271</v>
      </c>
      <c r="H324" s="466" t="s">
        <v>1272</v>
      </c>
      <c r="I324" s="468">
        <v>631.65</v>
      </c>
      <c r="J324" s="468">
        <v>2</v>
      </c>
      <c r="K324" s="469">
        <v>1263.3</v>
      </c>
    </row>
    <row r="325" spans="1:11" ht="14.4" customHeight="1" x14ac:dyDescent="0.3">
      <c r="A325" s="464" t="s">
        <v>529</v>
      </c>
      <c r="B325" s="465" t="s">
        <v>690</v>
      </c>
      <c r="C325" s="466" t="s">
        <v>540</v>
      </c>
      <c r="D325" s="467" t="s">
        <v>691</v>
      </c>
      <c r="E325" s="466" t="s">
        <v>1736</v>
      </c>
      <c r="F325" s="467" t="s">
        <v>1737</v>
      </c>
      <c r="G325" s="466" t="s">
        <v>1273</v>
      </c>
      <c r="H325" s="466" t="s">
        <v>1274</v>
      </c>
      <c r="I325" s="468">
        <v>322</v>
      </c>
      <c r="J325" s="468">
        <v>8</v>
      </c>
      <c r="K325" s="469">
        <v>2576</v>
      </c>
    </row>
    <row r="326" spans="1:11" ht="14.4" customHeight="1" x14ac:dyDescent="0.3">
      <c r="A326" s="464" t="s">
        <v>529</v>
      </c>
      <c r="B326" s="465" t="s">
        <v>690</v>
      </c>
      <c r="C326" s="466" t="s">
        <v>540</v>
      </c>
      <c r="D326" s="467" t="s">
        <v>691</v>
      </c>
      <c r="E326" s="466" t="s">
        <v>1736</v>
      </c>
      <c r="F326" s="467" t="s">
        <v>1737</v>
      </c>
      <c r="G326" s="466" t="s">
        <v>1632</v>
      </c>
      <c r="H326" s="466" t="s">
        <v>1633</v>
      </c>
      <c r="I326" s="468">
        <v>1311.3833333333334</v>
      </c>
      <c r="J326" s="468">
        <v>84</v>
      </c>
      <c r="K326" s="469">
        <v>110156.15</v>
      </c>
    </row>
    <row r="327" spans="1:11" ht="14.4" customHeight="1" x14ac:dyDescent="0.3">
      <c r="A327" s="464" t="s">
        <v>529</v>
      </c>
      <c r="B327" s="465" t="s">
        <v>690</v>
      </c>
      <c r="C327" s="466" t="s">
        <v>540</v>
      </c>
      <c r="D327" s="467" t="s">
        <v>691</v>
      </c>
      <c r="E327" s="466" t="s">
        <v>1736</v>
      </c>
      <c r="F327" s="467" t="s">
        <v>1737</v>
      </c>
      <c r="G327" s="466" t="s">
        <v>1634</v>
      </c>
      <c r="H327" s="466" t="s">
        <v>1635</v>
      </c>
      <c r="I327" s="468">
        <v>394.25833333333327</v>
      </c>
      <c r="J327" s="468">
        <v>194</v>
      </c>
      <c r="K327" s="469">
        <v>76127.619999999981</v>
      </c>
    </row>
    <row r="328" spans="1:11" ht="14.4" customHeight="1" x14ac:dyDescent="0.3">
      <c r="A328" s="464" t="s">
        <v>529</v>
      </c>
      <c r="B328" s="465" t="s">
        <v>690</v>
      </c>
      <c r="C328" s="466" t="s">
        <v>540</v>
      </c>
      <c r="D328" s="467" t="s">
        <v>691</v>
      </c>
      <c r="E328" s="466" t="s">
        <v>1736</v>
      </c>
      <c r="F328" s="467" t="s">
        <v>1737</v>
      </c>
      <c r="G328" s="466" t="s">
        <v>1275</v>
      </c>
      <c r="H328" s="466" t="s">
        <v>1276</v>
      </c>
      <c r="I328" s="468">
        <v>3501.69</v>
      </c>
      <c r="J328" s="468">
        <v>1</v>
      </c>
      <c r="K328" s="469">
        <v>3501.69</v>
      </c>
    </row>
    <row r="329" spans="1:11" ht="14.4" customHeight="1" x14ac:dyDescent="0.3">
      <c r="A329" s="464" t="s">
        <v>529</v>
      </c>
      <c r="B329" s="465" t="s">
        <v>690</v>
      </c>
      <c r="C329" s="466" t="s">
        <v>540</v>
      </c>
      <c r="D329" s="467" t="s">
        <v>691</v>
      </c>
      <c r="E329" s="466" t="s">
        <v>1736</v>
      </c>
      <c r="F329" s="467" t="s">
        <v>1737</v>
      </c>
      <c r="G329" s="466" t="s">
        <v>1275</v>
      </c>
      <c r="H329" s="466" t="s">
        <v>1636</v>
      </c>
      <c r="I329" s="468">
        <v>3188.375</v>
      </c>
      <c r="J329" s="468">
        <v>2</v>
      </c>
      <c r="K329" s="469">
        <v>6376.75</v>
      </c>
    </row>
    <row r="330" spans="1:11" ht="14.4" customHeight="1" x14ac:dyDescent="0.3">
      <c r="A330" s="464" t="s">
        <v>529</v>
      </c>
      <c r="B330" s="465" t="s">
        <v>690</v>
      </c>
      <c r="C330" s="466" t="s">
        <v>540</v>
      </c>
      <c r="D330" s="467" t="s">
        <v>691</v>
      </c>
      <c r="E330" s="466" t="s">
        <v>1736</v>
      </c>
      <c r="F330" s="467" t="s">
        <v>1737</v>
      </c>
      <c r="G330" s="466" t="s">
        <v>1637</v>
      </c>
      <c r="H330" s="466" t="s">
        <v>1638</v>
      </c>
      <c r="I330" s="468">
        <v>2426.0500000000002</v>
      </c>
      <c r="J330" s="468">
        <v>3</v>
      </c>
      <c r="K330" s="469">
        <v>7278.1500000000005</v>
      </c>
    </row>
    <row r="331" spans="1:11" ht="14.4" customHeight="1" x14ac:dyDescent="0.3">
      <c r="A331" s="464" t="s">
        <v>529</v>
      </c>
      <c r="B331" s="465" t="s">
        <v>690</v>
      </c>
      <c r="C331" s="466" t="s">
        <v>540</v>
      </c>
      <c r="D331" s="467" t="s">
        <v>691</v>
      </c>
      <c r="E331" s="466" t="s">
        <v>1736</v>
      </c>
      <c r="F331" s="467" t="s">
        <v>1737</v>
      </c>
      <c r="G331" s="466" t="s">
        <v>1279</v>
      </c>
      <c r="H331" s="466" t="s">
        <v>1280</v>
      </c>
      <c r="I331" s="468">
        <v>1083.48</v>
      </c>
      <c r="J331" s="468">
        <v>3</v>
      </c>
      <c r="K331" s="469">
        <v>3250.44</v>
      </c>
    </row>
    <row r="332" spans="1:11" ht="14.4" customHeight="1" x14ac:dyDescent="0.3">
      <c r="A332" s="464" t="s">
        <v>529</v>
      </c>
      <c r="B332" s="465" t="s">
        <v>690</v>
      </c>
      <c r="C332" s="466" t="s">
        <v>540</v>
      </c>
      <c r="D332" s="467" t="s">
        <v>691</v>
      </c>
      <c r="E332" s="466" t="s">
        <v>1736</v>
      </c>
      <c r="F332" s="467" t="s">
        <v>1737</v>
      </c>
      <c r="G332" s="466" t="s">
        <v>1281</v>
      </c>
      <c r="H332" s="466" t="s">
        <v>1282</v>
      </c>
      <c r="I332" s="468">
        <v>1454.1154545454547</v>
      </c>
      <c r="J332" s="468">
        <v>207</v>
      </c>
      <c r="K332" s="469">
        <v>295441.54000000004</v>
      </c>
    </row>
    <row r="333" spans="1:11" ht="14.4" customHeight="1" x14ac:dyDescent="0.3">
      <c r="A333" s="464" t="s">
        <v>529</v>
      </c>
      <c r="B333" s="465" t="s">
        <v>690</v>
      </c>
      <c r="C333" s="466" t="s">
        <v>540</v>
      </c>
      <c r="D333" s="467" t="s">
        <v>691</v>
      </c>
      <c r="E333" s="466" t="s">
        <v>1736</v>
      </c>
      <c r="F333" s="467" t="s">
        <v>1737</v>
      </c>
      <c r="G333" s="466" t="s">
        <v>1283</v>
      </c>
      <c r="H333" s="466" t="s">
        <v>1639</v>
      </c>
      <c r="I333" s="468">
        <v>1868.82</v>
      </c>
      <c r="J333" s="468">
        <v>1</v>
      </c>
      <c r="K333" s="469">
        <v>1868.82</v>
      </c>
    </row>
    <row r="334" spans="1:11" ht="14.4" customHeight="1" x14ac:dyDescent="0.3">
      <c r="A334" s="464" t="s">
        <v>529</v>
      </c>
      <c r="B334" s="465" t="s">
        <v>690</v>
      </c>
      <c r="C334" s="466" t="s">
        <v>540</v>
      </c>
      <c r="D334" s="467" t="s">
        <v>691</v>
      </c>
      <c r="E334" s="466" t="s">
        <v>1736</v>
      </c>
      <c r="F334" s="467" t="s">
        <v>1737</v>
      </c>
      <c r="G334" s="466" t="s">
        <v>1285</v>
      </c>
      <c r="H334" s="466" t="s">
        <v>1640</v>
      </c>
      <c r="I334" s="468">
        <v>3533.1833333333329</v>
      </c>
      <c r="J334" s="468">
        <v>3</v>
      </c>
      <c r="K334" s="469">
        <v>10599.55</v>
      </c>
    </row>
    <row r="335" spans="1:11" ht="14.4" customHeight="1" x14ac:dyDescent="0.3">
      <c r="A335" s="464" t="s">
        <v>529</v>
      </c>
      <c r="B335" s="465" t="s">
        <v>690</v>
      </c>
      <c r="C335" s="466" t="s">
        <v>540</v>
      </c>
      <c r="D335" s="467" t="s">
        <v>691</v>
      </c>
      <c r="E335" s="466" t="s">
        <v>1736</v>
      </c>
      <c r="F335" s="467" t="s">
        <v>1737</v>
      </c>
      <c r="G335" s="466" t="s">
        <v>1287</v>
      </c>
      <c r="H335" s="466" t="s">
        <v>1288</v>
      </c>
      <c r="I335" s="468">
        <v>3737.46</v>
      </c>
      <c r="J335" s="468">
        <v>1</v>
      </c>
      <c r="K335" s="469">
        <v>3737.46</v>
      </c>
    </row>
    <row r="336" spans="1:11" ht="14.4" customHeight="1" x14ac:dyDescent="0.3">
      <c r="A336" s="464" t="s">
        <v>529</v>
      </c>
      <c r="B336" s="465" t="s">
        <v>690</v>
      </c>
      <c r="C336" s="466" t="s">
        <v>540</v>
      </c>
      <c r="D336" s="467" t="s">
        <v>691</v>
      </c>
      <c r="E336" s="466" t="s">
        <v>1736</v>
      </c>
      <c r="F336" s="467" t="s">
        <v>1737</v>
      </c>
      <c r="G336" s="466" t="s">
        <v>1287</v>
      </c>
      <c r="H336" s="466" t="s">
        <v>1238</v>
      </c>
      <c r="I336" s="468">
        <v>2990</v>
      </c>
      <c r="J336" s="468">
        <v>1</v>
      </c>
      <c r="K336" s="469">
        <v>2990</v>
      </c>
    </row>
    <row r="337" spans="1:11" ht="14.4" customHeight="1" x14ac:dyDescent="0.3">
      <c r="A337" s="464" t="s">
        <v>529</v>
      </c>
      <c r="B337" s="465" t="s">
        <v>690</v>
      </c>
      <c r="C337" s="466" t="s">
        <v>540</v>
      </c>
      <c r="D337" s="467" t="s">
        <v>691</v>
      </c>
      <c r="E337" s="466" t="s">
        <v>1736</v>
      </c>
      <c r="F337" s="467" t="s">
        <v>1737</v>
      </c>
      <c r="G337" s="466" t="s">
        <v>1289</v>
      </c>
      <c r="H337" s="466" t="s">
        <v>1290</v>
      </c>
      <c r="I337" s="468">
        <v>264.39999999999998</v>
      </c>
      <c r="J337" s="468">
        <v>10</v>
      </c>
      <c r="K337" s="469">
        <v>2644</v>
      </c>
    </row>
    <row r="338" spans="1:11" ht="14.4" customHeight="1" x14ac:dyDescent="0.3">
      <c r="A338" s="464" t="s">
        <v>529</v>
      </c>
      <c r="B338" s="465" t="s">
        <v>690</v>
      </c>
      <c r="C338" s="466" t="s">
        <v>540</v>
      </c>
      <c r="D338" s="467" t="s">
        <v>691</v>
      </c>
      <c r="E338" s="466" t="s">
        <v>1736</v>
      </c>
      <c r="F338" s="467" t="s">
        <v>1737</v>
      </c>
      <c r="G338" s="466" t="s">
        <v>1291</v>
      </c>
      <c r="H338" s="466" t="s">
        <v>1292</v>
      </c>
      <c r="I338" s="468">
        <v>6253.333333333333</v>
      </c>
      <c r="J338" s="468">
        <v>4</v>
      </c>
      <c r="K338" s="469">
        <v>25013.33</v>
      </c>
    </row>
    <row r="339" spans="1:11" ht="14.4" customHeight="1" x14ac:dyDescent="0.3">
      <c r="A339" s="464" t="s">
        <v>529</v>
      </c>
      <c r="B339" s="465" t="s">
        <v>690</v>
      </c>
      <c r="C339" s="466" t="s">
        <v>540</v>
      </c>
      <c r="D339" s="467" t="s">
        <v>691</v>
      </c>
      <c r="E339" s="466" t="s">
        <v>1736</v>
      </c>
      <c r="F339" s="467" t="s">
        <v>1737</v>
      </c>
      <c r="G339" s="466" t="s">
        <v>1641</v>
      </c>
      <c r="H339" s="466" t="s">
        <v>1642</v>
      </c>
      <c r="I339" s="468">
        <v>4643.9799999999996</v>
      </c>
      <c r="J339" s="468">
        <v>3</v>
      </c>
      <c r="K339" s="469">
        <v>13931.939999999999</v>
      </c>
    </row>
    <row r="340" spans="1:11" ht="14.4" customHeight="1" x14ac:dyDescent="0.3">
      <c r="A340" s="464" t="s">
        <v>529</v>
      </c>
      <c r="B340" s="465" t="s">
        <v>690</v>
      </c>
      <c r="C340" s="466" t="s">
        <v>540</v>
      </c>
      <c r="D340" s="467" t="s">
        <v>691</v>
      </c>
      <c r="E340" s="466" t="s">
        <v>1736</v>
      </c>
      <c r="F340" s="467" t="s">
        <v>1737</v>
      </c>
      <c r="G340" s="466" t="s">
        <v>1293</v>
      </c>
      <c r="H340" s="466" t="s">
        <v>1294</v>
      </c>
      <c r="I340" s="468">
        <v>4687.16</v>
      </c>
      <c r="J340" s="468">
        <v>20</v>
      </c>
      <c r="K340" s="469">
        <v>93743.180000000008</v>
      </c>
    </row>
    <row r="341" spans="1:11" ht="14.4" customHeight="1" x14ac:dyDescent="0.3">
      <c r="A341" s="464" t="s">
        <v>529</v>
      </c>
      <c r="B341" s="465" t="s">
        <v>690</v>
      </c>
      <c r="C341" s="466" t="s">
        <v>540</v>
      </c>
      <c r="D341" s="467" t="s">
        <v>691</v>
      </c>
      <c r="E341" s="466" t="s">
        <v>1736</v>
      </c>
      <c r="F341" s="467" t="s">
        <v>1737</v>
      </c>
      <c r="G341" s="466" t="s">
        <v>1298</v>
      </c>
      <c r="H341" s="466" t="s">
        <v>1299</v>
      </c>
      <c r="I341" s="468">
        <v>5520</v>
      </c>
      <c r="J341" s="468">
        <v>3</v>
      </c>
      <c r="K341" s="469">
        <v>16560</v>
      </c>
    </row>
    <row r="342" spans="1:11" ht="14.4" customHeight="1" x14ac:dyDescent="0.3">
      <c r="A342" s="464" t="s">
        <v>529</v>
      </c>
      <c r="B342" s="465" t="s">
        <v>690</v>
      </c>
      <c r="C342" s="466" t="s">
        <v>540</v>
      </c>
      <c r="D342" s="467" t="s">
        <v>691</v>
      </c>
      <c r="E342" s="466" t="s">
        <v>1736</v>
      </c>
      <c r="F342" s="467" t="s">
        <v>1737</v>
      </c>
      <c r="G342" s="466" t="s">
        <v>1300</v>
      </c>
      <c r="H342" s="466" t="s">
        <v>1301</v>
      </c>
      <c r="I342" s="468">
        <v>2035.5</v>
      </c>
      <c r="J342" s="468">
        <v>1</v>
      </c>
      <c r="K342" s="469">
        <v>2035.5</v>
      </c>
    </row>
    <row r="343" spans="1:11" ht="14.4" customHeight="1" x14ac:dyDescent="0.3">
      <c r="A343" s="464" t="s">
        <v>529</v>
      </c>
      <c r="B343" s="465" t="s">
        <v>690</v>
      </c>
      <c r="C343" s="466" t="s">
        <v>540</v>
      </c>
      <c r="D343" s="467" t="s">
        <v>691</v>
      </c>
      <c r="E343" s="466" t="s">
        <v>1736</v>
      </c>
      <c r="F343" s="467" t="s">
        <v>1737</v>
      </c>
      <c r="G343" s="466" t="s">
        <v>1643</v>
      </c>
      <c r="H343" s="466" t="s">
        <v>1644</v>
      </c>
      <c r="I343" s="468">
        <v>2227.61</v>
      </c>
      <c r="J343" s="468">
        <v>1</v>
      </c>
      <c r="K343" s="469">
        <v>2227.61</v>
      </c>
    </row>
    <row r="344" spans="1:11" ht="14.4" customHeight="1" x14ac:dyDescent="0.3">
      <c r="A344" s="464" t="s">
        <v>529</v>
      </c>
      <c r="B344" s="465" t="s">
        <v>690</v>
      </c>
      <c r="C344" s="466" t="s">
        <v>540</v>
      </c>
      <c r="D344" s="467" t="s">
        <v>691</v>
      </c>
      <c r="E344" s="466" t="s">
        <v>1736</v>
      </c>
      <c r="F344" s="467" t="s">
        <v>1737</v>
      </c>
      <c r="G344" s="466" t="s">
        <v>1304</v>
      </c>
      <c r="H344" s="466" t="s">
        <v>1645</v>
      </c>
      <c r="I344" s="468">
        <v>2346</v>
      </c>
      <c r="J344" s="468">
        <v>1</v>
      </c>
      <c r="K344" s="469">
        <v>2346</v>
      </c>
    </row>
    <row r="345" spans="1:11" ht="14.4" customHeight="1" x14ac:dyDescent="0.3">
      <c r="A345" s="464" t="s">
        <v>529</v>
      </c>
      <c r="B345" s="465" t="s">
        <v>690</v>
      </c>
      <c r="C345" s="466" t="s">
        <v>540</v>
      </c>
      <c r="D345" s="467" t="s">
        <v>691</v>
      </c>
      <c r="E345" s="466" t="s">
        <v>1736</v>
      </c>
      <c r="F345" s="467" t="s">
        <v>1737</v>
      </c>
      <c r="G345" s="466" t="s">
        <v>1304</v>
      </c>
      <c r="H345" s="466" t="s">
        <v>1305</v>
      </c>
      <c r="I345" s="468">
        <v>2346.0450000000001</v>
      </c>
      <c r="J345" s="468">
        <v>3</v>
      </c>
      <c r="K345" s="469">
        <v>7038.18</v>
      </c>
    </row>
    <row r="346" spans="1:11" ht="14.4" customHeight="1" x14ac:dyDescent="0.3">
      <c r="A346" s="464" t="s">
        <v>529</v>
      </c>
      <c r="B346" s="465" t="s">
        <v>690</v>
      </c>
      <c r="C346" s="466" t="s">
        <v>540</v>
      </c>
      <c r="D346" s="467" t="s">
        <v>691</v>
      </c>
      <c r="E346" s="466" t="s">
        <v>1736</v>
      </c>
      <c r="F346" s="467" t="s">
        <v>1737</v>
      </c>
      <c r="G346" s="466" t="s">
        <v>1646</v>
      </c>
      <c r="H346" s="466" t="s">
        <v>1647</v>
      </c>
      <c r="I346" s="468">
        <v>9997.02</v>
      </c>
      <c r="J346" s="468">
        <v>3</v>
      </c>
      <c r="K346" s="469">
        <v>29991.06</v>
      </c>
    </row>
    <row r="347" spans="1:11" ht="14.4" customHeight="1" x14ac:dyDescent="0.3">
      <c r="A347" s="464" t="s">
        <v>529</v>
      </c>
      <c r="B347" s="465" t="s">
        <v>690</v>
      </c>
      <c r="C347" s="466" t="s">
        <v>540</v>
      </c>
      <c r="D347" s="467" t="s">
        <v>691</v>
      </c>
      <c r="E347" s="466" t="s">
        <v>1736</v>
      </c>
      <c r="F347" s="467" t="s">
        <v>1737</v>
      </c>
      <c r="G347" s="466" t="s">
        <v>1306</v>
      </c>
      <c r="H347" s="466" t="s">
        <v>1307</v>
      </c>
      <c r="I347" s="468">
        <v>5189.93</v>
      </c>
      <c r="J347" s="468">
        <v>4</v>
      </c>
      <c r="K347" s="469">
        <v>20759.71</v>
      </c>
    </row>
    <row r="348" spans="1:11" ht="14.4" customHeight="1" x14ac:dyDescent="0.3">
      <c r="A348" s="464" t="s">
        <v>529</v>
      </c>
      <c r="B348" s="465" t="s">
        <v>690</v>
      </c>
      <c r="C348" s="466" t="s">
        <v>540</v>
      </c>
      <c r="D348" s="467" t="s">
        <v>691</v>
      </c>
      <c r="E348" s="466" t="s">
        <v>1736</v>
      </c>
      <c r="F348" s="467" t="s">
        <v>1737</v>
      </c>
      <c r="G348" s="466" t="s">
        <v>1648</v>
      </c>
      <c r="H348" s="466" t="s">
        <v>1649</v>
      </c>
      <c r="I348" s="468">
        <v>2346</v>
      </c>
      <c r="J348" s="468">
        <v>1</v>
      </c>
      <c r="K348" s="469">
        <v>2346</v>
      </c>
    </row>
    <row r="349" spans="1:11" ht="14.4" customHeight="1" x14ac:dyDescent="0.3">
      <c r="A349" s="464" t="s">
        <v>529</v>
      </c>
      <c r="B349" s="465" t="s">
        <v>690</v>
      </c>
      <c r="C349" s="466" t="s">
        <v>540</v>
      </c>
      <c r="D349" s="467" t="s">
        <v>691</v>
      </c>
      <c r="E349" s="466" t="s">
        <v>1736</v>
      </c>
      <c r="F349" s="467" t="s">
        <v>1737</v>
      </c>
      <c r="G349" s="466" t="s">
        <v>1648</v>
      </c>
      <c r="H349" s="466" t="s">
        <v>1650</v>
      </c>
      <c r="I349" s="468">
        <v>2111.4699999999998</v>
      </c>
      <c r="J349" s="468">
        <v>5</v>
      </c>
      <c r="K349" s="469">
        <v>10791.97</v>
      </c>
    </row>
    <row r="350" spans="1:11" ht="14.4" customHeight="1" x14ac:dyDescent="0.3">
      <c r="A350" s="464" t="s">
        <v>529</v>
      </c>
      <c r="B350" s="465" t="s">
        <v>690</v>
      </c>
      <c r="C350" s="466" t="s">
        <v>540</v>
      </c>
      <c r="D350" s="467" t="s">
        <v>691</v>
      </c>
      <c r="E350" s="466" t="s">
        <v>1736</v>
      </c>
      <c r="F350" s="467" t="s">
        <v>1737</v>
      </c>
      <c r="G350" s="466" t="s">
        <v>1308</v>
      </c>
      <c r="H350" s="466" t="s">
        <v>1309</v>
      </c>
      <c r="I350" s="468">
        <v>8922.0479999999989</v>
      </c>
      <c r="J350" s="468">
        <v>14</v>
      </c>
      <c r="K350" s="469">
        <v>125217.60000000001</v>
      </c>
    </row>
    <row r="351" spans="1:11" ht="14.4" customHeight="1" x14ac:dyDescent="0.3">
      <c r="A351" s="464" t="s">
        <v>529</v>
      </c>
      <c r="B351" s="465" t="s">
        <v>690</v>
      </c>
      <c r="C351" s="466" t="s">
        <v>540</v>
      </c>
      <c r="D351" s="467" t="s">
        <v>691</v>
      </c>
      <c r="E351" s="466" t="s">
        <v>1736</v>
      </c>
      <c r="F351" s="467" t="s">
        <v>1737</v>
      </c>
      <c r="G351" s="466" t="s">
        <v>1651</v>
      </c>
      <c r="H351" s="466" t="s">
        <v>1652</v>
      </c>
      <c r="I351" s="468">
        <v>3712.28</v>
      </c>
      <c r="J351" s="468">
        <v>1</v>
      </c>
      <c r="K351" s="469">
        <v>3712.28</v>
      </c>
    </row>
    <row r="352" spans="1:11" ht="14.4" customHeight="1" x14ac:dyDescent="0.3">
      <c r="A352" s="464" t="s">
        <v>529</v>
      </c>
      <c r="B352" s="465" t="s">
        <v>690</v>
      </c>
      <c r="C352" s="466" t="s">
        <v>540</v>
      </c>
      <c r="D352" s="467" t="s">
        <v>691</v>
      </c>
      <c r="E352" s="466" t="s">
        <v>1736</v>
      </c>
      <c r="F352" s="467" t="s">
        <v>1737</v>
      </c>
      <c r="G352" s="466" t="s">
        <v>1653</v>
      </c>
      <c r="H352" s="466" t="s">
        <v>1654</v>
      </c>
      <c r="I352" s="468">
        <v>2480.5</v>
      </c>
      <c r="J352" s="468">
        <v>2</v>
      </c>
      <c r="K352" s="469">
        <v>4961</v>
      </c>
    </row>
    <row r="353" spans="1:11" ht="14.4" customHeight="1" x14ac:dyDescent="0.3">
      <c r="A353" s="464" t="s">
        <v>529</v>
      </c>
      <c r="B353" s="465" t="s">
        <v>690</v>
      </c>
      <c r="C353" s="466" t="s">
        <v>540</v>
      </c>
      <c r="D353" s="467" t="s">
        <v>691</v>
      </c>
      <c r="E353" s="466" t="s">
        <v>1736</v>
      </c>
      <c r="F353" s="467" t="s">
        <v>1737</v>
      </c>
      <c r="G353" s="466" t="s">
        <v>1655</v>
      </c>
      <c r="H353" s="466" t="s">
        <v>1656</v>
      </c>
      <c r="I353" s="468">
        <v>2904</v>
      </c>
      <c r="J353" s="468">
        <v>3</v>
      </c>
      <c r="K353" s="469">
        <v>8712</v>
      </c>
    </row>
    <row r="354" spans="1:11" ht="14.4" customHeight="1" x14ac:dyDescent="0.3">
      <c r="A354" s="464" t="s">
        <v>529</v>
      </c>
      <c r="B354" s="465" t="s">
        <v>690</v>
      </c>
      <c r="C354" s="466" t="s">
        <v>540</v>
      </c>
      <c r="D354" s="467" t="s">
        <v>691</v>
      </c>
      <c r="E354" s="466" t="s">
        <v>1736</v>
      </c>
      <c r="F354" s="467" t="s">
        <v>1737</v>
      </c>
      <c r="G354" s="466" t="s">
        <v>1657</v>
      </c>
      <c r="H354" s="466" t="s">
        <v>1658</v>
      </c>
      <c r="I354" s="468">
        <v>7659.3</v>
      </c>
      <c r="J354" s="468">
        <v>4</v>
      </c>
      <c r="K354" s="469">
        <v>30637.200000000001</v>
      </c>
    </row>
    <row r="355" spans="1:11" ht="14.4" customHeight="1" x14ac:dyDescent="0.3">
      <c r="A355" s="464" t="s">
        <v>529</v>
      </c>
      <c r="B355" s="465" t="s">
        <v>690</v>
      </c>
      <c r="C355" s="466" t="s">
        <v>540</v>
      </c>
      <c r="D355" s="467" t="s">
        <v>691</v>
      </c>
      <c r="E355" s="466" t="s">
        <v>1736</v>
      </c>
      <c r="F355" s="467" t="s">
        <v>1737</v>
      </c>
      <c r="G355" s="466" t="s">
        <v>1659</v>
      </c>
      <c r="H355" s="466" t="s">
        <v>1660</v>
      </c>
      <c r="I355" s="468">
        <v>3285.15</v>
      </c>
      <c r="J355" s="468">
        <v>3</v>
      </c>
      <c r="K355" s="469">
        <v>9855.4500000000007</v>
      </c>
    </row>
    <row r="356" spans="1:11" ht="14.4" customHeight="1" x14ac:dyDescent="0.3">
      <c r="A356" s="464" t="s">
        <v>529</v>
      </c>
      <c r="B356" s="465" t="s">
        <v>690</v>
      </c>
      <c r="C356" s="466" t="s">
        <v>540</v>
      </c>
      <c r="D356" s="467" t="s">
        <v>691</v>
      </c>
      <c r="E356" s="466" t="s">
        <v>1736</v>
      </c>
      <c r="F356" s="467" t="s">
        <v>1737</v>
      </c>
      <c r="G356" s="466" t="s">
        <v>1310</v>
      </c>
      <c r="H356" s="466" t="s">
        <v>1311</v>
      </c>
      <c r="I356" s="468">
        <v>1421.4</v>
      </c>
      <c r="J356" s="468">
        <v>1</v>
      </c>
      <c r="K356" s="469">
        <v>1421.4</v>
      </c>
    </row>
    <row r="357" spans="1:11" ht="14.4" customHeight="1" x14ac:dyDescent="0.3">
      <c r="A357" s="464" t="s">
        <v>529</v>
      </c>
      <c r="B357" s="465" t="s">
        <v>690</v>
      </c>
      <c r="C357" s="466" t="s">
        <v>540</v>
      </c>
      <c r="D357" s="467" t="s">
        <v>691</v>
      </c>
      <c r="E357" s="466" t="s">
        <v>1736</v>
      </c>
      <c r="F357" s="467" t="s">
        <v>1737</v>
      </c>
      <c r="G357" s="466" t="s">
        <v>1320</v>
      </c>
      <c r="H357" s="466" t="s">
        <v>1321</v>
      </c>
      <c r="I357" s="468">
        <v>284.35333333333335</v>
      </c>
      <c r="J357" s="468">
        <v>7</v>
      </c>
      <c r="K357" s="469">
        <v>1990.48</v>
      </c>
    </row>
    <row r="358" spans="1:11" ht="14.4" customHeight="1" x14ac:dyDescent="0.3">
      <c r="A358" s="464" t="s">
        <v>529</v>
      </c>
      <c r="B358" s="465" t="s">
        <v>690</v>
      </c>
      <c r="C358" s="466" t="s">
        <v>540</v>
      </c>
      <c r="D358" s="467" t="s">
        <v>691</v>
      </c>
      <c r="E358" s="466" t="s">
        <v>1736</v>
      </c>
      <c r="F358" s="467" t="s">
        <v>1737</v>
      </c>
      <c r="G358" s="466" t="s">
        <v>1661</v>
      </c>
      <c r="H358" s="466" t="s">
        <v>1662</v>
      </c>
      <c r="I358" s="468">
        <v>1868.82</v>
      </c>
      <c r="J358" s="468">
        <v>1</v>
      </c>
      <c r="K358" s="469">
        <v>1868.82</v>
      </c>
    </row>
    <row r="359" spans="1:11" ht="14.4" customHeight="1" x14ac:dyDescent="0.3">
      <c r="A359" s="464" t="s">
        <v>529</v>
      </c>
      <c r="B359" s="465" t="s">
        <v>690</v>
      </c>
      <c r="C359" s="466" t="s">
        <v>540</v>
      </c>
      <c r="D359" s="467" t="s">
        <v>691</v>
      </c>
      <c r="E359" s="466" t="s">
        <v>1736</v>
      </c>
      <c r="F359" s="467" t="s">
        <v>1737</v>
      </c>
      <c r="G359" s="466" t="s">
        <v>1663</v>
      </c>
      <c r="H359" s="466" t="s">
        <v>1664</v>
      </c>
      <c r="I359" s="468">
        <v>2794.5</v>
      </c>
      <c r="J359" s="468">
        <v>1</v>
      </c>
      <c r="K359" s="469">
        <v>2794.5</v>
      </c>
    </row>
    <row r="360" spans="1:11" ht="14.4" customHeight="1" x14ac:dyDescent="0.3">
      <c r="A360" s="464" t="s">
        <v>529</v>
      </c>
      <c r="B360" s="465" t="s">
        <v>690</v>
      </c>
      <c r="C360" s="466" t="s">
        <v>540</v>
      </c>
      <c r="D360" s="467" t="s">
        <v>691</v>
      </c>
      <c r="E360" s="466" t="s">
        <v>1736</v>
      </c>
      <c r="F360" s="467" t="s">
        <v>1737</v>
      </c>
      <c r="G360" s="466" t="s">
        <v>1665</v>
      </c>
      <c r="H360" s="466" t="s">
        <v>1666</v>
      </c>
      <c r="I360" s="468">
        <v>23474</v>
      </c>
      <c r="J360" s="468">
        <v>1</v>
      </c>
      <c r="K360" s="469">
        <v>23474</v>
      </c>
    </row>
    <row r="361" spans="1:11" ht="14.4" customHeight="1" x14ac:dyDescent="0.3">
      <c r="A361" s="464" t="s">
        <v>529</v>
      </c>
      <c r="B361" s="465" t="s">
        <v>690</v>
      </c>
      <c r="C361" s="466" t="s">
        <v>540</v>
      </c>
      <c r="D361" s="467" t="s">
        <v>691</v>
      </c>
      <c r="E361" s="466" t="s">
        <v>1736</v>
      </c>
      <c r="F361" s="467" t="s">
        <v>1737</v>
      </c>
      <c r="G361" s="466" t="s">
        <v>1667</v>
      </c>
      <c r="H361" s="466" t="s">
        <v>1668</v>
      </c>
      <c r="I361" s="468">
        <v>2994.75</v>
      </c>
      <c r="J361" s="468">
        <v>4</v>
      </c>
      <c r="K361" s="469">
        <v>11979</v>
      </c>
    </row>
    <row r="362" spans="1:11" ht="14.4" customHeight="1" x14ac:dyDescent="0.3">
      <c r="A362" s="464" t="s">
        <v>529</v>
      </c>
      <c r="B362" s="465" t="s">
        <v>690</v>
      </c>
      <c r="C362" s="466" t="s">
        <v>540</v>
      </c>
      <c r="D362" s="467" t="s">
        <v>691</v>
      </c>
      <c r="E362" s="466" t="s">
        <v>1736</v>
      </c>
      <c r="F362" s="467" t="s">
        <v>1737</v>
      </c>
      <c r="G362" s="466" t="s">
        <v>1669</v>
      </c>
      <c r="H362" s="466" t="s">
        <v>1670</v>
      </c>
      <c r="I362" s="468">
        <v>23159.399999999998</v>
      </c>
      <c r="J362" s="468">
        <v>23</v>
      </c>
      <c r="K362" s="469">
        <v>532666.19999999995</v>
      </c>
    </row>
    <row r="363" spans="1:11" ht="14.4" customHeight="1" x14ac:dyDescent="0.3">
      <c r="A363" s="464" t="s">
        <v>529</v>
      </c>
      <c r="B363" s="465" t="s">
        <v>690</v>
      </c>
      <c r="C363" s="466" t="s">
        <v>540</v>
      </c>
      <c r="D363" s="467" t="s">
        <v>691</v>
      </c>
      <c r="E363" s="466" t="s">
        <v>1736</v>
      </c>
      <c r="F363" s="467" t="s">
        <v>1737</v>
      </c>
      <c r="G363" s="466" t="s">
        <v>1671</v>
      </c>
      <c r="H363" s="466" t="s">
        <v>1672</v>
      </c>
      <c r="I363" s="468">
        <v>4278.5600000000004</v>
      </c>
      <c r="J363" s="468">
        <v>3</v>
      </c>
      <c r="K363" s="469">
        <v>12835.68</v>
      </c>
    </row>
    <row r="364" spans="1:11" ht="14.4" customHeight="1" x14ac:dyDescent="0.3">
      <c r="A364" s="464" t="s">
        <v>529</v>
      </c>
      <c r="B364" s="465" t="s">
        <v>690</v>
      </c>
      <c r="C364" s="466" t="s">
        <v>540</v>
      </c>
      <c r="D364" s="467" t="s">
        <v>691</v>
      </c>
      <c r="E364" s="466" t="s">
        <v>1736</v>
      </c>
      <c r="F364" s="467" t="s">
        <v>1737</v>
      </c>
      <c r="G364" s="466" t="s">
        <v>1323</v>
      </c>
      <c r="H364" s="466" t="s">
        <v>1324</v>
      </c>
      <c r="I364" s="468">
        <v>193.32899596016759</v>
      </c>
      <c r="J364" s="468">
        <v>46</v>
      </c>
      <c r="K364" s="469">
        <v>8654.8518368763762</v>
      </c>
    </row>
    <row r="365" spans="1:11" ht="14.4" customHeight="1" x14ac:dyDescent="0.3">
      <c r="A365" s="464" t="s">
        <v>529</v>
      </c>
      <c r="B365" s="465" t="s">
        <v>690</v>
      </c>
      <c r="C365" s="466" t="s">
        <v>540</v>
      </c>
      <c r="D365" s="467" t="s">
        <v>691</v>
      </c>
      <c r="E365" s="466" t="s">
        <v>1736</v>
      </c>
      <c r="F365" s="467" t="s">
        <v>1737</v>
      </c>
      <c r="G365" s="466" t="s">
        <v>1673</v>
      </c>
      <c r="H365" s="466" t="s">
        <v>1674</v>
      </c>
      <c r="I365" s="468">
        <v>2204.61</v>
      </c>
      <c r="J365" s="468">
        <v>2</v>
      </c>
      <c r="K365" s="469">
        <v>4409.2299999999996</v>
      </c>
    </row>
    <row r="366" spans="1:11" ht="14.4" customHeight="1" x14ac:dyDescent="0.3">
      <c r="A366" s="464" t="s">
        <v>529</v>
      </c>
      <c r="B366" s="465" t="s">
        <v>690</v>
      </c>
      <c r="C366" s="466" t="s">
        <v>540</v>
      </c>
      <c r="D366" s="467" t="s">
        <v>691</v>
      </c>
      <c r="E366" s="466" t="s">
        <v>1736</v>
      </c>
      <c r="F366" s="467" t="s">
        <v>1737</v>
      </c>
      <c r="G366" s="466" t="s">
        <v>1675</v>
      </c>
      <c r="H366" s="466" t="s">
        <v>1676</v>
      </c>
      <c r="I366" s="468">
        <v>1819.85</v>
      </c>
      <c r="J366" s="468">
        <v>1</v>
      </c>
      <c r="K366" s="469">
        <v>1819.85</v>
      </c>
    </row>
    <row r="367" spans="1:11" ht="14.4" customHeight="1" x14ac:dyDescent="0.3">
      <c r="A367" s="464" t="s">
        <v>529</v>
      </c>
      <c r="B367" s="465" t="s">
        <v>690</v>
      </c>
      <c r="C367" s="466" t="s">
        <v>540</v>
      </c>
      <c r="D367" s="467" t="s">
        <v>691</v>
      </c>
      <c r="E367" s="466" t="s">
        <v>1736</v>
      </c>
      <c r="F367" s="467" t="s">
        <v>1737</v>
      </c>
      <c r="G367" s="466" t="s">
        <v>1677</v>
      </c>
      <c r="H367" s="466" t="s">
        <v>1678</v>
      </c>
      <c r="I367" s="468">
        <v>337.59</v>
      </c>
      <c r="J367" s="468">
        <v>1</v>
      </c>
      <c r="K367" s="469">
        <v>337.59</v>
      </c>
    </row>
    <row r="368" spans="1:11" ht="14.4" customHeight="1" x14ac:dyDescent="0.3">
      <c r="A368" s="464" t="s">
        <v>529</v>
      </c>
      <c r="B368" s="465" t="s">
        <v>690</v>
      </c>
      <c r="C368" s="466" t="s">
        <v>540</v>
      </c>
      <c r="D368" s="467" t="s">
        <v>691</v>
      </c>
      <c r="E368" s="466" t="s">
        <v>1736</v>
      </c>
      <c r="F368" s="467" t="s">
        <v>1737</v>
      </c>
      <c r="G368" s="466" t="s">
        <v>1679</v>
      </c>
      <c r="H368" s="466" t="s">
        <v>1680</v>
      </c>
      <c r="I368" s="468">
        <v>1732.71</v>
      </c>
      <c r="J368" s="468">
        <v>2</v>
      </c>
      <c r="K368" s="469">
        <v>3465.43</v>
      </c>
    </row>
    <row r="369" spans="1:11" ht="14.4" customHeight="1" x14ac:dyDescent="0.3">
      <c r="A369" s="464" t="s">
        <v>529</v>
      </c>
      <c r="B369" s="465" t="s">
        <v>690</v>
      </c>
      <c r="C369" s="466" t="s">
        <v>540</v>
      </c>
      <c r="D369" s="467" t="s">
        <v>691</v>
      </c>
      <c r="E369" s="466" t="s">
        <v>1736</v>
      </c>
      <c r="F369" s="467" t="s">
        <v>1737</v>
      </c>
      <c r="G369" s="466" t="s">
        <v>1681</v>
      </c>
      <c r="H369" s="466" t="s">
        <v>1682</v>
      </c>
      <c r="I369" s="468">
        <v>3963.95</v>
      </c>
      <c r="J369" s="468">
        <v>2</v>
      </c>
      <c r="K369" s="469">
        <v>7927.9</v>
      </c>
    </row>
    <row r="370" spans="1:11" ht="14.4" customHeight="1" x14ac:dyDescent="0.3">
      <c r="A370" s="464" t="s">
        <v>529</v>
      </c>
      <c r="B370" s="465" t="s">
        <v>690</v>
      </c>
      <c r="C370" s="466" t="s">
        <v>540</v>
      </c>
      <c r="D370" s="467" t="s">
        <v>691</v>
      </c>
      <c r="E370" s="466" t="s">
        <v>1736</v>
      </c>
      <c r="F370" s="467" t="s">
        <v>1737</v>
      </c>
      <c r="G370" s="466" t="s">
        <v>1325</v>
      </c>
      <c r="H370" s="466" t="s">
        <v>1326</v>
      </c>
      <c r="I370" s="468">
        <v>1442.7080000000001</v>
      </c>
      <c r="J370" s="468">
        <v>33</v>
      </c>
      <c r="K370" s="469">
        <v>47985.670000000006</v>
      </c>
    </row>
    <row r="371" spans="1:11" ht="14.4" customHeight="1" x14ac:dyDescent="0.3">
      <c r="A371" s="464" t="s">
        <v>529</v>
      </c>
      <c r="B371" s="465" t="s">
        <v>690</v>
      </c>
      <c r="C371" s="466" t="s">
        <v>540</v>
      </c>
      <c r="D371" s="467" t="s">
        <v>691</v>
      </c>
      <c r="E371" s="466" t="s">
        <v>1736</v>
      </c>
      <c r="F371" s="467" t="s">
        <v>1737</v>
      </c>
      <c r="G371" s="466" t="s">
        <v>1327</v>
      </c>
      <c r="H371" s="466" t="s">
        <v>1328</v>
      </c>
      <c r="I371" s="468">
        <v>793.5</v>
      </c>
      <c r="J371" s="468">
        <v>1</v>
      </c>
      <c r="K371" s="469">
        <v>793.5</v>
      </c>
    </row>
    <row r="372" spans="1:11" ht="14.4" customHeight="1" x14ac:dyDescent="0.3">
      <c r="A372" s="464" t="s">
        <v>529</v>
      </c>
      <c r="B372" s="465" t="s">
        <v>690</v>
      </c>
      <c r="C372" s="466" t="s">
        <v>540</v>
      </c>
      <c r="D372" s="467" t="s">
        <v>691</v>
      </c>
      <c r="E372" s="466" t="s">
        <v>1736</v>
      </c>
      <c r="F372" s="467" t="s">
        <v>1737</v>
      </c>
      <c r="G372" s="466" t="s">
        <v>1683</v>
      </c>
      <c r="H372" s="466" t="s">
        <v>1684</v>
      </c>
      <c r="I372" s="468">
        <v>2904.9</v>
      </c>
      <c r="J372" s="468">
        <v>1</v>
      </c>
      <c r="K372" s="469">
        <v>2904.9</v>
      </c>
    </row>
    <row r="373" spans="1:11" ht="14.4" customHeight="1" x14ac:dyDescent="0.3">
      <c r="A373" s="464" t="s">
        <v>529</v>
      </c>
      <c r="B373" s="465" t="s">
        <v>690</v>
      </c>
      <c r="C373" s="466" t="s">
        <v>540</v>
      </c>
      <c r="D373" s="467" t="s">
        <v>691</v>
      </c>
      <c r="E373" s="466" t="s">
        <v>1736</v>
      </c>
      <c r="F373" s="467" t="s">
        <v>1737</v>
      </c>
      <c r="G373" s="466" t="s">
        <v>1685</v>
      </c>
      <c r="H373" s="466" t="s">
        <v>1686</v>
      </c>
      <c r="I373" s="468">
        <v>300</v>
      </c>
      <c r="J373" s="468">
        <v>1</v>
      </c>
      <c r="K373" s="469">
        <v>300</v>
      </c>
    </row>
    <row r="374" spans="1:11" ht="14.4" customHeight="1" x14ac:dyDescent="0.3">
      <c r="A374" s="464" t="s">
        <v>529</v>
      </c>
      <c r="B374" s="465" t="s">
        <v>690</v>
      </c>
      <c r="C374" s="466" t="s">
        <v>540</v>
      </c>
      <c r="D374" s="467" t="s">
        <v>691</v>
      </c>
      <c r="E374" s="466" t="s">
        <v>1736</v>
      </c>
      <c r="F374" s="467" t="s">
        <v>1737</v>
      </c>
      <c r="G374" s="466" t="s">
        <v>1687</v>
      </c>
      <c r="H374" s="466" t="s">
        <v>1688</v>
      </c>
      <c r="I374" s="468">
        <v>1731.51</v>
      </c>
      <c r="J374" s="468">
        <v>28</v>
      </c>
      <c r="K374" s="469">
        <v>48482.26999999999</v>
      </c>
    </row>
    <row r="375" spans="1:11" ht="14.4" customHeight="1" x14ac:dyDescent="0.3">
      <c r="A375" s="464" t="s">
        <v>529</v>
      </c>
      <c r="B375" s="465" t="s">
        <v>690</v>
      </c>
      <c r="C375" s="466" t="s">
        <v>540</v>
      </c>
      <c r="D375" s="467" t="s">
        <v>691</v>
      </c>
      <c r="E375" s="466" t="s">
        <v>1736</v>
      </c>
      <c r="F375" s="467" t="s">
        <v>1737</v>
      </c>
      <c r="G375" s="466" t="s">
        <v>1689</v>
      </c>
      <c r="H375" s="466" t="s">
        <v>1690</v>
      </c>
      <c r="I375" s="468">
        <v>901.6</v>
      </c>
      <c r="J375" s="468">
        <v>36</v>
      </c>
      <c r="K375" s="469">
        <v>32457.59</v>
      </c>
    </row>
    <row r="376" spans="1:11" ht="14.4" customHeight="1" x14ac:dyDescent="0.3">
      <c r="A376" s="464" t="s">
        <v>529</v>
      </c>
      <c r="B376" s="465" t="s">
        <v>690</v>
      </c>
      <c r="C376" s="466" t="s">
        <v>540</v>
      </c>
      <c r="D376" s="467" t="s">
        <v>691</v>
      </c>
      <c r="E376" s="466" t="s">
        <v>1736</v>
      </c>
      <c r="F376" s="467" t="s">
        <v>1737</v>
      </c>
      <c r="G376" s="466" t="s">
        <v>1691</v>
      </c>
      <c r="H376" s="466" t="s">
        <v>1692</v>
      </c>
      <c r="I376" s="468">
        <v>2278.42</v>
      </c>
      <c r="J376" s="468">
        <v>1</v>
      </c>
      <c r="K376" s="469">
        <v>2278.42</v>
      </c>
    </row>
    <row r="377" spans="1:11" ht="14.4" customHeight="1" x14ac:dyDescent="0.3">
      <c r="A377" s="464" t="s">
        <v>529</v>
      </c>
      <c r="B377" s="465" t="s">
        <v>690</v>
      </c>
      <c r="C377" s="466" t="s">
        <v>540</v>
      </c>
      <c r="D377" s="467" t="s">
        <v>691</v>
      </c>
      <c r="E377" s="466" t="s">
        <v>1736</v>
      </c>
      <c r="F377" s="467" t="s">
        <v>1737</v>
      </c>
      <c r="G377" s="466" t="s">
        <v>1693</v>
      </c>
      <c r="H377" s="466" t="s">
        <v>1694</v>
      </c>
      <c r="I377" s="468">
        <v>996.24</v>
      </c>
      <c r="J377" s="468">
        <v>1</v>
      </c>
      <c r="K377" s="469">
        <v>996.24</v>
      </c>
    </row>
    <row r="378" spans="1:11" ht="14.4" customHeight="1" x14ac:dyDescent="0.3">
      <c r="A378" s="464" t="s">
        <v>529</v>
      </c>
      <c r="B378" s="465" t="s">
        <v>690</v>
      </c>
      <c r="C378" s="466" t="s">
        <v>540</v>
      </c>
      <c r="D378" s="467" t="s">
        <v>691</v>
      </c>
      <c r="E378" s="466" t="s">
        <v>1736</v>
      </c>
      <c r="F378" s="467" t="s">
        <v>1737</v>
      </c>
      <c r="G378" s="466" t="s">
        <v>1695</v>
      </c>
      <c r="H378" s="466" t="s">
        <v>1696</v>
      </c>
      <c r="I378" s="468">
        <v>1869.9</v>
      </c>
      <c r="J378" s="468">
        <v>1</v>
      </c>
      <c r="K378" s="469">
        <v>1869.9</v>
      </c>
    </row>
    <row r="379" spans="1:11" ht="14.4" customHeight="1" x14ac:dyDescent="0.3">
      <c r="A379" s="464" t="s">
        <v>529</v>
      </c>
      <c r="B379" s="465" t="s">
        <v>690</v>
      </c>
      <c r="C379" s="466" t="s">
        <v>540</v>
      </c>
      <c r="D379" s="467" t="s">
        <v>691</v>
      </c>
      <c r="E379" s="466" t="s">
        <v>1736</v>
      </c>
      <c r="F379" s="467" t="s">
        <v>1737</v>
      </c>
      <c r="G379" s="466" t="s">
        <v>1697</v>
      </c>
      <c r="H379" s="466" t="s">
        <v>1698</v>
      </c>
      <c r="I379" s="468">
        <v>750.2</v>
      </c>
      <c r="J379" s="468">
        <v>1</v>
      </c>
      <c r="K379" s="469">
        <v>750.2</v>
      </c>
    </row>
    <row r="380" spans="1:11" ht="14.4" customHeight="1" x14ac:dyDescent="0.3">
      <c r="A380" s="464" t="s">
        <v>529</v>
      </c>
      <c r="B380" s="465" t="s">
        <v>690</v>
      </c>
      <c r="C380" s="466" t="s">
        <v>540</v>
      </c>
      <c r="D380" s="467" t="s">
        <v>691</v>
      </c>
      <c r="E380" s="466" t="s">
        <v>1736</v>
      </c>
      <c r="F380" s="467" t="s">
        <v>1737</v>
      </c>
      <c r="G380" s="466" t="s">
        <v>1699</v>
      </c>
      <c r="H380" s="466" t="s">
        <v>1700</v>
      </c>
      <c r="I380" s="468">
        <v>996.23</v>
      </c>
      <c r="J380" s="468">
        <v>1</v>
      </c>
      <c r="K380" s="469">
        <v>996.23</v>
      </c>
    </row>
    <row r="381" spans="1:11" ht="14.4" customHeight="1" x14ac:dyDescent="0.3">
      <c r="A381" s="464" t="s">
        <v>529</v>
      </c>
      <c r="B381" s="465" t="s">
        <v>690</v>
      </c>
      <c r="C381" s="466" t="s">
        <v>540</v>
      </c>
      <c r="D381" s="467" t="s">
        <v>691</v>
      </c>
      <c r="E381" s="466" t="s">
        <v>1736</v>
      </c>
      <c r="F381" s="467" t="s">
        <v>1737</v>
      </c>
      <c r="G381" s="466" t="s">
        <v>1335</v>
      </c>
      <c r="H381" s="466" t="s">
        <v>1336</v>
      </c>
      <c r="I381" s="468">
        <v>2002.55</v>
      </c>
      <c r="J381" s="468">
        <v>1</v>
      </c>
      <c r="K381" s="469">
        <v>2002.55</v>
      </c>
    </row>
    <row r="382" spans="1:11" ht="14.4" customHeight="1" x14ac:dyDescent="0.3">
      <c r="A382" s="464" t="s">
        <v>529</v>
      </c>
      <c r="B382" s="465" t="s">
        <v>690</v>
      </c>
      <c r="C382" s="466" t="s">
        <v>540</v>
      </c>
      <c r="D382" s="467" t="s">
        <v>691</v>
      </c>
      <c r="E382" s="466" t="s">
        <v>1736</v>
      </c>
      <c r="F382" s="467" t="s">
        <v>1737</v>
      </c>
      <c r="G382" s="466" t="s">
        <v>1701</v>
      </c>
      <c r="H382" s="466" t="s">
        <v>1702</v>
      </c>
      <c r="I382" s="468">
        <v>996.23</v>
      </c>
      <c r="J382" s="468">
        <v>1</v>
      </c>
      <c r="K382" s="469">
        <v>996.23</v>
      </c>
    </row>
    <row r="383" spans="1:11" ht="14.4" customHeight="1" x14ac:dyDescent="0.3">
      <c r="A383" s="464" t="s">
        <v>529</v>
      </c>
      <c r="B383" s="465" t="s">
        <v>690</v>
      </c>
      <c r="C383" s="466" t="s">
        <v>540</v>
      </c>
      <c r="D383" s="467" t="s">
        <v>691</v>
      </c>
      <c r="E383" s="466" t="s">
        <v>1736</v>
      </c>
      <c r="F383" s="467" t="s">
        <v>1737</v>
      </c>
      <c r="G383" s="466" t="s">
        <v>1344</v>
      </c>
      <c r="H383" s="466" t="s">
        <v>1345</v>
      </c>
      <c r="I383" s="468">
        <v>3550.63</v>
      </c>
      <c r="J383" s="468">
        <v>1</v>
      </c>
      <c r="K383" s="469">
        <v>3550.63</v>
      </c>
    </row>
    <row r="384" spans="1:11" ht="14.4" customHeight="1" x14ac:dyDescent="0.3">
      <c r="A384" s="464" t="s">
        <v>529</v>
      </c>
      <c r="B384" s="465" t="s">
        <v>690</v>
      </c>
      <c r="C384" s="466" t="s">
        <v>540</v>
      </c>
      <c r="D384" s="467" t="s">
        <v>691</v>
      </c>
      <c r="E384" s="466" t="s">
        <v>1736</v>
      </c>
      <c r="F384" s="467" t="s">
        <v>1737</v>
      </c>
      <c r="G384" s="466" t="s">
        <v>1348</v>
      </c>
      <c r="H384" s="466" t="s">
        <v>1349</v>
      </c>
      <c r="I384" s="468">
        <v>1988.35</v>
      </c>
      <c r="J384" s="468">
        <v>1</v>
      </c>
      <c r="K384" s="469">
        <v>1988.35</v>
      </c>
    </row>
    <row r="385" spans="1:11" ht="14.4" customHeight="1" x14ac:dyDescent="0.3">
      <c r="A385" s="464" t="s">
        <v>529</v>
      </c>
      <c r="B385" s="465" t="s">
        <v>690</v>
      </c>
      <c r="C385" s="466" t="s">
        <v>540</v>
      </c>
      <c r="D385" s="467" t="s">
        <v>691</v>
      </c>
      <c r="E385" s="466" t="s">
        <v>1736</v>
      </c>
      <c r="F385" s="467" t="s">
        <v>1737</v>
      </c>
      <c r="G385" s="466" t="s">
        <v>1703</v>
      </c>
      <c r="H385" s="466" t="s">
        <v>1704</v>
      </c>
      <c r="I385" s="468">
        <v>224745.4</v>
      </c>
      <c r="J385" s="468">
        <v>9</v>
      </c>
      <c r="K385" s="469">
        <v>2022708.5999999999</v>
      </c>
    </row>
    <row r="386" spans="1:11" ht="14.4" customHeight="1" x14ac:dyDescent="0.3">
      <c r="A386" s="464" t="s">
        <v>529</v>
      </c>
      <c r="B386" s="465" t="s">
        <v>690</v>
      </c>
      <c r="C386" s="466" t="s">
        <v>540</v>
      </c>
      <c r="D386" s="467" t="s">
        <v>691</v>
      </c>
      <c r="E386" s="466" t="s">
        <v>1736</v>
      </c>
      <c r="F386" s="467" t="s">
        <v>1737</v>
      </c>
      <c r="G386" s="466" t="s">
        <v>1705</v>
      </c>
      <c r="H386" s="466" t="s">
        <v>1706</v>
      </c>
      <c r="I386" s="468">
        <v>2227.61</v>
      </c>
      <c r="J386" s="468">
        <v>2</v>
      </c>
      <c r="K386" s="469">
        <v>4455.22</v>
      </c>
    </row>
    <row r="387" spans="1:11" ht="14.4" customHeight="1" x14ac:dyDescent="0.3">
      <c r="A387" s="464" t="s">
        <v>529</v>
      </c>
      <c r="B387" s="465" t="s">
        <v>690</v>
      </c>
      <c r="C387" s="466" t="s">
        <v>540</v>
      </c>
      <c r="D387" s="467" t="s">
        <v>691</v>
      </c>
      <c r="E387" s="466" t="s">
        <v>1736</v>
      </c>
      <c r="F387" s="467" t="s">
        <v>1737</v>
      </c>
      <c r="G387" s="466" t="s">
        <v>1707</v>
      </c>
      <c r="H387" s="466" t="s">
        <v>1708</v>
      </c>
      <c r="I387" s="468">
        <v>1874.33</v>
      </c>
      <c r="J387" s="468">
        <v>1</v>
      </c>
      <c r="K387" s="469">
        <v>1874.33</v>
      </c>
    </row>
    <row r="388" spans="1:11" ht="14.4" customHeight="1" x14ac:dyDescent="0.3">
      <c r="A388" s="464" t="s">
        <v>529</v>
      </c>
      <c r="B388" s="465" t="s">
        <v>690</v>
      </c>
      <c r="C388" s="466" t="s">
        <v>540</v>
      </c>
      <c r="D388" s="467" t="s">
        <v>691</v>
      </c>
      <c r="E388" s="466" t="s">
        <v>1736</v>
      </c>
      <c r="F388" s="467" t="s">
        <v>1737</v>
      </c>
      <c r="G388" s="466" t="s">
        <v>1709</v>
      </c>
      <c r="H388" s="466" t="s">
        <v>1710</v>
      </c>
      <c r="I388" s="468">
        <v>1708.56</v>
      </c>
      <c r="J388" s="468">
        <v>1</v>
      </c>
      <c r="K388" s="469">
        <v>1708.56</v>
      </c>
    </row>
    <row r="389" spans="1:11" ht="14.4" customHeight="1" x14ac:dyDescent="0.3">
      <c r="A389" s="464" t="s">
        <v>529</v>
      </c>
      <c r="B389" s="465" t="s">
        <v>690</v>
      </c>
      <c r="C389" s="466" t="s">
        <v>540</v>
      </c>
      <c r="D389" s="467" t="s">
        <v>691</v>
      </c>
      <c r="E389" s="466" t="s">
        <v>1736</v>
      </c>
      <c r="F389" s="467" t="s">
        <v>1737</v>
      </c>
      <c r="G389" s="466" t="s">
        <v>1711</v>
      </c>
      <c r="H389" s="466" t="s">
        <v>1712</v>
      </c>
      <c r="I389" s="468">
        <v>1708.56</v>
      </c>
      <c r="J389" s="468">
        <v>1</v>
      </c>
      <c r="K389" s="469">
        <v>1708.56</v>
      </c>
    </row>
    <row r="390" spans="1:11" ht="14.4" customHeight="1" x14ac:dyDescent="0.3">
      <c r="A390" s="464" t="s">
        <v>529</v>
      </c>
      <c r="B390" s="465" t="s">
        <v>690</v>
      </c>
      <c r="C390" s="466" t="s">
        <v>540</v>
      </c>
      <c r="D390" s="467" t="s">
        <v>691</v>
      </c>
      <c r="E390" s="466" t="s">
        <v>1736</v>
      </c>
      <c r="F390" s="467" t="s">
        <v>1737</v>
      </c>
      <c r="G390" s="466" t="s">
        <v>1713</v>
      </c>
      <c r="H390" s="466" t="s">
        <v>1714</v>
      </c>
      <c r="I390" s="468">
        <v>3712.28</v>
      </c>
      <c r="J390" s="468">
        <v>1</v>
      </c>
      <c r="K390" s="469">
        <v>3712.28</v>
      </c>
    </row>
    <row r="391" spans="1:11" ht="14.4" customHeight="1" x14ac:dyDescent="0.3">
      <c r="A391" s="464" t="s">
        <v>529</v>
      </c>
      <c r="B391" s="465" t="s">
        <v>690</v>
      </c>
      <c r="C391" s="466" t="s">
        <v>540</v>
      </c>
      <c r="D391" s="467" t="s">
        <v>691</v>
      </c>
      <c r="E391" s="466" t="s">
        <v>1736</v>
      </c>
      <c r="F391" s="467" t="s">
        <v>1737</v>
      </c>
      <c r="G391" s="466" t="s">
        <v>1715</v>
      </c>
      <c r="H391" s="466" t="s">
        <v>1716</v>
      </c>
      <c r="I391" s="468">
        <v>3051.69</v>
      </c>
      <c r="J391" s="468">
        <v>1</v>
      </c>
      <c r="K391" s="469">
        <v>3051.69</v>
      </c>
    </row>
    <row r="392" spans="1:11" ht="14.4" customHeight="1" x14ac:dyDescent="0.3">
      <c r="A392" s="464" t="s">
        <v>529</v>
      </c>
      <c r="B392" s="465" t="s">
        <v>690</v>
      </c>
      <c r="C392" s="466" t="s">
        <v>540</v>
      </c>
      <c r="D392" s="467" t="s">
        <v>691</v>
      </c>
      <c r="E392" s="466" t="s">
        <v>1736</v>
      </c>
      <c r="F392" s="467" t="s">
        <v>1737</v>
      </c>
      <c r="G392" s="466" t="s">
        <v>1717</v>
      </c>
      <c r="H392" s="466" t="s">
        <v>1718</v>
      </c>
      <c r="I392" s="468">
        <v>713.87</v>
      </c>
      <c r="J392" s="468">
        <v>1</v>
      </c>
      <c r="K392" s="469">
        <v>713.87</v>
      </c>
    </row>
    <row r="393" spans="1:11" ht="14.4" customHeight="1" x14ac:dyDescent="0.3">
      <c r="A393" s="464" t="s">
        <v>529</v>
      </c>
      <c r="B393" s="465" t="s">
        <v>690</v>
      </c>
      <c r="C393" s="466" t="s">
        <v>540</v>
      </c>
      <c r="D393" s="467" t="s">
        <v>691</v>
      </c>
      <c r="E393" s="466" t="s">
        <v>1736</v>
      </c>
      <c r="F393" s="467" t="s">
        <v>1737</v>
      </c>
      <c r="G393" s="466" t="s">
        <v>1719</v>
      </c>
      <c r="H393" s="466" t="s">
        <v>1720</v>
      </c>
      <c r="I393" s="468">
        <v>2035.5</v>
      </c>
      <c r="J393" s="468">
        <v>1</v>
      </c>
      <c r="K393" s="469">
        <v>2035.5</v>
      </c>
    </row>
    <row r="394" spans="1:11" ht="14.4" customHeight="1" x14ac:dyDescent="0.3">
      <c r="A394" s="464" t="s">
        <v>529</v>
      </c>
      <c r="B394" s="465" t="s">
        <v>690</v>
      </c>
      <c r="C394" s="466" t="s">
        <v>540</v>
      </c>
      <c r="D394" s="467" t="s">
        <v>691</v>
      </c>
      <c r="E394" s="466" t="s">
        <v>1736</v>
      </c>
      <c r="F394" s="467" t="s">
        <v>1737</v>
      </c>
      <c r="G394" s="466" t="s">
        <v>1721</v>
      </c>
      <c r="H394" s="466" t="s">
        <v>1722</v>
      </c>
      <c r="I394" s="468">
        <v>1149.5</v>
      </c>
      <c r="J394" s="468">
        <v>1</v>
      </c>
      <c r="K394" s="469">
        <v>1149.5</v>
      </c>
    </row>
    <row r="395" spans="1:11" ht="14.4" customHeight="1" x14ac:dyDescent="0.3">
      <c r="A395" s="464" t="s">
        <v>529</v>
      </c>
      <c r="B395" s="465" t="s">
        <v>690</v>
      </c>
      <c r="C395" s="466" t="s">
        <v>540</v>
      </c>
      <c r="D395" s="467" t="s">
        <v>691</v>
      </c>
      <c r="E395" s="466" t="s">
        <v>1736</v>
      </c>
      <c r="F395" s="467" t="s">
        <v>1737</v>
      </c>
      <c r="G395" s="466" t="s">
        <v>1723</v>
      </c>
      <c r="H395" s="466" t="s">
        <v>1724</v>
      </c>
      <c r="I395" s="468">
        <v>1437.5</v>
      </c>
      <c r="J395" s="468">
        <v>1</v>
      </c>
      <c r="K395" s="469">
        <v>1437.5</v>
      </c>
    </row>
    <row r="396" spans="1:11" ht="14.4" customHeight="1" x14ac:dyDescent="0.3">
      <c r="A396" s="464" t="s">
        <v>529</v>
      </c>
      <c r="B396" s="465" t="s">
        <v>690</v>
      </c>
      <c r="C396" s="466" t="s">
        <v>540</v>
      </c>
      <c r="D396" s="467" t="s">
        <v>691</v>
      </c>
      <c r="E396" s="466" t="s">
        <v>1736</v>
      </c>
      <c r="F396" s="467" t="s">
        <v>1737</v>
      </c>
      <c r="G396" s="466" t="s">
        <v>1725</v>
      </c>
      <c r="H396" s="466" t="s">
        <v>1726</v>
      </c>
      <c r="I396" s="468">
        <v>3964.32</v>
      </c>
      <c r="J396" s="468">
        <v>1</v>
      </c>
      <c r="K396" s="469">
        <v>3964.32</v>
      </c>
    </row>
    <row r="397" spans="1:11" ht="14.4" customHeight="1" x14ac:dyDescent="0.3">
      <c r="A397" s="464" t="s">
        <v>529</v>
      </c>
      <c r="B397" s="465" t="s">
        <v>690</v>
      </c>
      <c r="C397" s="466" t="s">
        <v>540</v>
      </c>
      <c r="D397" s="467" t="s">
        <v>691</v>
      </c>
      <c r="E397" s="466" t="s">
        <v>1736</v>
      </c>
      <c r="F397" s="467" t="s">
        <v>1737</v>
      </c>
      <c r="G397" s="466" t="s">
        <v>1350</v>
      </c>
      <c r="H397" s="466" t="s">
        <v>1351</v>
      </c>
      <c r="I397" s="468">
        <v>229.9</v>
      </c>
      <c r="J397" s="468">
        <v>1</v>
      </c>
      <c r="K397" s="469">
        <v>229.9</v>
      </c>
    </row>
    <row r="398" spans="1:11" ht="14.4" customHeight="1" x14ac:dyDescent="0.3">
      <c r="A398" s="464" t="s">
        <v>529</v>
      </c>
      <c r="B398" s="465" t="s">
        <v>690</v>
      </c>
      <c r="C398" s="466" t="s">
        <v>540</v>
      </c>
      <c r="D398" s="467" t="s">
        <v>691</v>
      </c>
      <c r="E398" s="466" t="s">
        <v>1736</v>
      </c>
      <c r="F398" s="467" t="s">
        <v>1737</v>
      </c>
      <c r="G398" s="466" t="s">
        <v>1603</v>
      </c>
      <c r="H398" s="466" t="s">
        <v>1604</v>
      </c>
      <c r="I398" s="468">
        <v>1724.25</v>
      </c>
      <c r="J398" s="468">
        <v>50</v>
      </c>
      <c r="K398" s="469">
        <v>86212.5</v>
      </c>
    </row>
    <row r="399" spans="1:11" ht="14.4" customHeight="1" x14ac:dyDescent="0.3">
      <c r="A399" s="464" t="s">
        <v>529</v>
      </c>
      <c r="B399" s="465" t="s">
        <v>690</v>
      </c>
      <c r="C399" s="466" t="s">
        <v>540</v>
      </c>
      <c r="D399" s="467" t="s">
        <v>691</v>
      </c>
      <c r="E399" s="466" t="s">
        <v>1736</v>
      </c>
      <c r="F399" s="467" t="s">
        <v>1737</v>
      </c>
      <c r="G399" s="466" t="s">
        <v>1605</v>
      </c>
      <c r="H399" s="466" t="s">
        <v>1606</v>
      </c>
      <c r="I399" s="468">
        <v>1815</v>
      </c>
      <c r="J399" s="468">
        <v>4</v>
      </c>
      <c r="K399" s="469">
        <v>7260</v>
      </c>
    </row>
    <row r="400" spans="1:11" ht="14.4" customHeight="1" thickBot="1" x14ac:dyDescent="0.35">
      <c r="A400" s="470" t="s">
        <v>529</v>
      </c>
      <c r="B400" s="471" t="s">
        <v>690</v>
      </c>
      <c r="C400" s="472" t="s">
        <v>543</v>
      </c>
      <c r="D400" s="473" t="s">
        <v>1742</v>
      </c>
      <c r="E400" s="472" t="s">
        <v>1738</v>
      </c>
      <c r="F400" s="473" t="s">
        <v>1739</v>
      </c>
      <c r="G400" s="472" t="s">
        <v>1512</v>
      </c>
      <c r="H400" s="472" t="s">
        <v>1513</v>
      </c>
      <c r="I400" s="474">
        <v>631.62</v>
      </c>
      <c r="J400" s="474">
        <v>10</v>
      </c>
      <c r="K400" s="475">
        <v>6316.2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6" width="13.109375" customWidth="1"/>
    <col min="7" max="8" width="13.109375" hidden="1" customWidth="1"/>
    <col min="9" max="9" width="13.109375" customWidth="1"/>
    <col min="10" max="20" width="13.109375" hidden="1" customWidth="1"/>
    <col min="21" max="21" width="13.109375" customWidth="1"/>
    <col min="22" max="23" width="13.109375" hidden="1" customWidth="1"/>
    <col min="24" max="24" width="13.109375" customWidth="1"/>
    <col min="25" max="25" width="13.109375" hidden="1" customWidth="1"/>
    <col min="26" max="26" width="13.109375" customWidth="1"/>
    <col min="27" max="28" width="13.109375" hidden="1" customWidth="1"/>
    <col min="29" max="29" width="13.109375" customWidth="1"/>
    <col min="30" max="32" width="13.109375" hidden="1" customWidth="1"/>
    <col min="33" max="34" width="13.109375" customWidth="1"/>
  </cols>
  <sheetData>
    <row r="1" spans="1:35" ht="18.600000000000001" thickBot="1" x14ac:dyDescent="0.4">
      <c r="A1" s="394" t="s">
        <v>107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  <c r="AH1" s="356"/>
    </row>
    <row r="2" spans="1:35" ht="15" thickBot="1" x14ac:dyDescent="0.35">
      <c r="A2" s="235" t="s">
        <v>282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</row>
    <row r="3" spans="1:35" x14ac:dyDescent="0.3">
      <c r="A3" s="254" t="s">
        <v>228</v>
      </c>
      <c r="B3" s="395" t="s">
        <v>208</v>
      </c>
      <c r="C3" s="237">
        <v>0</v>
      </c>
      <c r="D3" s="238">
        <v>101</v>
      </c>
      <c r="E3" s="238">
        <v>102</v>
      </c>
      <c r="F3" s="257">
        <v>305</v>
      </c>
      <c r="G3" s="257">
        <v>306</v>
      </c>
      <c r="H3" s="257">
        <v>408</v>
      </c>
      <c r="I3" s="257">
        <v>409</v>
      </c>
      <c r="J3" s="257">
        <v>410</v>
      </c>
      <c r="K3" s="257">
        <v>415</v>
      </c>
      <c r="L3" s="257">
        <v>416</v>
      </c>
      <c r="M3" s="257">
        <v>418</v>
      </c>
      <c r="N3" s="257">
        <v>419</v>
      </c>
      <c r="O3" s="257">
        <v>420</v>
      </c>
      <c r="P3" s="257">
        <v>421</v>
      </c>
      <c r="Q3" s="257">
        <v>522</v>
      </c>
      <c r="R3" s="257">
        <v>523</v>
      </c>
      <c r="S3" s="257">
        <v>524</v>
      </c>
      <c r="T3" s="257">
        <v>525</v>
      </c>
      <c r="U3" s="257">
        <v>526</v>
      </c>
      <c r="V3" s="257">
        <v>527</v>
      </c>
      <c r="W3" s="257">
        <v>528</v>
      </c>
      <c r="X3" s="257">
        <v>629</v>
      </c>
      <c r="Y3" s="257">
        <v>630</v>
      </c>
      <c r="Z3" s="257">
        <v>636</v>
      </c>
      <c r="AA3" s="257">
        <v>637</v>
      </c>
      <c r="AB3" s="257">
        <v>640</v>
      </c>
      <c r="AC3" s="257">
        <v>642</v>
      </c>
      <c r="AD3" s="257">
        <v>743</v>
      </c>
      <c r="AE3" s="238">
        <v>745</v>
      </c>
      <c r="AF3" s="238">
        <v>746</v>
      </c>
      <c r="AG3" s="238">
        <v>930</v>
      </c>
      <c r="AH3" s="564">
        <v>940</v>
      </c>
      <c r="AI3" s="581"/>
    </row>
    <row r="4" spans="1:35" ht="36.6" outlineLevel="1" thickBot="1" x14ac:dyDescent="0.35">
      <c r="A4" s="255">
        <v>2014</v>
      </c>
      <c r="B4" s="396"/>
      <c r="C4" s="239" t="s">
        <v>209</v>
      </c>
      <c r="D4" s="240" t="s">
        <v>210</v>
      </c>
      <c r="E4" s="240" t="s">
        <v>211</v>
      </c>
      <c r="F4" s="258" t="s">
        <v>240</v>
      </c>
      <c r="G4" s="258" t="s">
        <v>241</v>
      </c>
      <c r="H4" s="258" t="s">
        <v>242</v>
      </c>
      <c r="I4" s="258" t="s">
        <v>243</v>
      </c>
      <c r="J4" s="258" t="s">
        <v>244</v>
      </c>
      <c r="K4" s="258" t="s">
        <v>245</v>
      </c>
      <c r="L4" s="258" t="s">
        <v>246</v>
      </c>
      <c r="M4" s="258" t="s">
        <v>247</v>
      </c>
      <c r="N4" s="258" t="s">
        <v>248</v>
      </c>
      <c r="O4" s="258" t="s">
        <v>249</v>
      </c>
      <c r="P4" s="258" t="s">
        <v>250</v>
      </c>
      <c r="Q4" s="258" t="s">
        <v>251</v>
      </c>
      <c r="R4" s="258" t="s">
        <v>252</v>
      </c>
      <c r="S4" s="258" t="s">
        <v>253</v>
      </c>
      <c r="T4" s="258" t="s">
        <v>254</v>
      </c>
      <c r="U4" s="258" t="s">
        <v>255</v>
      </c>
      <c r="V4" s="258" t="s">
        <v>256</v>
      </c>
      <c r="W4" s="258" t="s">
        <v>265</v>
      </c>
      <c r="X4" s="258" t="s">
        <v>257</v>
      </c>
      <c r="Y4" s="258" t="s">
        <v>266</v>
      </c>
      <c r="Z4" s="258" t="s">
        <v>258</v>
      </c>
      <c r="AA4" s="258" t="s">
        <v>259</v>
      </c>
      <c r="AB4" s="258" t="s">
        <v>260</v>
      </c>
      <c r="AC4" s="258" t="s">
        <v>261</v>
      </c>
      <c r="AD4" s="258" t="s">
        <v>262</v>
      </c>
      <c r="AE4" s="240" t="s">
        <v>263</v>
      </c>
      <c r="AF4" s="240" t="s">
        <v>264</v>
      </c>
      <c r="AG4" s="240" t="s">
        <v>230</v>
      </c>
      <c r="AH4" s="565" t="s">
        <v>212</v>
      </c>
      <c r="AI4" s="581"/>
    </row>
    <row r="5" spans="1:35" x14ac:dyDescent="0.3">
      <c r="A5" s="241" t="s">
        <v>213</v>
      </c>
      <c r="B5" s="277"/>
      <c r="C5" s="278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279"/>
      <c r="AH5" s="566"/>
      <c r="AI5" s="581"/>
    </row>
    <row r="6" spans="1:35" ht="15" collapsed="1" thickBot="1" x14ac:dyDescent="0.35">
      <c r="A6" s="242" t="s">
        <v>73</v>
      </c>
      <c r="B6" s="280">
        <f xml:space="preserve">
TRUNC(IF($A$4&lt;=12,SUMIFS('ON Data'!F:F,'ON Data'!$D:$D,$A$4,'ON Data'!$E:$E,1),SUMIFS('ON Data'!F:F,'ON Data'!$E:$E,1)/'ON Data'!$D$3),1)</f>
        <v>73.2</v>
      </c>
      <c r="C6" s="281">
        <f xml:space="preserve">
TRUNC(IF($A$4&lt;=12,SUMIFS('ON Data'!G:G,'ON Data'!$D:$D,$A$4,'ON Data'!$E:$E,1),SUMIFS('ON Data'!G:G,'ON Data'!$E:$E,1)/'ON Data'!$D$3),1)</f>
        <v>0</v>
      </c>
      <c r="D6" s="282">
        <f xml:space="preserve">
TRUNC(IF($A$4&lt;=12,SUMIFS('ON Data'!H:H,'ON Data'!$D:$D,$A$4,'ON Data'!$E:$E,1),SUMIFS('ON Data'!H:H,'ON Data'!$E:$E,1)/'ON Data'!$D$3),1)</f>
        <v>6.6</v>
      </c>
      <c r="E6" s="282">
        <f xml:space="preserve">
TRUNC(IF($A$4&lt;=12,SUMIFS('ON Data'!I:I,'ON Data'!$D:$D,$A$4,'ON Data'!$E:$E,1),SUMIFS('ON Data'!I:I,'ON Data'!$E:$E,1)/'ON Data'!$D$3),1)</f>
        <v>0</v>
      </c>
      <c r="F6" s="282">
        <f xml:space="preserve">
TRUNC(IF($A$4&lt;=12,SUMIFS('ON Data'!K:K,'ON Data'!$D:$D,$A$4,'ON Data'!$E:$E,1),SUMIFS('ON Data'!K:K,'ON Data'!$E:$E,1)/'ON Data'!$D$3),1)</f>
        <v>24.7</v>
      </c>
      <c r="G6" s="282">
        <f xml:space="preserve">
TRUNC(IF($A$4&lt;=12,SUMIFS('ON Data'!L:L,'ON Data'!$D:$D,$A$4,'ON Data'!$E:$E,1),SUMIFS('ON Data'!L:L,'ON Data'!$E:$E,1)/'ON Data'!$D$3),1)</f>
        <v>0</v>
      </c>
      <c r="H6" s="282">
        <f xml:space="preserve">
TRUNC(IF($A$4&lt;=12,SUMIFS('ON Data'!M:M,'ON Data'!$D:$D,$A$4,'ON Data'!$E:$E,1),SUMIFS('ON Data'!M:M,'ON Data'!$E:$E,1)/'ON Data'!$D$3),1)</f>
        <v>0</v>
      </c>
      <c r="I6" s="282">
        <f xml:space="preserve">
TRUNC(IF($A$4&lt;=12,SUMIFS('ON Data'!N:N,'ON Data'!$D:$D,$A$4,'ON Data'!$E:$E,1),SUMIFS('ON Data'!N:N,'ON Data'!$E:$E,1)/'ON Data'!$D$3),1)</f>
        <v>21.7</v>
      </c>
      <c r="J6" s="282">
        <f xml:space="preserve">
TRUNC(IF($A$4&lt;=12,SUMIFS('ON Data'!O:O,'ON Data'!$D:$D,$A$4,'ON Data'!$E:$E,1),SUMIFS('ON Data'!O:O,'ON Data'!$E:$E,1)/'ON Data'!$D$3),1)</f>
        <v>0</v>
      </c>
      <c r="K6" s="282">
        <f xml:space="preserve">
TRUNC(IF($A$4&lt;=12,SUMIFS('ON Data'!P:P,'ON Data'!$D:$D,$A$4,'ON Data'!$E:$E,1),SUMIFS('ON Data'!P:P,'ON Data'!$E:$E,1)/'ON Data'!$D$3),1)</f>
        <v>0</v>
      </c>
      <c r="L6" s="282">
        <f xml:space="preserve">
TRUNC(IF($A$4&lt;=12,SUMIFS('ON Data'!Q:Q,'ON Data'!$D:$D,$A$4,'ON Data'!$E:$E,1),SUMIFS('ON Data'!Q:Q,'ON Data'!$E:$E,1)/'ON Data'!$D$3),1)</f>
        <v>0</v>
      </c>
      <c r="M6" s="282">
        <f xml:space="preserve">
TRUNC(IF($A$4&lt;=12,SUMIFS('ON Data'!R:R,'ON Data'!$D:$D,$A$4,'ON Data'!$E:$E,1),SUMIFS('ON Data'!R:R,'ON Data'!$E:$E,1)/'ON Data'!$D$3),1)</f>
        <v>0</v>
      </c>
      <c r="N6" s="282">
        <f xml:space="preserve">
TRUNC(IF($A$4&lt;=12,SUMIFS('ON Data'!S:S,'ON Data'!$D:$D,$A$4,'ON Data'!$E:$E,1),SUMIFS('ON Data'!S:S,'ON Data'!$E:$E,1)/'ON Data'!$D$3),1)</f>
        <v>0</v>
      </c>
      <c r="O6" s="282">
        <f xml:space="preserve">
TRUNC(IF($A$4&lt;=12,SUMIFS('ON Data'!T:T,'ON Data'!$D:$D,$A$4,'ON Data'!$E:$E,1),SUMIFS('ON Data'!T:T,'ON Data'!$E:$E,1)/'ON Data'!$D$3),1)</f>
        <v>0</v>
      </c>
      <c r="P6" s="282">
        <f xml:space="preserve">
TRUNC(IF($A$4&lt;=12,SUMIFS('ON Data'!U:U,'ON Data'!$D:$D,$A$4,'ON Data'!$E:$E,1),SUMIFS('ON Data'!U:U,'ON Data'!$E:$E,1)/'ON Data'!$D$3),1)</f>
        <v>0</v>
      </c>
      <c r="Q6" s="282">
        <f xml:space="preserve">
TRUNC(IF($A$4&lt;=12,SUMIFS('ON Data'!V:V,'ON Data'!$D:$D,$A$4,'ON Data'!$E:$E,1),SUMIFS('ON Data'!V:V,'ON Data'!$E:$E,1)/'ON Data'!$D$3),1)</f>
        <v>0</v>
      </c>
      <c r="R6" s="282">
        <f xml:space="preserve">
TRUNC(IF($A$4&lt;=12,SUMIFS('ON Data'!W:W,'ON Data'!$D:$D,$A$4,'ON Data'!$E:$E,1),SUMIFS('ON Data'!W:W,'ON Data'!$E:$E,1)/'ON Data'!$D$3),1)</f>
        <v>0</v>
      </c>
      <c r="S6" s="282">
        <f xml:space="preserve">
TRUNC(IF($A$4&lt;=12,SUMIFS('ON Data'!X:X,'ON Data'!$D:$D,$A$4,'ON Data'!$E:$E,1),SUMIFS('ON Data'!X:X,'ON Data'!$E:$E,1)/'ON Data'!$D$3),1)</f>
        <v>0</v>
      </c>
      <c r="T6" s="282">
        <f xml:space="preserve">
TRUNC(IF($A$4&lt;=12,SUMIFS('ON Data'!Y:Y,'ON Data'!$D:$D,$A$4,'ON Data'!$E:$E,1),SUMIFS('ON Data'!Y:Y,'ON Data'!$E:$E,1)/'ON Data'!$D$3),1)</f>
        <v>0</v>
      </c>
      <c r="U6" s="282">
        <f xml:space="preserve">
TRUNC(IF($A$4&lt;=12,SUMIFS('ON Data'!Z:Z,'ON Data'!$D:$D,$A$4,'ON Data'!$E:$E,1),SUMIFS('ON Data'!Z:Z,'ON Data'!$E:$E,1)/'ON Data'!$D$3),1)</f>
        <v>3.8</v>
      </c>
      <c r="V6" s="282">
        <f xml:space="preserve">
TRUNC(IF($A$4&lt;=12,SUMIFS('ON Data'!AA:AA,'ON Data'!$D:$D,$A$4,'ON Data'!$E:$E,1),SUMIFS('ON Data'!AA:AA,'ON Data'!$E:$E,1)/'ON Data'!$D$3),1)</f>
        <v>0</v>
      </c>
      <c r="W6" s="282">
        <f xml:space="preserve">
TRUNC(IF($A$4&lt;=12,SUMIFS('ON Data'!AB:AB,'ON Data'!$D:$D,$A$4,'ON Data'!$E:$E,1),SUMIFS('ON Data'!AB:AB,'ON Data'!$E:$E,1)/'ON Data'!$D$3),1)</f>
        <v>0</v>
      </c>
      <c r="X6" s="282">
        <f xml:space="preserve">
TRUNC(IF($A$4&lt;=12,SUMIFS('ON Data'!AC:AC,'ON Data'!$D:$D,$A$4,'ON Data'!$E:$E,1),SUMIFS('ON Data'!AC:AC,'ON Data'!$E:$E,1)/'ON Data'!$D$3),1)</f>
        <v>0.3</v>
      </c>
      <c r="Y6" s="282">
        <f xml:space="preserve">
TRUNC(IF($A$4&lt;=12,SUMIFS('ON Data'!AD:AD,'ON Data'!$D:$D,$A$4,'ON Data'!$E:$E,1),SUMIFS('ON Data'!AD:AD,'ON Data'!$E:$E,1)/'ON Data'!$D$3),1)</f>
        <v>0</v>
      </c>
      <c r="Z6" s="282">
        <f xml:space="preserve">
TRUNC(IF($A$4&lt;=12,SUMIFS('ON Data'!AE:AE,'ON Data'!$D:$D,$A$4,'ON Data'!$E:$E,1),SUMIFS('ON Data'!AE:AE,'ON Data'!$E:$E,1)/'ON Data'!$D$3),1)</f>
        <v>1</v>
      </c>
      <c r="AA6" s="282">
        <f xml:space="preserve">
TRUNC(IF($A$4&lt;=12,SUMIFS('ON Data'!AF:AF,'ON Data'!$D:$D,$A$4,'ON Data'!$E:$E,1),SUMIFS('ON Data'!AF:AF,'ON Data'!$E:$E,1)/'ON Data'!$D$3),1)</f>
        <v>0</v>
      </c>
      <c r="AB6" s="282">
        <f xml:space="preserve">
TRUNC(IF($A$4&lt;=12,SUMIFS('ON Data'!AG:AG,'ON Data'!$D:$D,$A$4,'ON Data'!$E:$E,1),SUMIFS('ON Data'!AG:AG,'ON Data'!$E:$E,1)/'ON Data'!$D$3),1)</f>
        <v>0</v>
      </c>
      <c r="AC6" s="282">
        <f xml:space="preserve">
TRUNC(IF($A$4&lt;=12,SUMIFS('ON Data'!AH:AH,'ON Data'!$D:$D,$A$4,'ON Data'!$E:$E,1),SUMIFS('ON Data'!AH:AH,'ON Data'!$E:$E,1)/'ON Data'!$D$3),1)</f>
        <v>6.8</v>
      </c>
      <c r="AD6" s="282">
        <f xml:space="preserve">
TRUNC(IF($A$4&lt;=12,SUMIFS('ON Data'!AI:AI,'ON Data'!$D:$D,$A$4,'ON Data'!$E:$E,1),SUMIFS('ON Data'!AI:AI,'ON Data'!$E:$E,1)/'ON Data'!$D$3),1)</f>
        <v>0</v>
      </c>
      <c r="AE6" s="282">
        <f xml:space="preserve">
TRUNC(IF($A$4&lt;=12,SUMIFS('ON Data'!AJ:AJ,'ON Data'!$D:$D,$A$4,'ON Data'!$E:$E,1),SUMIFS('ON Data'!AJ:AJ,'ON Data'!$E:$E,1)/'ON Data'!$D$3),1)</f>
        <v>0</v>
      </c>
      <c r="AF6" s="282">
        <f xml:space="preserve">
TRUNC(IF($A$4&lt;=12,SUMIFS('ON Data'!AK:AK,'ON Data'!$D:$D,$A$4,'ON Data'!$E:$E,1),SUMIFS('ON Data'!AK:AK,'ON Data'!$E:$E,1)/'ON Data'!$D$3),1)</f>
        <v>0</v>
      </c>
      <c r="AG6" s="282">
        <f xml:space="preserve">
TRUNC(IF($A$4&lt;=12,SUMIFS('ON Data'!AM:AM,'ON Data'!$D:$D,$A$4,'ON Data'!$E:$E,1),SUMIFS('ON Data'!AM:AM,'ON Data'!$E:$E,1)/'ON Data'!$D$3),1)</f>
        <v>5</v>
      </c>
      <c r="AH6" s="567">
        <f xml:space="preserve">
TRUNC(IF($A$4&lt;=12,SUMIFS('ON Data'!AN:AN,'ON Data'!$D:$D,$A$4,'ON Data'!$E:$E,1),SUMIFS('ON Data'!AN:AN,'ON Data'!$E:$E,1)/'ON Data'!$D$3),1)</f>
        <v>3</v>
      </c>
      <c r="AI6" s="581"/>
    </row>
    <row r="7" spans="1:35" ht="15" hidden="1" outlineLevel="1" thickBot="1" x14ac:dyDescent="0.35">
      <c r="A7" s="242" t="s">
        <v>108</v>
      </c>
      <c r="B7" s="280"/>
      <c r="C7" s="283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2"/>
      <c r="AF7" s="282"/>
      <c r="AG7" s="282"/>
      <c r="AH7" s="567"/>
      <c r="AI7" s="581"/>
    </row>
    <row r="8" spans="1:35" ht="15" hidden="1" outlineLevel="1" thickBot="1" x14ac:dyDescent="0.35">
      <c r="A8" s="242" t="s">
        <v>75</v>
      </c>
      <c r="B8" s="280"/>
      <c r="C8" s="283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2"/>
      <c r="AD8" s="282"/>
      <c r="AE8" s="282"/>
      <c r="AF8" s="282"/>
      <c r="AG8" s="282"/>
      <c r="AH8" s="567"/>
      <c r="AI8" s="581"/>
    </row>
    <row r="9" spans="1:35" ht="15" hidden="1" outlineLevel="1" thickBot="1" x14ac:dyDescent="0.35">
      <c r="A9" s="243" t="s">
        <v>68</v>
      </c>
      <c r="B9" s="284"/>
      <c r="C9" s="285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286"/>
      <c r="AD9" s="286"/>
      <c r="AE9" s="286"/>
      <c r="AF9" s="286"/>
      <c r="AG9" s="286"/>
      <c r="AH9" s="568"/>
      <c r="AI9" s="581"/>
    </row>
    <row r="10" spans="1:35" x14ac:dyDescent="0.3">
      <c r="A10" s="244" t="s">
        <v>214</v>
      </c>
      <c r="B10" s="259"/>
      <c r="C10" s="260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61"/>
      <c r="AC10" s="261"/>
      <c r="AD10" s="261"/>
      <c r="AE10" s="261"/>
      <c r="AF10" s="261"/>
      <c r="AG10" s="261"/>
      <c r="AH10" s="569"/>
      <c r="AI10" s="581"/>
    </row>
    <row r="11" spans="1:35" x14ac:dyDescent="0.3">
      <c r="A11" s="245" t="s">
        <v>215</v>
      </c>
      <c r="B11" s="262">
        <f xml:space="preserve">
IF($A$4&lt;=12,SUMIFS('ON Data'!F:F,'ON Data'!$D:$D,$A$4,'ON Data'!$E:$E,2),SUMIFS('ON Data'!F:F,'ON Data'!$E:$E,2))</f>
        <v>128925.07</v>
      </c>
      <c r="C11" s="263">
        <f xml:space="preserve">
IF($A$4&lt;=12,SUMIFS('ON Data'!G:G,'ON Data'!$D:$D,$A$4,'ON Data'!$E:$E,2),SUMIFS('ON Data'!G:G,'ON Data'!$E:$E,2))</f>
        <v>0</v>
      </c>
      <c r="D11" s="264">
        <f xml:space="preserve">
IF($A$4&lt;=12,SUMIFS('ON Data'!H:H,'ON Data'!$D:$D,$A$4,'ON Data'!$E:$E,2),SUMIFS('ON Data'!H:H,'ON Data'!$E:$E,2))</f>
        <v>12221.07</v>
      </c>
      <c r="E11" s="264">
        <f xml:space="preserve">
IF($A$4&lt;=12,SUMIFS('ON Data'!I:I,'ON Data'!$D:$D,$A$4,'ON Data'!$E:$E,2),SUMIFS('ON Data'!I:I,'ON Data'!$E:$E,2))</f>
        <v>0</v>
      </c>
      <c r="F11" s="264">
        <f xml:space="preserve">
IF($A$4&lt;=12,SUMIFS('ON Data'!K:K,'ON Data'!$D:$D,$A$4,'ON Data'!$E:$E,2),SUMIFS('ON Data'!K:K,'ON Data'!$E:$E,2))</f>
        <v>42723.600000000006</v>
      </c>
      <c r="G11" s="264">
        <f xml:space="preserve">
IF($A$4&lt;=12,SUMIFS('ON Data'!L:L,'ON Data'!$D:$D,$A$4,'ON Data'!$E:$E,2),SUMIFS('ON Data'!L:L,'ON Data'!$E:$E,2))</f>
        <v>0</v>
      </c>
      <c r="H11" s="264">
        <f xml:space="preserve">
IF($A$4&lt;=12,SUMIFS('ON Data'!M:M,'ON Data'!$D:$D,$A$4,'ON Data'!$E:$E,2),SUMIFS('ON Data'!M:M,'ON Data'!$E:$E,2))</f>
        <v>0</v>
      </c>
      <c r="I11" s="264">
        <f xml:space="preserve">
IF($A$4&lt;=12,SUMIFS('ON Data'!N:N,'ON Data'!$D:$D,$A$4,'ON Data'!$E:$E,2),SUMIFS('ON Data'!N:N,'ON Data'!$E:$E,2))</f>
        <v>37180</v>
      </c>
      <c r="J11" s="264">
        <f xml:space="preserve">
IF($A$4&lt;=12,SUMIFS('ON Data'!O:O,'ON Data'!$D:$D,$A$4,'ON Data'!$E:$E,2),SUMIFS('ON Data'!O:O,'ON Data'!$E:$E,2))</f>
        <v>0</v>
      </c>
      <c r="K11" s="264">
        <f xml:space="preserve">
IF($A$4&lt;=12,SUMIFS('ON Data'!P:P,'ON Data'!$D:$D,$A$4,'ON Data'!$E:$E,2),SUMIFS('ON Data'!P:P,'ON Data'!$E:$E,2))</f>
        <v>0</v>
      </c>
      <c r="L11" s="264">
        <f xml:space="preserve">
IF($A$4&lt;=12,SUMIFS('ON Data'!Q:Q,'ON Data'!$D:$D,$A$4,'ON Data'!$E:$E,2),SUMIFS('ON Data'!Q:Q,'ON Data'!$E:$E,2))</f>
        <v>0</v>
      </c>
      <c r="M11" s="264">
        <f xml:space="preserve">
IF($A$4&lt;=12,SUMIFS('ON Data'!R:R,'ON Data'!$D:$D,$A$4,'ON Data'!$E:$E,2),SUMIFS('ON Data'!R:R,'ON Data'!$E:$E,2))</f>
        <v>0</v>
      </c>
      <c r="N11" s="264">
        <f xml:space="preserve">
IF($A$4&lt;=12,SUMIFS('ON Data'!S:S,'ON Data'!$D:$D,$A$4,'ON Data'!$E:$E,2),SUMIFS('ON Data'!S:S,'ON Data'!$E:$E,2))</f>
        <v>0</v>
      </c>
      <c r="O11" s="264">
        <f xml:space="preserve">
IF($A$4&lt;=12,SUMIFS('ON Data'!T:T,'ON Data'!$D:$D,$A$4,'ON Data'!$E:$E,2),SUMIFS('ON Data'!T:T,'ON Data'!$E:$E,2))</f>
        <v>0</v>
      </c>
      <c r="P11" s="264">
        <f xml:space="preserve">
IF($A$4&lt;=12,SUMIFS('ON Data'!U:U,'ON Data'!$D:$D,$A$4,'ON Data'!$E:$E,2),SUMIFS('ON Data'!U:U,'ON Data'!$E:$E,2))</f>
        <v>0</v>
      </c>
      <c r="Q11" s="264">
        <f xml:space="preserve">
IF($A$4&lt;=12,SUMIFS('ON Data'!V:V,'ON Data'!$D:$D,$A$4,'ON Data'!$E:$E,2),SUMIFS('ON Data'!V:V,'ON Data'!$E:$E,2))</f>
        <v>0</v>
      </c>
      <c r="R11" s="264">
        <f xml:space="preserve">
IF($A$4&lt;=12,SUMIFS('ON Data'!W:W,'ON Data'!$D:$D,$A$4,'ON Data'!$E:$E,2),SUMIFS('ON Data'!W:W,'ON Data'!$E:$E,2))</f>
        <v>0</v>
      </c>
      <c r="S11" s="264">
        <f xml:space="preserve">
IF($A$4&lt;=12,SUMIFS('ON Data'!X:X,'ON Data'!$D:$D,$A$4,'ON Data'!$E:$E,2),SUMIFS('ON Data'!X:X,'ON Data'!$E:$E,2))</f>
        <v>0</v>
      </c>
      <c r="T11" s="264">
        <f xml:space="preserve">
IF($A$4&lt;=12,SUMIFS('ON Data'!Y:Y,'ON Data'!$D:$D,$A$4,'ON Data'!$E:$E,2),SUMIFS('ON Data'!Y:Y,'ON Data'!$E:$E,2))</f>
        <v>0</v>
      </c>
      <c r="U11" s="264">
        <f xml:space="preserve">
IF($A$4&lt;=12,SUMIFS('ON Data'!Z:Z,'ON Data'!$D:$D,$A$4,'ON Data'!$E:$E,2),SUMIFS('ON Data'!Z:Z,'ON Data'!$E:$E,2))</f>
        <v>7158.4000000000005</v>
      </c>
      <c r="V11" s="264">
        <f xml:space="preserve">
IF($A$4&lt;=12,SUMIFS('ON Data'!AA:AA,'ON Data'!$D:$D,$A$4,'ON Data'!$E:$E,2),SUMIFS('ON Data'!AA:AA,'ON Data'!$E:$E,2))</f>
        <v>0</v>
      </c>
      <c r="W11" s="264">
        <f xml:space="preserve">
IF($A$4&lt;=12,SUMIFS('ON Data'!AB:AB,'ON Data'!$D:$D,$A$4,'ON Data'!$E:$E,2),SUMIFS('ON Data'!AB:AB,'ON Data'!$E:$E,2))</f>
        <v>0</v>
      </c>
      <c r="X11" s="264">
        <f xml:space="preserve">
IF($A$4&lt;=12,SUMIFS('ON Data'!AC:AC,'ON Data'!$D:$D,$A$4,'ON Data'!$E:$E,2),SUMIFS('ON Data'!AC:AC,'ON Data'!$E:$E,2))</f>
        <v>706</v>
      </c>
      <c r="Y11" s="264">
        <f xml:space="preserve">
IF($A$4&lt;=12,SUMIFS('ON Data'!AD:AD,'ON Data'!$D:$D,$A$4,'ON Data'!$E:$E,2),SUMIFS('ON Data'!AD:AD,'ON Data'!$E:$E,2))</f>
        <v>0</v>
      </c>
      <c r="Z11" s="264">
        <f xml:space="preserve">
IF($A$4&lt;=12,SUMIFS('ON Data'!AE:AE,'ON Data'!$D:$D,$A$4,'ON Data'!$E:$E,2),SUMIFS('ON Data'!AE:AE,'ON Data'!$E:$E,2))</f>
        <v>1844</v>
      </c>
      <c r="AA11" s="264">
        <f xml:space="preserve">
IF($A$4&lt;=12,SUMIFS('ON Data'!AF:AF,'ON Data'!$D:$D,$A$4,'ON Data'!$E:$E,2),SUMIFS('ON Data'!AF:AF,'ON Data'!$E:$E,2))</f>
        <v>0</v>
      </c>
      <c r="AB11" s="264">
        <f xml:space="preserve">
IF($A$4&lt;=12,SUMIFS('ON Data'!AG:AG,'ON Data'!$D:$D,$A$4,'ON Data'!$E:$E,2),SUMIFS('ON Data'!AG:AG,'ON Data'!$E:$E,2))</f>
        <v>0</v>
      </c>
      <c r="AC11" s="264">
        <f xml:space="preserve">
IF($A$4&lt;=12,SUMIFS('ON Data'!AH:AH,'ON Data'!$D:$D,$A$4,'ON Data'!$E:$E,2),SUMIFS('ON Data'!AH:AH,'ON Data'!$E:$E,2))</f>
        <v>12556</v>
      </c>
      <c r="AD11" s="264">
        <f xml:space="preserve">
IF($A$4&lt;=12,SUMIFS('ON Data'!AI:AI,'ON Data'!$D:$D,$A$4,'ON Data'!$E:$E,2),SUMIFS('ON Data'!AI:AI,'ON Data'!$E:$E,2))</f>
        <v>0</v>
      </c>
      <c r="AE11" s="264">
        <f xml:space="preserve">
IF($A$4&lt;=12,SUMIFS('ON Data'!AJ:AJ,'ON Data'!$D:$D,$A$4,'ON Data'!$E:$E,2),SUMIFS('ON Data'!AJ:AJ,'ON Data'!$E:$E,2))</f>
        <v>0</v>
      </c>
      <c r="AF11" s="264">
        <f xml:space="preserve">
IF($A$4&lt;=12,SUMIFS('ON Data'!AK:AK,'ON Data'!$D:$D,$A$4,'ON Data'!$E:$E,2),SUMIFS('ON Data'!AK:AK,'ON Data'!$E:$E,2))</f>
        <v>0</v>
      </c>
      <c r="AG11" s="264">
        <f xml:space="preserve">
IF($A$4&lt;=12,SUMIFS('ON Data'!AM:AM,'ON Data'!$D:$D,$A$4,'ON Data'!$E:$E,2),SUMIFS('ON Data'!AM:AM,'ON Data'!$E:$E,2))</f>
        <v>8992</v>
      </c>
      <c r="AH11" s="570">
        <f xml:space="preserve">
IF($A$4&lt;=12,SUMIFS('ON Data'!AN:AN,'ON Data'!$D:$D,$A$4,'ON Data'!$E:$E,2),SUMIFS('ON Data'!AN:AN,'ON Data'!$E:$E,2))</f>
        <v>5544</v>
      </c>
      <c r="AI11" s="581"/>
    </row>
    <row r="12" spans="1:35" x14ac:dyDescent="0.3">
      <c r="A12" s="245" t="s">
        <v>216</v>
      </c>
      <c r="B12" s="262">
        <f xml:space="preserve">
IF($A$4&lt;=12,SUMIFS('ON Data'!F:F,'ON Data'!$D:$D,$A$4,'ON Data'!$E:$E,3),SUMIFS('ON Data'!F:F,'ON Data'!$E:$E,3))</f>
        <v>0</v>
      </c>
      <c r="C12" s="263">
        <f xml:space="preserve">
IF($A$4&lt;=12,SUMIFS('ON Data'!G:G,'ON Data'!$D:$D,$A$4,'ON Data'!$E:$E,3),SUMIFS('ON Data'!G:G,'ON Data'!$E:$E,3))</f>
        <v>0</v>
      </c>
      <c r="D12" s="264">
        <f xml:space="preserve">
IF($A$4&lt;=12,SUMIFS('ON Data'!H:H,'ON Data'!$D:$D,$A$4,'ON Data'!$E:$E,3),SUMIFS('ON Data'!H:H,'ON Data'!$E:$E,3))</f>
        <v>0</v>
      </c>
      <c r="E12" s="264">
        <f xml:space="preserve">
IF($A$4&lt;=12,SUMIFS('ON Data'!I:I,'ON Data'!$D:$D,$A$4,'ON Data'!$E:$E,3),SUMIFS('ON Data'!I:I,'ON Data'!$E:$E,3))</f>
        <v>0</v>
      </c>
      <c r="F12" s="264">
        <f xml:space="preserve">
IF($A$4&lt;=12,SUMIFS('ON Data'!K:K,'ON Data'!$D:$D,$A$4,'ON Data'!$E:$E,3),SUMIFS('ON Data'!K:K,'ON Data'!$E:$E,3))</f>
        <v>0</v>
      </c>
      <c r="G12" s="264">
        <f xml:space="preserve">
IF($A$4&lt;=12,SUMIFS('ON Data'!L:L,'ON Data'!$D:$D,$A$4,'ON Data'!$E:$E,3),SUMIFS('ON Data'!L:L,'ON Data'!$E:$E,3))</f>
        <v>0</v>
      </c>
      <c r="H12" s="264">
        <f xml:space="preserve">
IF($A$4&lt;=12,SUMIFS('ON Data'!M:M,'ON Data'!$D:$D,$A$4,'ON Data'!$E:$E,3),SUMIFS('ON Data'!M:M,'ON Data'!$E:$E,3))</f>
        <v>0</v>
      </c>
      <c r="I12" s="264">
        <f xml:space="preserve">
IF($A$4&lt;=12,SUMIFS('ON Data'!N:N,'ON Data'!$D:$D,$A$4,'ON Data'!$E:$E,3),SUMIFS('ON Data'!N:N,'ON Data'!$E:$E,3))</f>
        <v>0</v>
      </c>
      <c r="J12" s="264">
        <f xml:space="preserve">
IF($A$4&lt;=12,SUMIFS('ON Data'!O:O,'ON Data'!$D:$D,$A$4,'ON Data'!$E:$E,3),SUMIFS('ON Data'!O:O,'ON Data'!$E:$E,3))</f>
        <v>0</v>
      </c>
      <c r="K12" s="264">
        <f xml:space="preserve">
IF($A$4&lt;=12,SUMIFS('ON Data'!P:P,'ON Data'!$D:$D,$A$4,'ON Data'!$E:$E,3),SUMIFS('ON Data'!P:P,'ON Data'!$E:$E,3))</f>
        <v>0</v>
      </c>
      <c r="L12" s="264">
        <f xml:space="preserve">
IF($A$4&lt;=12,SUMIFS('ON Data'!Q:Q,'ON Data'!$D:$D,$A$4,'ON Data'!$E:$E,3),SUMIFS('ON Data'!Q:Q,'ON Data'!$E:$E,3))</f>
        <v>0</v>
      </c>
      <c r="M12" s="264">
        <f xml:space="preserve">
IF($A$4&lt;=12,SUMIFS('ON Data'!R:R,'ON Data'!$D:$D,$A$4,'ON Data'!$E:$E,3),SUMIFS('ON Data'!R:R,'ON Data'!$E:$E,3))</f>
        <v>0</v>
      </c>
      <c r="N12" s="264">
        <f xml:space="preserve">
IF($A$4&lt;=12,SUMIFS('ON Data'!S:S,'ON Data'!$D:$D,$A$4,'ON Data'!$E:$E,3),SUMIFS('ON Data'!S:S,'ON Data'!$E:$E,3))</f>
        <v>0</v>
      </c>
      <c r="O12" s="264">
        <f xml:space="preserve">
IF($A$4&lt;=12,SUMIFS('ON Data'!T:T,'ON Data'!$D:$D,$A$4,'ON Data'!$E:$E,3),SUMIFS('ON Data'!T:T,'ON Data'!$E:$E,3))</f>
        <v>0</v>
      </c>
      <c r="P12" s="264">
        <f xml:space="preserve">
IF($A$4&lt;=12,SUMIFS('ON Data'!U:U,'ON Data'!$D:$D,$A$4,'ON Data'!$E:$E,3),SUMIFS('ON Data'!U:U,'ON Data'!$E:$E,3))</f>
        <v>0</v>
      </c>
      <c r="Q12" s="264">
        <f xml:space="preserve">
IF($A$4&lt;=12,SUMIFS('ON Data'!V:V,'ON Data'!$D:$D,$A$4,'ON Data'!$E:$E,3),SUMIFS('ON Data'!V:V,'ON Data'!$E:$E,3))</f>
        <v>0</v>
      </c>
      <c r="R12" s="264">
        <f xml:space="preserve">
IF($A$4&lt;=12,SUMIFS('ON Data'!W:W,'ON Data'!$D:$D,$A$4,'ON Data'!$E:$E,3),SUMIFS('ON Data'!W:W,'ON Data'!$E:$E,3))</f>
        <v>0</v>
      </c>
      <c r="S12" s="264">
        <f xml:space="preserve">
IF($A$4&lt;=12,SUMIFS('ON Data'!X:X,'ON Data'!$D:$D,$A$4,'ON Data'!$E:$E,3),SUMIFS('ON Data'!X:X,'ON Data'!$E:$E,3))</f>
        <v>0</v>
      </c>
      <c r="T12" s="264">
        <f xml:space="preserve">
IF($A$4&lt;=12,SUMIFS('ON Data'!Y:Y,'ON Data'!$D:$D,$A$4,'ON Data'!$E:$E,3),SUMIFS('ON Data'!Y:Y,'ON Data'!$E:$E,3))</f>
        <v>0</v>
      </c>
      <c r="U12" s="264">
        <f xml:space="preserve">
IF($A$4&lt;=12,SUMIFS('ON Data'!Z:Z,'ON Data'!$D:$D,$A$4,'ON Data'!$E:$E,3),SUMIFS('ON Data'!Z:Z,'ON Data'!$E:$E,3))</f>
        <v>0</v>
      </c>
      <c r="V12" s="264">
        <f xml:space="preserve">
IF($A$4&lt;=12,SUMIFS('ON Data'!AA:AA,'ON Data'!$D:$D,$A$4,'ON Data'!$E:$E,3),SUMIFS('ON Data'!AA:AA,'ON Data'!$E:$E,3))</f>
        <v>0</v>
      </c>
      <c r="W12" s="264">
        <f xml:space="preserve">
IF($A$4&lt;=12,SUMIFS('ON Data'!AB:AB,'ON Data'!$D:$D,$A$4,'ON Data'!$E:$E,3),SUMIFS('ON Data'!AB:AB,'ON Data'!$E:$E,3))</f>
        <v>0</v>
      </c>
      <c r="X12" s="264">
        <f xml:space="preserve">
IF($A$4&lt;=12,SUMIFS('ON Data'!AC:AC,'ON Data'!$D:$D,$A$4,'ON Data'!$E:$E,3),SUMIFS('ON Data'!AC:AC,'ON Data'!$E:$E,3))</f>
        <v>0</v>
      </c>
      <c r="Y12" s="264">
        <f xml:space="preserve">
IF($A$4&lt;=12,SUMIFS('ON Data'!AD:AD,'ON Data'!$D:$D,$A$4,'ON Data'!$E:$E,3),SUMIFS('ON Data'!AD:AD,'ON Data'!$E:$E,3))</f>
        <v>0</v>
      </c>
      <c r="Z12" s="264">
        <f xml:space="preserve">
IF($A$4&lt;=12,SUMIFS('ON Data'!AE:AE,'ON Data'!$D:$D,$A$4,'ON Data'!$E:$E,3),SUMIFS('ON Data'!AE:AE,'ON Data'!$E:$E,3))</f>
        <v>0</v>
      </c>
      <c r="AA12" s="264">
        <f xml:space="preserve">
IF($A$4&lt;=12,SUMIFS('ON Data'!AF:AF,'ON Data'!$D:$D,$A$4,'ON Data'!$E:$E,3),SUMIFS('ON Data'!AF:AF,'ON Data'!$E:$E,3))</f>
        <v>0</v>
      </c>
      <c r="AB12" s="264">
        <f xml:space="preserve">
IF($A$4&lt;=12,SUMIFS('ON Data'!AG:AG,'ON Data'!$D:$D,$A$4,'ON Data'!$E:$E,3),SUMIFS('ON Data'!AG:AG,'ON Data'!$E:$E,3))</f>
        <v>0</v>
      </c>
      <c r="AC12" s="264">
        <f xml:space="preserve">
IF($A$4&lt;=12,SUMIFS('ON Data'!AH:AH,'ON Data'!$D:$D,$A$4,'ON Data'!$E:$E,3),SUMIFS('ON Data'!AH:AH,'ON Data'!$E:$E,3))</f>
        <v>0</v>
      </c>
      <c r="AD12" s="264">
        <f xml:space="preserve">
IF($A$4&lt;=12,SUMIFS('ON Data'!AI:AI,'ON Data'!$D:$D,$A$4,'ON Data'!$E:$E,3),SUMIFS('ON Data'!AI:AI,'ON Data'!$E:$E,3))</f>
        <v>0</v>
      </c>
      <c r="AE12" s="264">
        <f xml:space="preserve">
IF($A$4&lt;=12,SUMIFS('ON Data'!AJ:AJ,'ON Data'!$D:$D,$A$4,'ON Data'!$E:$E,3),SUMIFS('ON Data'!AJ:AJ,'ON Data'!$E:$E,3))</f>
        <v>0</v>
      </c>
      <c r="AF12" s="264">
        <f xml:space="preserve">
IF($A$4&lt;=12,SUMIFS('ON Data'!AK:AK,'ON Data'!$D:$D,$A$4,'ON Data'!$E:$E,3),SUMIFS('ON Data'!AK:AK,'ON Data'!$E:$E,3))</f>
        <v>0</v>
      </c>
      <c r="AG12" s="264">
        <f xml:space="preserve">
IF($A$4&lt;=12,SUMIFS('ON Data'!AM:AM,'ON Data'!$D:$D,$A$4,'ON Data'!$E:$E,3),SUMIFS('ON Data'!AM:AM,'ON Data'!$E:$E,3))</f>
        <v>0</v>
      </c>
      <c r="AH12" s="570">
        <f xml:space="preserve">
IF($A$4&lt;=12,SUMIFS('ON Data'!AN:AN,'ON Data'!$D:$D,$A$4,'ON Data'!$E:$E,3),SUMIFS('ON Data'!AN:AN,'ON Data'!$E:$E,3))</f>
        <v>0</v>
      </c>
      <c r="AI12" s="581"/>
    </row>
    <row r="13" spans="1:35" x14ac:dyDescent="0.3">
      <c r="A13" s="245" t="s">
        <v>223</v>
      </c>
      <c r="B13" s="262">
        <f xml:space="preserve">
IF($A$4&lt;=12,SUMIFS('ON Data'!F:F,'ON Data'!$D:$D,$A$4,'ON Data'!$E:$E,4),SUMIFS('ON Data'!F:F,'ON Data'!$E:$E,4))</f>
        <v>4895</v>
      </c>
      <c r="C13" s="263">
        <f xml:space="preserve">
IF($A$4&lt;=12,SUMIFS('ON Data'!G:G,'ON Data'!$D:$D,$A$4,'ON Data'!$E:$E,4),SUMIFS('ON Data'!G:G,'ON Data'!$E:$E,4))</f>
        <v>0</v>
      </c>
      <c r="D13" s="264">
        <f xml:space="preserve">
IF($A$4&lt;=12,SUMIFS('ON Data'!H:H,'ON Data'!$D:$D,$A$4,'ON Data'!$E:$E,4),SUMIFS('ON Data'!H:H,'ON Data'!$E:$E,4))</f>
        <v>526</v>
      </c>
      <c r="E13" s="264">
        <f xml:space="preserve">
IF($A$4&lt;=12,SUMIFS('ON Data'!I:I,'ON Data'!$D:$D,$A$4,'ON Data'!$E:$E,4),SUMIFS('ON Data'!I:I,'ON Data'!$E:$E,4))</f>
        <v>0</v>
      </c>
      <c r="F13" s="264">
        <f xml:space="preserve">
IF($A$4&lt;=12,SUMIFS('ON Data'!K:K,'ON Data'!$D:$D,$A$4,'ON Data'!$E:$E,4),SUMIFS('ON Data'!K:K,'ON Data'!$E:$E,4))</f>
        <v>440</v>
      </c>
      <c r="G13" s="264">
        <f xml:space="preserve">
IF($A$4&lt;=12,SUMIFS('ON Data'!L:L,'ON Data'!$D:$D,$A$4,'ON Data'!$E:$E,4),SUMIFS('ON Data'!L:L,'ON Data'!$E:$E,4))</f>
        <v>0</v>
      </c>
      <c r="H13" s="264">
        <f xml:space="preserve">
IF($A$4&lt;=12,SUMIFS('ON Data'!M:M,'ON Data'!$D:$D,$A$4,'ON Data'!$E:$E,4),SUMIFS('ON Data'!M:M,'ON Data'!$E:$E,4))</f>
        <v>0</v>
      </c>
      <c r="I13" s="264">
        <f xml:space="preserve">
IF($A$4&lt;=12,SUMIFS('ON Data'!N:N,'ON Data'!$D:$D,$A$4,'ON Data'!$E:$E,4),SUMIFS('ON Data'!N:N,'ON Data'!$E:$E,4))</f>
        <v>3929</v>
      </c>
      <c r="J13" s="264">
        <f xml:space="preserve">
IF($A$4&lt;=12,SUMIFS('ON Data'!O:O,'ON Data'!$D:$D,$A$4,'ON Data'!$E:$E,4),SUMIFS('ON Data'!O:O,'ON Data'!$E:$E,4))</f>
        <v>0</v>
      </c>
      <c r="K13" s="264">
        <f xml:space="preserve">
IF($A$4&lt;=12,SUMIFS('ON Data'!P:P,'ON Data'!$D:$D,$A$4,'ON Data'!$E:$E,4),SUMIFS('ON Data'!P:P,'ON Data'!$E:$E,4))</f>
        <v>0</v>
      </c>
      <c r="L13" s="264">
        <f xml:space="preserve">
IF($A$4&lt;=12,SUMIFS('ON Data'!Q:Q,'ON Data'!$D:$D,$A$4,'ON Data'!$E:$E,4),SUMIFS('ON Data'!Q:Q,'ON Data'!$E:$E,4))</f>
        <v>0</v>
      </c>
      <c r="M13" s="264">
        <f xml:space="preserve">
IF($A$4&lt;=12,SUMIFS('ON Data'!R:R,'ON Data'!$D:$D,$A$4,'ON Data'!$E:$E,4),SUMIFS('ON Data'!R:R,'ON Data'!$E:$E,4))</f>
        <v>0</v>
      </c>
      <c r="N13" s="264">
        <f xml:space="preserve">
IF($A$4&lt;=12,SUMIFS('ON Data'!S:S,'ON Data'!$D:$D,$A$4,'ON Data'!$E:$E,4),SUMIFS('ON Data'!S:S,'ON Data'!$E:$E,4))</f>
        <v>0</v>
      </c>
      <c r="O13" s="264">
        <f xml:space="preserve">
IF($A$4&lt;=12,SUMIFS('ON Data'!T:T,'ON Data'!$D:$D,$A$4,'ON Data'!$E:$E,4),SUMIFS('ON Data'!T:T,'ON Data'!$E:$E,4))</f>
        <v>0</v>
      </c>
      <c r="P13" s="264">
        <f xml:space="preserve">
IF($A$4&lt;=12,SUMIFS('ON Data'!U:U,'ON Data'!$D:$D,$A$4,'ON Data'!$E:$E,4),SUMIFS('ON Data'!U:U,'ON Data'!$E:$E,4))</f>
        <v>0</v>
      </c>
      <c r="Q13" s="264">
        <f xml:space="preserve">
IF($A$4&lt;=12,SUMIFS('ON Data'!V:V,'ON Data'!$D:$D,$A$4,'ON Data'!$E:$E,4),SUMIFS('ON Data'!V:V,'ON Data'!$E:$E,4))</f>
        <v>0</v>
      </c>
      <c r="R13" s="264">
        <f xml:space="preserve">
IF($A$4&lt;=12,SUMIFS('ON Data'!W:W,'ON Data'!$D:$D,$A$4,'ON Data'!$E:$E,4),SUMIFS('ON Data'!W:W,'ON Data'!$E:$E,4))</f>
        <v>0</v>
      </c>
      <c r="S13" s="264">
        <f xml:space="preserve">
IF($A$4&lt;=12,SUMIFS('ON Data'!X:X,'ON Data'!$D:$D,$A$4,'ON Data'!$E:$E,4),SUMIFS('ON Data'!X:X,'ON Data'!$E:$E,4))</f>
        <v>0</v>
      </c>
      <c r="T13" s="264">
        <f xml:space="preserve">
IF($A$4&lt;=12,SUMIFS('ON Data'!Y:Y,'ON Data'!$D:$D,$A$4,'ON Data'!$E:$E,4),SUMIFS('ON Data'!Y:Y,'ON Data'!$E:$E,4))</f>
        <v>0</v>
      </c>
      <c r="U13" s="264">
        <f xml:space="preserve">
IF($A$4&lt;=12,SUMIFS('ON Data'!Z:Z,'ON Data'!$D:$D,$A$4,'ON Data'!$E:$E,4),SUMIFS('ON Data'!Z:Z,'ON Data'!$E:$E,4))</f>
        <v>0</v>
      </c>
      <c r="V13" s="264">
        <f xml:space="preserve">
IF($A$4&lt;=12,SUMIFS('ON Data'!AA:AA,'ON Data'!$D:$D,$A$4,'ON Data'!$E:$E,4),SUMIFS('ON Data'!AA:AA,'ON Data'!$E:$E,4))</f>
        <v>0</v>
      </c>
      <c r="W13" s="264">
        <f xml:space="preserve">
IF($A$4&lt;=12,SUMIFS('ON Data'!AB:AB,'ON Data'!$D:$D,$A$4,'ON Data'!$E:$E,4),SUMIFS('ON Data'!AB:AB,'ON Data'!$E:$E,4))</f>
        <v>0</v>
      </c>
      <c r="X13" s="264">
        <f xml:space="preserve">
IF($A$4&lt;=12,SUMIFS('ON Data'!AC:AC,'ON Data'!$D:$D,$A$4,'ON Data'!$E:$E,4),SUMIFS('ON Data'!AC:AC,'ON Data'!$E:$E,4))</f>
        <v>0</v>
      </c>
      <c r="Y13" s="264">
        <f xml:space="preserve">
IF($A$4&lt;=12,SUMIFS('ON Data'!AD:AD,'ON Data'!$D:$D,$A$4,'ON Data'!$E:$E,4),SUMIFS('ON Data'!AD:AD,'ON Data'!$E:$E,4))</f>
        <v>0</v>
      </c>
      <c r="Z13" s="264">
        <f xml:space="preserve">
IF($A$4&lt;=12,SUMIFS('ON Data'!AE:AE,'ON Data'!$D:$D,$A$4,'ON Data'!$E:$E,4),SUMIFS('ON Data'!AE:AE,'ON Data'!$E:$E,4))</f>
        <v>0</v>
      </c>
      <c r="AA13" s="264">
        <f xml:space="preserve">
IF($A$4&lt;=12,SUMIFS('ON Data'!AF:AF,'ON Data'!$D:$D,$A$4,'ON Data'!$E:$E,4),SUMIFS('ON Data'!AF:AF,'ON Data'!$E:$E,4))</f>
        <v>0</v>
      </c>
      <c r="AB13" s="264">
        <f xml:space="preserve">
IF($A$4&lt;=12,SUMIFS('ON Data'!AG:AG,'ON Data'!$D:$D,$A$4,'ON Data'!$E:$E,4),SUMIFS('ON Data'!AG:AG,'ON Data'!$E:$E,4))</f>
        <v>0</v>
      </c>
      <c r="AC13" s="264">
        <f xml:space="preserve">
IF($A$4&lt;=12,SUMIFS('ON Data'!AH:AH,'ON Data'!$D:$D,$A$4,'ON Data'!$E:$E,4),SUMIFS('ON Data'!AH:AH,'ON Data'!$E:$E,4))</f>
        <v>0</v>
      </c>
      <c r="AD13" s="264">
        <f xml:space="preserve">
IF($A$4&lt;=12,SUMIFS('ON Data'!AI:AI,'ON Data'!$D:$D,$A$4,'ON Data'!$E:$E,4),SUMIFS('ON Data'!AI:AI,'ON Data'!$E:$E,4))</f>
        <v>0</v>
      </c>
      <c r="AE13" s="264">
        <f xml:space="preserve">
IF($A$4&lt;=12,SUMIFS('ON Data'!AJ:AJ,'ON Data'!$D:$D,$A$4,'ON Data'!$E:$E,4),SUMIFS('ON Data'!AJ:AJ,'ON Data'!$E:$E,4))</f>
        <v>0</v>
      </c>
      <c r="AF13" s="264">
        <f xml:space="preserve">
IF($A$4&lt;=12,SUMIFS('ON Data'!AK:AK,'ON Data'!$D:$D,$A$4,'ON Data'!$E:$E,4),SUMIFS('ON Data'!AK:AK,'ON Data'!$E:$E,4))</f>
        <v>0</v>
      </c>
      <c r="AG13" s="264">
        <f xml:space="preserve">
IF($A$4&lt;=12,SUMIFS('ON Data'!AM:AM,'ON Data'!$D:$D,$A$4,'ON Data'!$E:$E,4),SUMIFS('ON Data'!AM:AM,'ON Data'!$E:$E,4))</f>
        <v>0</v>
      </c>
      <c r="AH13" s="570">
        <f xml:space="preserve">
IF($A$4&lt;=12,SUMIFS('ON Data'!AN:AN,'ON Data'!$D:$D,$A$4,'ON Data'!$E:$E,4),SUMIFS('ON Data'!AN:AN,'ON Data'!$E:$E,4))</f>
        <v>0</v>
      </c>
      <c r="AI13" s="581"/>
    </row>
    <row r="14" spans="1:35" ht="15" thickBot="1" x14ac:dyDescent="0.35">
      <c r="A14" s="246" t="s">
        <v>217</v>
      </c>
      <c r="B14" s="265">
        <f xml:space="preserve">
IF($A$4&lt;=12,SUMIFS('ON Data'!F:F,'ON Data'!$D:$D,$A$4,'ON Data'!$E:$E,5),SUMIFS('ON Data'!F:F,'ON Data'!$E:$E,5))</f>
        <v>278.5</v>
      </c>
      <c r="C14" s="266">
        <f xml:space="preserve">
IF($A$4&lt;=12,SUMIFS('ON Data'!G:G,'ON Data'!$D:$D,$A$4,'ON Data'!$E:$E,5),SUMIFS('ON Data'!G:G,'ON Data'!$E:$E,5))</f>
        <v>278.5</v>
      </c>
      <c r="D14" s="267">
        <f xml:space="preserve">
IF($A$4&lt;=12,SUMIFS('ON Data'!H:H,'ON Data'!$D:$D,$A$4,'ON Data'!$E:$E,5),SUMIFS('ON Data'!H:H,'ON Data'!$E:$E,5))</f>
        <v>0</v>
      </c>
      <c r="E14" s="267">
        <f xml:space="preserve">
IF($A$4&lt;=12,SUMIFS('ON Data'!I:I,'ON Data'!$D:$D,$A$4,'ON Data'!$E:$E,5),SUMIFS('ON Data'!I:I,'ON Data'!$E:$E,5))</f>
        <v>0</v>
      </c>
      <c r="F14" s="267">
        <f xml:space="preserve">
IF($A$4&lt;=12,SUMIFS('ON Data'!K:K,'ON Data'!$D:$D,$A$4,'ON Data'!$E:$E,5),SUMIFS('ON Data'!K:K,'ON Data'!$E:$E,5))</f>
        <v>0</v>
      </c>
      <c r="G14" s="267">
        <f xml:space="preserve">
IF($A$4&lt;=12,SUMIFS('ON Data'!L:L,'ON Data'!$D:$D,$A$4,'ON Data'!$E:$E,5),SUMIFS('ON Data'!L:L,'ON Data'!$E:$E,5))</f>
        <v>0</v>
      </c>
      <c r="H14" s="267">
        <f xml:space="preserve">
IF($A$4&lt;=12,SUMIFS('ON Data'!M:M,'ON Data'!$D:$D,$A$4,'ON Data'!$E:$E,5),SUMIFS('ON Data'!M:M,'ON Data'!$E:$E,5))</f>
        <v>0</v>
      </c>
      <c r="I14" s="267">
        <f xml:space="preserve">
IF($A$4&lt;=12,SUMIFS('ON Data'!N:N,'ON Data'!$D:$D,$A$4,'ON Data'!$E:$E,5),SUMIFS('ON Data'!N:N,'ON Data'!$E:$E,5))</f>
        <v>0</v>
      </c>
      <c r="J14" s="267">
        <f xml:space="preserve">
IF($A$4&lt;=12,SUMIFS('ON Data'!O:O,'ON Data'!$D:$D,$A$4,'ON Data'!$E:$E,5),SUMIFS('ON Data'!O:O,'ON Data'!$E:$E,5))</f>
        <v>0</v>
      </c>
      <c r="K14" s="267">
        <f xml:space="preserve">
IF($A$4&lt;=12,SUMIFS('ON Data'!P:P,'ON Data'!$D:$D,$A$4,'ON Data'!$E:$E,5),SUMIFS('ON Data'!P:P,'ON Data'!$E:$E,5))</f>
        <v>0</v>
      </c>
      <c r="L14" s="267">
        <f xml:space="preserve">
IF($A$4&lt;=12,SUMIFS('ON Data'!Q:Q,'ON Data'!$D:$D,$A$4,'ON Data'!$E:$E,5),SUMIFS('ON Data'!Q:Q,'ON Data'!$E:$E,5))</f>
        <v>0</v>
      </c>
      <c r="M14" s="267">
        <f xml:space="preserve">
IF($A$4&lt;=12,SUMIFS('ON Data'!R:R,'ON Data'!$D:$D,$A$4,'ON Data'!$E:$E,5),SUMIFS('ON Data'!R:R,'ON Data'!$E:$E,5))</f>
        <v>0</v>
      </c>
      <c r="N14" s="267">
        <f xml:space="preserve">
IF($A$4&lt;=12,SUMIFS('ON Data'!S:S,'ON Data'!$D:$D,$A$4,'ON Data'!$E:$E,5),SUMIFS('ON Data'!S:S,'ON Data'!$E:$E,5))</f>
        <v>0</v>
      </c>
      <c r="O14" s="267">
        <f xml:space="preserve">
IF($A$4&lt;=12,SUMIFS('ON Data'!T:T,'ON Data'!$D:$D,$A$4,'ON Data'!$E:$E,5),SUMIFS('ON Data'!T:T,'ON Data'!$E:$E,5))</f>
        <v>0</v>
      </c>
      <c r="P14" s="267">
        <f xml:space="preserve">
IF($A$4&lt;=12,SUMIFS('ON Data'!U:U,'ON Data'!$D:$D,$A$4,'ON Data'!$E:$E,5),SUMIFS('ON Data'!U:U,'ON Data'!$E:$E,5))</f>
        <v>0</v>
      </c>
      <c r="Q14" s="267">
        <f xml:space="preserve">
IF($A$4&lt;=12,SUMIFS('ON Data'!V:V,'ON Data'!$D:$D,$A$4,'ON Data'!$E:$E,5),SUMIFS('ON Data'!V:V,'ON Data'!$E:$E,5))</f>
        <v>0</v>
      </c>
      <c r="R14" s="267">
        <f xml:space="preserve">
IF($A$4&lt;=12,SUMIFS('ON Data'!W:W,'ON Data'!$D:$D,$A$4,'ON Data'!$E:$E,5),SUMIFS('ON Data'!W:W,'ON Data'!$E:$E,5))</f>
        <v>0</v>
      </c>
      <c r="S14" s="267">
        <f xml:space="preserve">
IF($A$4&lt;=12,SUMIFS('ON Data'!X:X,'ON Data'!$D:$D,$A$4,'ON Data'!$E:$E,5),SUMIFS('ON Data'!X:X,'ON Data'!$E:$E,5))</f>
        <v>0</v>
      </c>
      <c r="T14" s="267">
        <f xml:space="preserve">
IF($A$4&lt;=12,SUMIFS('ON Data'!Y:Y,'ON Data'!$D:$D,$A$4,'ON Data'!$E:$E,5),SUMIFS('ON Data'!Y:Y,'ON Data'!$E:$E,5))</f>
        <v>0</v>
      </c>
      <c r="U14" s="267">
        <f xml:space="preserve">
IF($A$4&lt;=12,SUMIFS('ON Data'!Z:Z,'ON Data'!$D:$D,$A$4,'ON Data'!$E:$E,5),SUMIFS('ON Data'!Z:Z,'ON Data'!$E:$E,5))</f>
        <v>0</v>
      </c>
      <c r="V14" s="267">
        <f xml:space="preserve">
IF($A$4&lt;=12,SUMIFS('ON Data'!AA:AA,'ON Data'!$D:$D,$A$4,'ON Data'!$E:$E,5),SUMIFS('ON Data'!AA:AA,'ON Data'!$E:$E,5))</f>
        <v>0</v>
      </c>
      <c r="W14" s="267">
        <f xml:space="preserve">
IF($A$4&lt;=12,SUMIFS('ON Data'!AB:AB,'ON Data'!$D:$D,$A$4,'ON Data'!$E:$E,5),SUMIFS('ON Data'!AB:AB,'ON Data'!$E:$E,5))</f>
        <v>0</v>
      </c>
      <c r="X14" s="267">
        <f xml:space="preserve">
IF($A$4&lt;=12,SUMIFS('ON Data'!AC:AC,'ON Data'!$D:$D,$A$4,'ON Data'!$E:$E,5),SUMIFS('ON Data'!AC:AC,'ON Data'!$E:$E,5))</f>
        <v>0</v>
      </c>
      <c r="Y14" s="267">
        <f xml:space="preserve">
IF($A$4&lt;=12,SUMIFS('ON Data'!AD:AD,'ON Data'!$D:$D,$A$4,'ON Data'!$E:$E,5),SUMIFS('ON Data'!AD:AD,'ON Data'!$E:$E,5))</f>
        <v>0</v>
      </c>
      <c r="Z14" s="267">
        <f xml:space="preserve">
IF($A$4&lt;=12,SUMIFS('ON Data'!AE:AE,'ON Data'!$D:$D,$A$4,'ON Data'!$E:$E,5),SUMIFS('ON Data'!AE:AE,'ON Data'!$E:$E,5))</f>
        <v>0</v>
      </c>
      <c r="AA14" s="267">
        <f xml:space="preserve">
IF($A$4&lt;=12,SUMIFS('ON Data'!AF:AF,'ON Data'!$D:$D,$A$4,'ON Data'!$E:$E,5),SUMIFS('ON Data'!AF:AF,'ON Data'!$E:$E,5))</f>
        <v>0</v>
      </c>
      <c r="AB14" s="267">
        <f xml:space="preserve">
IF($A$4&lt;=12,SUMIFS('ON Data'!AG:AG,'ON Data'!$D:$D,$A$4,'ON Data'!$E:$E,5),SUMIFS('ON Data'!AG:AG,'ON Data'!$E:$E,5))</f>
        <v>0</v>
      </c>
      <c r="AC14" s="267">
        <f xml:space="preserve">
IF($A$4&lt;=12,SUMIFS('ON Data'!AH:AH,'ON Data'!$D:$D,$A$4,'ON Data'!$E:$E,5),SUMIFS('ON Data'!AH:AH,'ON Data'!$E:$E,5))</f>
        <v>0</v>
      </c>
      <c r="AD14" s="267">
        <f xml:space="preserve">
IF($A$4&lt;=12,SUMIFS('ON Data'!AI:AI,'ON Data'!$D:$D,$A$4,'ON Data'!$E:$E,5),SUMIFS('ON Data'!AI:AI,'ON Data'!$E:$E,5))</f>
        <v>0</v>
      </c>
      <c r="AE14" s="267">
        <f xml:space="preserve">
IF($A$4&lt;=12,SUMIFS('ON Data'!AJ:AJ,'ON Data'!$D:$D,$A$4,'ON Data'!$E:$E,5),SUMIFS('ON Data'!AJ:AJ,'ON Data'!$E:$E,5))</f>
        <v>0</v>
      </c>
      <c r="AF14" s="267">
        <f xml:space="preserve">
IF($A$4&lt;=12,SUMIFS('ON Data'!AK:AK,'ON Data'!$D:$D,$A$4,'ON Data'!$E:$E,5),SUMIFS('ON Data'!AK:AK,'ON Data'!$E:$E,5))</f>
        <v>0</v>
      </c>
      <c r="AG14" s="267">
        <f xml:space="preserve">
IF($A$4&lt;=12,SUMIFS('ON Data'!AM:AM,'ON Data'!$D:$D,$A$4,'ON Data'!$E:$E,5),SUMIFS('ON Data'!AM:AM,'ON Data'!$E:$E,5))</f>
        <v>0</v>
      </c>
      <c r="AH14" s="571">
        <f xml:space="preserve">
IF($A$4&lt;=12,SUMIFS('ON Data'!AN:AN,'ON Data'!$D:$D,$A$4,'ON Data'!$E:$E,5),SUMIFS('ON Data'!AN:AN,'ON Data'!$E:$E,5))</f>
        <v>0</v>
      </c>
      <c r="AI14" s="581"/>
    </row>
    <row r="15" spans="1:35" x14ac:dyDescent="0.3">
      <c r="A15" s="163" t="s">
        <v>227</v>
      </c>
      <c r="B15" s="268"/>
      <c r="C15" s="269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  <c r="AG15" s="270"/>
      <c r="AH15" s="572"/>
      <c r="AI15" s="581"/>
    </row>
    <row r="16" spans="1:35" x14ac:dyDescent="0.3">
      <c r="A16" s="247" t="s">
        <v>218</v>
      </c>
      <c r="B16" s="262">
        <f xml:space="preserve">
IF($A$4&lt;=12,SUMIFS('ON Data'!F:F,'ON Data'!$D:$D,$A$4,'ON Data'!$E:$E,7),SUMIFS('ON Data'!F:F,'ON Data'!$E:$E,7))</f>
        <v>0</v>
      </c>
      <c r="C16" s="263">
        <f xml:space="preserve">
IF($A$4&lt;=12,SUMIFS('ON Data'!G:G,'ON Data'!$D:$D,$A$4,'ON Data'!$E:$E,7),SUMIFS('ON Data'!G:G,'ON Data'!$E:$E,7))</f>
        <v>0</v>
      </c>
      <c r="D16" s="264">
        <f xml:space="preserve">
IF($A$4&lt;=12,SUMIFS('ON Data'!H:H,'ON Data'!$D:$D,$A$4,'ON Data'!$E:$E,7),SUMIFS('ON Data'!H:H,'ON Data'!$E:$E,7))</f>
        <v>0</v>
      </c>
      <c r="E16" s="264">
        <f xml:space="preserve">
IF($A$4&lt;=12,SUMIFS('ON Data'!I:I,'ON Data'!$D:$D,$A$4,'ON Data'!$E:$E,7),SUMIFS('ON Data'!I:I,'ON Data'!$E:$E,7))</f>
        <v>0</v>
      </c>
      <c r="F16" s="264">
        <f xml:space="preserve">
IF($A$4&lt;=12,SUMIFS('ON Data'!K:K,'ON Data'!$D:$D,$A$4,'ON Data'!$E:$E,7),SUMIFS('ON Data'!K:K,'ON Data'!$E:$E,7))</f>
        <v>0</v>
      </c>
      <c r="G16" s="264">
        <f xml:space="preserve">
IF($A$4&lt;=12,SUMIFS('ON Data'!L:L,'ON Data'!$D:$D,$A$4,'ON Data'!$E:$E,7),SUMIFS('ON Data'!L:L,'ON Data'!$E:$E,7))</f>
        <v>0</v>
      </c>
      <c r="H16" s="264">
        <f xml:space="preserve">
IF($A$4&lt;=12,SUMIFS('ON Data'!M:M,'ON Data'!$D:$D,$A$4,'ON Data'!$E:$E,7),SUMIFS('ON Data'!M:M,'ON Data'!$E:$E,7))</f>
        <v>0</v>
      </c>
      <c r="I16" s="264">
        <f xml:space="preserve">
IF($A$4&lt;=12,SUMIFS('ON Data'!N:N,'ON Data'!$D:$D,$A$4,'ON Data'!$E:$E,7),SUMIFS('ON Data'!N:N,'ON Data'!$E:$E,7))</f>
        <v>0</v>
      </c>
      <c r="J16" s="264">
        <f xml:space="preserve">
IF($A$4&lt;=12,SUMIFS('ON Data'!O:O,'ON Data'!$D:$D,$A$4,'ON Data'!$E:$E,7),SUMIFS('ON Data'!O:O,'ON Data'!$E:$E,7))</f>
        <v>0</v>
      </c>
      <c r="K16" s="264">
        <f xml:space="preserve">
IF($A$4&lt;=12,SUMIFS('ON Data'!P:P,'ON Data'!$D:$D,$A$4,'ON Data'!$E:$E,7),SUMIFS('ON Data'!P:P,'ON Data'!$E:$E,7))</f>
        <v>0</v>
      </c>
      <c r="L16" s="264">
        <f xml:space="preserve">
IF($A$4&lt;=12,SUMIFS('ON Data'!Q:Q,'ON Data'!$D:$D,$A$4,'ON Data'!$E:$E,7),SUMIFS('ON Data'!Q:Q,'ON Data'!$E:$E,7))</f>
        <v>0</v>
      </c>
      <c r="M16" s="264">
        <f xml:space="preserve">
IF($A$4&lt;=12,SUMIFS('ON Data'!R:R,'ON Data'!$D:$D,$A$4,'ON Data'!$E:$E,7),SUMIFS('ON Data'!R:R,'ON Data'!$E:$E,7))</f>
        <v>0</v>
      </c>
      <c r="N16" s="264">
        <f xml:space="preserve">
IF($A$4&lt;=12,SUMIFS('ON Data'!S:S,'ON Data'!$D:$D,$A$4,'ON Data'!$E:$E,7),SUMIFS('ON Data'!S:S,'ON Data'!$E:$E,7))</f>
        <v>0</v>
      </c>
      <c r="O16" s="264">
        <f xml:space="preserve">
IF($A$4&lt;=12,SUMIFS('ON Data'!T:T,'ON Data'!$D:$D,$A$4,'ON Data'!$E:$E,7),SUMIFS('ON Data'!T:T,'ON Data'!$E:$E,7))</f>
        <v>0</v>
      </c>
      <c r="P16" s="264">
        <f xml:space="preserve">
IF($A$4&lt;=12,SUMIFS('ON Data'!U:U,'ON Data'!$D:$D,$A$4,'ON Data'!$E:$E,7),SUMIFS('ON Data'!U:U,'ON Data'!$E:$E,7))</f>
        <v>0</v>
      </c>
      <c r="Q16" s="264">
        <f xml:space="preserve">
IF($A$4&lt;=12,SUMIFS('ON Data'!V:V,'ON Data'!$D:$D,$A$4,'ON Data'!$E:$E,7),SUMIFS('ON Data'!V:V,'ON Data'!$E:$E,7))</f>
        <v>0</v>
      </c>
      <c r="R16" s="264">
        <f xml:space="preserve">
IF($A$4&lt;=12,SUMIFS('ON Data'!W:W,'ON Data'!$D:$D,$A$4,'ON Data'!$E:$E,7),SUMIFS('ON Data'!W:W,'ON Data'!$E:$E,7))</f>
        <v>0</v>
      </c>
      <c r="S16" s="264">
        <f xml:space="preserve">
IF($A$4&lt;=12,SUMIFS('ON Data'!X:X,'ON Data'!$D:$D,$A$4,'ON Data'!$E:$E,7),SUMIFS('ON Data'!X:X,'ON Data'!$E:$E,7))</f>
        <v>0</v>
      </c>
      <c r="T16" s="264">
        <f xml:space="preserve">
IF($A$4&lt;=12,SUMIFS('ON Data'!Y:Y,'ON Data'!$D:$D,$A$4,'ON Data'!$E:$E,7),SUMIFS('ON Data'!Y:Y,'ON Data'!$E:$E,7))</f>
        <v>0</v>
      </c>
      <c r="U16" s="264">
        <f xml:space="preserve">
IF($A$4&lt;=12,SUMIFS('ON Data'!Z:Z,'ON Data'!$D:$D,$A$4,'ON Data'!$E:$E,7),SUMIFS('ON Data'!Z:Z,'ON Data'!$E:$E,7))</f>
        <v>0</v>
      </c>
      <c r="V16" s="264">
        <f xml:space="preserve">
IF($A$4&lt;=12,SUMIFS('ON Data'!AA:AA,'ON Data'!$D:$D,$A$4,'ON Data'!$E:$E,7),SUMIFS('ON Data'!AA:AA,'ON Data'!$E:$E,7))</f>
        <v>0</v>
      </c>
      <c r="W16" s="264">
        <f xml:space="preserve">
IF($A$4&lt;=12,SUMIFS('ON Data'!AB:AB,'ON Data'!$D:$D,$A$4,'ON Data'!$E:$E,7),SUMIFS('ON Data'!AB:AB,'ON Data'!$E:$E,7))</f>
        <v>0</v>
      </c>
      <c r="X16" s="264">
        <f xml:space="preserve">
IF($A$4&lt;=12,SUMIFS('ON Data'!AC:AC,'ON Data'!$D:$D,$A$4,'ON Data'!$E:$E,7),SUMIFS('ON Data'!AC:AC,'ON Data'!$E:$E,7))</f>
        <v>0</v>
      </c>
      <c r="Y16" s="264">
        <f xml:space="preserve">
IF($A$4&lt;=12,SUMIFS('ON Data'!AD:AD,'ON Data'!$D:$D,$A$4,'ON Data'!$E:$E,7),SUMIFS('ON Data'!AD:AD,'ON Data'!$E:$E,7))</f>
        <v>0</v>
      </c>
      <c r="Z16" s="264">
        <f xml:space="preserve">
IF($A$4&lt;=12,SUMIFS('ON Data'!AE:AE,'ON Data'!$D:$D,$A$4,'ON Data'!$E:$E,7),SUMIFS('ON Data'!AE:AE,'ON Data'!$E:$E,7))</f>
        <v>0</v>
      </c>
      <c r="AA16" s="264">
        <f xml:space="preserve">
IF($A$4&lt;=12,SUMIFS('ON Data'!AF:AF,'ON Data'!$D:$D,$A$4,'ON Data'!$E:$E,7),SUMIFS('ON Data'!AF:AF,'ON Data'!$E:$E,7))</f>
        <v>0</v>
      </c>
      <c r="AB16" s="264">
        <f xml:space="preserve">
IF($A$4&lt;=12,SUMIFS('ON Data'!AG:AG,'ON Data'!$D:$D,$A$4,'ON Data'!$E:$E,7),SUMIFS('ON Data'!AG:AG,'ON Data'!$E:$E,7))</f>
        <v>0</v>
      </c>
      <c r="AC16" s="264">
        <f xml:space="preserve">
IF($A$4&lt;=12,SUMIFS('ON Data'!AH:AH,'ON Data'!$D:$D,$A$4,'ON Data'!$E:$E,7),SUMIFS('ON Data'!AH:AH,'ON Data'!$E:$E,7))</f>
        <v>0</v>
      </c>
      <c r="AD16" s="264">
        <f xml:space="preserve">
IF($A$4&lt;=12,SUMIFS('ON Data'!AI:AI,'ON Data'!$D:$D,$A$4,'ON Data'!$E:$E,7),SUMIFS('ON Data'!AI:AI,'ON Data'!$E:$E,7))</f>
        <v>0</v>
      </c>
      <c r="AE16" s="264">
        <f xml:space="preserve">
IF($A$4&lt;=12,SUMIFS('ON Data'!AJ:AJ,'ON Data'!$D:$D,$A$4,'ON Data'!$E:$E,7),SUMIFS('ON Data'!AJ:AJ,'ON Data'!$E:$E,7))</f>
        <v>0</v>
      </c>
      <c r="AF16" s="264">
        <f xml:space="preserve">
IF($A$4&lt;=12,SUMIFS('ON Data'!AK:AK,'ON Data'!$D:$D,$A$4,'ON Data'!$E:$E,7),SUMIFS('ON Data'!AK:AK,'ON Data'!$E:$E,7))</f>
        <v>0</v>
      </c>
      <c r="AG16" s="264">
        <f xml:space="preserve">
IF($A$4&lt;=12,SUMIFS('ON Data'!AM:AM,'ON Data'!$D:$D,$A$4,'ON Data'!$E:$E,7),SUMIFS('ON Data'!AM:AM,'ON Data'!$E:$E,7))</f>
        <v>0</v>
      </c>
      <c r="AH16" s="570">
        <f xml:space="preserve">
IF($A$4&lt;=12,SUMIFS('ON Data'!AN:AN,'ON Data'!$D:$D,$A$4,'ON Data'!$E:$E,7),SUMIFS('ON Data'!AN:AN,'ON Data'!$E:$E,7))</f>
        <v>0</v>
      </c>
      <c r="AI16" s="581"/>
    </row>
    <row r="17" spans="1:35" x14ac:dyDescent="0.3">
      <c r="A17" s="247" t="s">
        <v>219</v>
      </c>
      <c r="B17" s="262">
        <f xml:space="preserve">
IF($A$4&lt;=12,SUMIFS('ON Data'!F:F,'ON Data'!$D:$D,$A$4,'ON Data'!$E:$E,8),SUMIFS('ON Data'!F:F,'ON Data'!$E:$E,8))</f>
        <v>0</v>
      </c>
      <c r="C17" s="263">
        <f xml:space="preserve">
IF($A$4&lt;=12,SUMIFS('ON Data'!G:G,'ON Data'!$D:$D,$A$4,'ON Data'!$E:$E,8),SUMIFS('ON Data'!G:G,'ON Data'!$E:$E,8))</f>
        <v>0</v>
      </c>
      <c r="D17" s="264">
        <f xml:space="preserve">
IF($A$4&lt;=12,SUMIFS('ON Data'!H:H,'ON Data'!$D:$D,$A$4,'ON Data'!$E:$E,8),SUMIFS('ON Data'!H:H,'ON Data'!$E:$E,8))</f>
        <v>0</v>
      </c>
      <c r="E17" s="264">
        <f xml:space="preserve">
IF($A$4&lt;=12,SUMIFS('ON Data'!I:I,'ON Data'!$D:$D,$A$4,'ON Data'!$E:$E,8),SUMIFS('ON Data'!I:I,'ON Data'!$E:$E,8))</f>
        <v>0</v>
      </c>
      <c r="F17" s="264">
        <f xml:space="preserve">
IF($A$4&lt;=12,SUMIFS('ON Data'!K:K,'ON Data'!$D:$D,$A$4,'ON Data'!$E:$E,8),SUMIFS('ON Data'!K:K,'ON Data'!$E:$E,8))</f>
        <v>0</v>
      </c>
      <c r="G17" s="264">
        <f xml:space="preserve">
IF($A$4&lt;=12,SUMIFS('ON Data'!L:L,'ON Data'!$D:$D,$A$4,'ON Data'!$E:$E,8),SUMIFS('ON Data'!L:L,'ON Data'!$E:$E,8))</f>
        <v>0</v>
      </c>
      <c r="H17" s="264">
        <f xml:space="preserve">
IF($A$4&lt;=12,SUMIFS('ON Data'!M:M,'ON Data'!$D:$D,$A$4,'ON Data'!$E:$E,8),SUMIFS('ON Data'!M:M,'ON Data'!$E:$E,8))</f>
        <v>0</v>
      </c>
      <c r="I17" s="264">
        <f xml:space="preserve">
IF($A$4&lt;=12,SUMIFS('ON Data'!N:N,'ON Data'!$D:$D,$A$4,'ON Data'!$E:$E,8),SUMIFS('ON Data'!N:N,'ON Data'!$E:$E,8))</f>
        <v>0</v>
      </c>
      <c r="J17" s="264">
        <f xml:space="preserve">
IF($A$4&lt;=12,SUMIFS('ON Data'!O:O,'ON Data'!$D:$D,$A$4,'ON Data'!$E:$E,8),SUMIFS('ON Data'!O:O,'ON Data'!$E:$E,8))</f>
        <v>0</v>
      </c>
      <c r="K17" s="264">
        <f xml:space="preserve">
IF($A$4&lt;=12,SUMIFS('ON Data'!P:P,'ON Data'!$D:$D,$A$4,'ON Data'!$E:$E,8),SUMIFS('ON Data'!P:P,'ON Data'!$E:$E,8))</f>
        <v>0</v>
      </c>
      <c r="L17" s="264">
        <f xml:space="preserve">
IF($A$4&lt;=12,SUMIFS('ON Data'!Q:Q,'ON Data'!$D:$D,$A$4,'ON Data'!$E:$E,8),SUMIFS('ON Data'!Q:Q,'ON Data'!$E:$E,8))</f>
        <v>0</v>
      </c>
      <c r="M17" s="264">
        <f xml:space="preserve">
IF($A$4&lt;=12,SUMIFS('ON Data'!R:R,'ON Data'!$D:$D,$A$4,'ON Data'!$E:$E,8),SUMIFS('ON Data'!R:R,'ON Data'!$E:$E,8))</f>
        <v>0</v>
      </c>
      <c r="N17" s="264">
        <f xml:space="preserve">
IF($A$4&lt;=12,SUMIFS('ON Data'!S:S,'ON Data'!$D:$D,$A$4,'ON Data'!$E:$E,8),SUMIFS('ON Data'!S:S,'ON Data'!$E:$E,8))</f>
        <v>0</v>
      </c>
      <c r="O17" s="264">
        <f xml:space="preserve">
IF($A$4&lt;=12,SUMIFS('ON Data'!T:T,'ON Data'!$D:$D,$A$4,'ON Data'!$E:$E,8),SUMIFS('ON Data'!T:T,'ON Data'!$E:$E,8))</f>
        <v>0</v>
      </c>
      <c r="P17" s="264">
        <f xml:space="preserve">
IF($A$4&lt;=12,SUMIFS('ON Data'!U:U,'ON Data'!$D:$D,$A$4,'ON Data'!$E:$E,8),SUMIFS('ON Data'!U:U,'ON Data'!$E:$E,8))</f>
        <v>0</v>
      </c>
      <c r="Q17" s="264">
        <f xml:space="preserve">
IF($A$4&lt;=12,SUMIFS('ON Data'!V:V,'ON Data'!$D:$D,$A$4,'ON Data'!$E:$E,8),SUMIFS('ON Data'!V:V,'ON Data'!$E:$E,8))</f>
        <v>0</v>
      </c>
      <c r="R17" s="264">
        <f xml:space="preserve">
IF($A$4&lt;=12,SUMIFS('ON Data'!W:W,'ON Data'!$D:$D,$A$4,'ON Data'!$E:$E,8),SUMIFS('ON Data'!W:W,'ON Data'!$E:$E,8))</f>
        <v>0</v>
      </c>
      <c r="S17" s="264">
        <f xml:space="preserve">
IF($A$4&lt;=12,SUMIFS('ON Data'!X:X,'ON Data'!$D:$D,$A$4,'ON Data'!$E:$E,8),SUMIFS('ON Data'!X:X,'ON Data'!$E:$E,8))</f>
        <v>0</v>
      </c>
      <c r="T17" s="264">
        <f xml:space="preserve">
IF($A$4&lt;=12,SUMIFS('ON Data'!Y:Y,'ON Data'!$D:$D,$A$4,'ON Data'!$E:$E,8),SUMIFS('ON Data'!Y:Y,'ON Data'!$E:$E,8))</f>
        <v>0</v>
      </c>
      <c r="U17" s="264">
        <f xml:space="preserve">
IF($A$4&lt;=12,SUMIFS('ON Data'!Z:Z,'ON Data'!$D:$D,$A$4,'ON Data'!$E:$E,8),SUMIFS('ON Data'!Z:Z,'ON Data'!$E:$E,8))</f>
        <v>0</v>
      </c>
      <c r="V17" s="264">
        <f xml:space="preserve">
IF($A$4&lt;=12,SUMIFS('ON Data'!AA:AA,'ON Data'!$D:$D,$A$4,'ON Data'!$E:$E,8),SUMIFS('ON Data'!AA:AA,'ON Data'!$E:$E,8))</f>
        <v>0</v>
      </c>
      <c r="W17" s="264">
        <f xml:space="preserve">
IF($A$4&lt;=12,SUMIFS('ON Data'!AB:AB,'ON Data'!$D:$D,$A$4,'ON Data'!$E:$E,8),SUMIFS('ON Data'!AB:AB,'ON Data'!$E:$E,8))</f>
        <v>0</v>
      </c>
      <c r="X17" s="264">
        <f xml:space="preserve">
IF($A$4&lt;=12,SUMIFS('ON Data'!AC:AC,'ON Data'!$D:$D,$A$4,'ON Data'!$E:$E,8),SUMIFS('ON Data'!AC:AC,'ON Data'!$E:$E,8))</f>
        <v>0</v>
      </c>
      <c r="Y17" s="264">
        <f xml:space="preserve">
IF($A$4&lt;=12,SUMIFS('ON Data'!AD:AD,'ON Data'!$D:$D,$A$4,'ON Data'!$E:$E,8),SUMIFS('ON Data'!AD:AD,'ON Data'!$E:$E,8))</f>
        <v>0</v>
      </c>
      <c r="Z17" s="264">
        <f xml:space="preserve">
IF($A$4&lt;=12,SUMIFS('ON Data'!AE:AE,'ON Data'!$D:$D,$A$4,'ON Data'!$E:$E,8),SUMIFS('ON Data'!AE:AE,'ON Data'!$E:$E,8))</f>
        <v>0</v>
      </c>
      <c r="AA17" s="264">
        <f xml:space="preserve">
IF($A$4&lt;=12,SUMIFS('ON Data'!AF:AF,'ON Data'!$D:$D,$A$4,'ON Data'!$E:$E,8),SUMIFS('ON Data'!AF:AF,'ON Data'!$E:$E,8))</f>
        <v>0</v>
      </c>
      <c r="AB17" s="264">
        <f xml:space="preserve">
IF($A$4&lt;=12,SUMIFS('ON Data'!AG:AG,'ON Data'!$D:$D,$A$4,'ON Data'!$E:$E,8),SUMIFS('ON Data'!AG:AG,'ON Data'!$E:$E,8))</f>
        <v>0</v>
      </c>
      <c r="AC17" s="264">
        <f xml:space="preserve">
IF($A$4&lt;=12,SUMIFS('ON Data'!AH:AH,'ON Data'!$D:$D,$A$4,'ON Data'!$E:$E,8),SUMIFS('ON Data'!AH:AH,'ON Data'!$E:$E,8))</f>
        <v>0</v>
      </c>
      <c r="AD17" s="264">
        <f xml:space="preserve">
IF($A$4&lt;=12,SUMIFS('ON Data'!AI:AI,'ON Data'!$D:$D,$A$4,'ON Data'!$E:$E,8),SUMIFS('ON Data'!AI:AI,'ON Data'!$E:$E,8))</f>
        <v>0</v>
      </c>
      <c r="AE17" s="264">
        <f xml:space="preserve">
IF($A$4&lt;=12,SUMIFS('ON Data'!AJ:AJ,'ON Data'!$D:$D,$A$4,'ON Data'!$E:$E,8),SUMIFS('ON Data'!AJ:AJ,'ON Data'!$E:$E,8))</f>
        <v>0</v>
      </c>
      <c r="AF17" s="264">
        <f xml:space="preserve">
IF($A$4&lt;=12,SUMIFS('ON Data'!AK:AK,'ON Data'!$D:$D,$A$4,'ON Data'!$E:$E,8),SUMIFS('ON Data'!AK:AK,'ON Data'!$E:$E,8))</f>
        <v>0</v>
      </c>
      <c r="AG17" s="264">
        <f xml:space="preserve">
IF($A$4&lt;=12,SUMIFS('ON Data'!AM:AM,'ON Data'!$D:$D,$A$4,'ON Data'!$E:$E,8),SUMIFS('ON Data'!AM:AM,'ON Data'!$E:$E,8))</f>
        <v>0</v>
      </c>
      <c r="AH17" s="570">
        <f xml:space="preserve">
IF($A$4&lt;=12,SUMIFS('ON Data'!AN:AN,'ON Data'!$D:$D,$A$4,'ON Data'!$E:$E,8),SUMIFS('ON Data'!AN:AN,'ON Data'!$E:$E,8))</f>
        <v>0</v>
      </c>
      <c r="AI17" s="581"/>
    </row>
    <row r="18" spans="1:35" x14ac:dyDescent="0.3">
      <c r="A18" s="247" t="s">
        <v>220</v>
      </c>
      <c r="B18" s="262">
        <f xml:space="preserve">
B19-B16-B17</f>
        <v>2138213</v>
      </c>
      <c r="C18" s="263">
        <f t="shared" ref="C18" si="0" xml:space="preserve">
C19-C16-C17</f>
        <v>0</v>
      </c>
      <c r="D18" s="264">
        <f t="shared" ref="D18:AH18" si="1" xml:space="preserve">
D19-D16-D17</f>
        <v>486470</v>
      </c>
      <c r="E18" s="264">
        <f t="shared" si="1"/>
        <v>0</v>
      </c>
      <c r="F18" s="264">
        <f t="shared" si="1"/>
        <v>766641</v>
      </c>
      <c r="G18" s="264">
        <f t="shared" si="1"/>
        <v>0</v>
      </c>
      <c r="H18" s="264">
        <f t="shared" si="1"/>
        <v>0</v>
      </c>
      <c r="I18" s="264">
        <f t="shared" si="1"/>
        <v>492803</v>
      </c>
      <c r="J18" s="264">
        <f t="shared" si="1"/>
        <v>0</v>
      </c>
      <c r="K18" s="264">
        <f t="shared" si="1"/>
        <v>0</v>
      </c>
      <c r="L18" s="264">
        <f t="shared" si="1"/>
        <v>0</v>
      </c>
      <c r="M18" s="264">
        <f t="shared" si="1"/>
        <v>0</v>
      </c>
      <c r="N18" s="264">
        <f t="shared" si="1"/>
        <v>0</v>
      </c>
      <c r="O18" s="264">
        <f t="shared" si="1"/>
        <v>0</v>
      </c>
      <c r="P18" s="264">
        <f t="shared" si="1"/>
        <v>0</v>
      </c>
      <c r="Q18" s="264">
        <f t="shared" si="1"/>
        <v>0</v>
      </c>
      <c r="R18" s="264">
        <f t="shared" si="1"/>
        <v>0</v>
      </c>
      <c r="S18" s="264">
        <f t="shared" si="1"/>
        <v>0</v>
      </c>
      <c r="T18" s="264">
        <f t="shared" si="1"/>
        <v>0</v>
      </c>
      <c r="U18" s="264">
        <f t="shared" si="1"/>
        <v>92460</v>
      </c>
      <c r="V18" s="264">
        <f t="shared" si="1"/>
        <v>0</v>
      </c>
      <c r="W18" s="264">
        <f t="shared" si="1"/>
        <v>0</v>
      </c>
      <c r="X18" s="264">
        <f t="shared" si="1"/>
        <v>3479</v>
      </c>
      <c r="Y18" s="264">
        <f t="shared" si="1"/>
        <v>0</v>
      </c>
      <c r="Z18" s="264">
        <f t="shared" si="1"/>
        <v>21936</v>
      </c>
      <c r="AA18" s="264">
        <f t="shared" si="1"/>
        <v>0</v>
      </c>
      <c r="AB18" s="264">
        <f t="shared" si="1"/>
        <v>0</v>
      </c>
      <c r="AC18" s="264">
        <f t="shared" si="1"/>
        <v>136385</v>
      </c>
      <c r="AD18" s="264">
        <f t="shared" si="1"/>
        <v>0</v>
      </c>
      <c r="AE18" s="264">
        <f t="shared" si="1"/>
        <v>0</v>
      </c>
      <c r="AF18" s="264">
        <f t="shared" si="1"/>
        <v>0</v>
      </c>
      <c r="AG18" s="264">
        <f t="shared" si="1"/>
        <v>95713</v>
      </c>
      <c r="AH18" s="570">
        <f t="shared" si="1"/>
        <v>42326</v>
      </c>
      <c r="AI18" s="581"/>
    </row>
    <row r="19" spans="1:35" ht="15" thickBot="1" x14ac:dyDescent="0.35">
      <c r="A19" s="248" t="s">
        <v>221</v>
      </c>
      <c r="B19" s="271">
        <f xml:space="preserve">
IF($A$4&lt;=12,SUMIFS('ON Data'!F:F,'ON Data'!$D:$D,$A$4,'ON Data'!$E:$E,9),SUMIFS('ON Data'!F:F,'ON Data'!$E:$E,9))</f>
        <v>2138213</v>
      </c>
      <c r="C19" s="272">
        <f xml:space="preserve">
IF($A$4&lt;=12,SUMIFS('ON Data'!G:G,'ON Data'!$D:$D,$A$4,'ON Data'!$E:$E,9),SUMIFS('ON Data'!G:G,'ON Data'!$E:$E,9))</f>
        <v>0</v>
      </c>
      <c r="D19" s="273">
        <f xml:space="preserve">
IF($A$4&lt;=12,SUMIFS('ON Data'!H:H,'ON Data'!$D:$D,$A$4,'ON Data'!$E:$E,9),SUMIFS('ON Data'!H:H,'ON Data'!$E:$E,9))</f>
        <v>486470</v>
      </c>
      <c r="E19" s="273">
        <f xml:space="preserve">
IF($A$4&lt;=12,SUMIFS('ON Data'!I:I,'ON Data'!$D:$D,$A$4,'ON Data'!$E:$E,9),SUMIFS('ON Data'!I:I,'ON Data'!$E:$E,9))</f>
        <v>0</v>
      </c>
      <c r="F19" s="273">
        <f xml:space="preserve">
IF($A$4&lt;=12,SUMIFS('ON Data'!K:K,'ON Data'!$D:$D,$A$4,'ON Data'!$E:$E,9),SUMIFS('ON Data'!K:K,'ON Data'!$E:$E,9))</f>
        <v>766641</v>
      </c>
      <c r="G19" s="273">
        <f xml:space="preserve">
IF($A$4&lt;=12,SUMIFS('ON Data'!L:L,'ON Data'!$D:$D,$A$4,'ON Data'!$E:$E,9),SUMIFS('ON Data'!L:L,'ON Data'!$E:$E,9))</f>
        <v>0</v>
      </c>
      <c r="H19" s="273">
        <f xml:space="preserve">
IF($A$4&lt;=12,SUMIFS('ON Data'!M:M,'ON Data'!$D:$D,$A$4,'ON Data'!$E:$E,9),SUMIFS('ON Data'!M:M,'ON Data'!$E:$E,9))</f>
        <v>0</v>
      </c>
      <c r="I19" s="273">
        <f xml:space="preserve">
IF($A$4&lt;=12,SUMIFS('ON Data'!N:N,'ON Data'!$D:$D,$A$4,'ON Data'!$E:$E,9),SUMIFS('ON Data'!N:N,'ON Data'!$E:$E,9))</f>
        <v>492803</v>
      </c>
      <c r="J19" s="273">
        <f xml:space="preserve">
IF($A$4&lt;=12,SUMIFS('ON Data'!O:O,'ON Data'!$D:$D,$A$4,'ON Data'!$E:$E,9),SUMIFS('ON Data'!O:O,'ON Data'!$E:$E,9))</f>
        <v>0</v>
      </c>
      <c r="K19" s="273">
        <f xml:space="preserve">
IF($A$4&lt;=12,SUMIFS('ON Data'!P:P,'ON Data'!$D:$D,$A$4,'ON Data'!$E:$E,9),SUMIFS('ON Data'!P:P,'ON Data'!$E:$E,9))</f>
        <v>0</v>
      </c>
      <c r="L19" s="273">
        <f xml:space="preserve">
IF($A$4&lt;=12,SUMIFS('ON Data'!Q:Q,'ON Data'!$D:$D,$A$4,'ON Data'!$E:$E,9),SUMIFS('ON Data'!Q:Q,'ON Data'!$E:$E,9))</f>
        <v>0</v>
      </c>
      <c r="M19" s="273">
        <f xml:space="preserve">
IF($A$4&lt;=12,SUMIFS('ON Data'!R:R,'ON Data'!$D:$D,$A$4,'ON Data'!$E:$E,9),SUMIFS('ON Data'!R:R,'ON Data'!$E:$E,9))</f>
        <v>0</v>
      </c>
      <c r="N19" s="273">
        <f xml:space="preserve">
IF($A$4&lt;=12,SUMIFS('ON Data'!S:S,'ON Data'!$D:$D,$A$4,'ON Data'!$E:$E,9),SUMIFS('ON Data'!S:S,'ON Data'!$E:$E,9))</f>
        <v>0</v>
      </c>
      <c r="O19" s="273">
        <f xml:space="preserve">
IF($A$4&lt;=12,SUMIFS('ON Data'!T:T,'ON Data'!$D:$D,$A$4,'ON Data'!$E:$E,9),SUMIFS('ON Data'!T:T,'ON Data'!$E:$E,9))</f>
        <v>0</v>
      </c>
      <c r="P19" s="273">
        <f xml:space="preserve">
IF($A$4&lt;=12,SUMIFS('ON Data'!U:U,'ON Data'!$D:$D,$A$4,'ON Data'!$E:$E,9),SUMIFS('ON Data'!U:U,'ON Data'!$E:$E,9))</f>
        <v>0</v>
      </c>
      <c r="Q19" s="273">
        <f xml:space="preserve">
IF($A$4&lt;=12,SUMIFS('ON Data'!V:V,'ON Data'!$D:$D,$A$4,'ON Data'!$E:$E,9),SUMIFS('ON Data'!V:V,'ON Data'!$E:$E,9))</f>
        <v>0</v>
      </c>
      <c r="R19" s="273">
        <f xml:space="preserve">
IF($A$4&lt;=12,SUMIFS('ON Data'!W:W,'ON Data'!$D:$D,$A$4,'ON Data'!$E:$E,9),SUMIFS('ON Data'!W:W,'ON Data'!$E:$E,9))</f>
        <v>0</v>
      </c>
      <c r="S19" s="273">
        <f xml:space="preserve">
IF($A$4&lt;=12,SUMIFS('ON Data'!X:X,'ON Data'!$D:$D,$A$4,'ON Data'!$E:$E,9),SUMIFS('ON Data'!X:X,'ON Data'!$E:$E,9))</f>
        <v>0</v>
      </c>
      <c r="T19" s="273">
        <f xml:space="preserve">
IF($A$4&lt;=12,SUMIFS('ON Data'!Y:Y,'ON Data'!$D:$D,$A$4,'ON Data'!$E:$E,9),SUMIFS('ON Data'!Y:Y,'ON Data'!$E:$E,9))</f>
        <v>0</v>
      </c>
      <c r="U19" s="273">
        <f xml:space="preserve">
IF($A$4&lt;=12,SUMIFS('ON Data'!Z:Z,'ON Data'!$D:$D,$A$4,'ON Data'!$E:$E,9),SUMIFS('ON Data'!Z:Z,'ON Data'!$E:$E,9))</f>
        <v>92460</v>
      </c>
      <c r="V19" s="273">
        <f xml:space="preserve">
IF($A$4&lt;=12,SUMIFS('ON Data'!AA:AA,'ON Data'!$D:$D,$A$4,'ON Data'!$E:$E,9),SUMIFS('ON Data'!AA:AA,'ON Data'!$E:$E,9))</f>
        <v>0</v>
      </c>
      <c r="W19" s="273">
        <f xml:space="preserve">
IF($A$4&lt;=12,SUMIFS('ON Data'!AB:AB,'ON Data'!$D:$D,$A$4,'ON Data'!$E:$E,9),SUMIFS('ON Data'!AB:AB,'ON Data'!$E:$E,9))</f>
        <v>0</v>
      </c>
      <c r="X19" s="273">
        <f xml:space="preserve">
IF($A$4&lt;=12,SUMIFS('ON Data'!AC:AC,'ON Data'!$D:$D,$A$4,'ON Data'!$E:$E,9),SUMIFS('ON Data'!AC:AC,'ON Data'!$E:$E,9))</f>
        <v>3479</v>
      </c>
      <c r="Y19" s="273">
        <f xml:space="preserve">
IF($A$4&lt;=12,SUMIFS('ON Data'!AD:AD,'ON Data'!$D:$D,$A$4,'ON Data'!$E:$E,9),SUMIFS('ON Data'!AD:AD,'ON Data'!$E:$E,9))</f>
        <v>0</v>
      </c>
      <c r="Z19" s="273">
        <f xml:space="preserve">
IF($A$4&lt;=12,SUMIFS('ON Data'!AE:AE,'ON Data'!$D:$D,$A$4,'ON Data'!$E:$E,9),SUMIFS('ON Data'!AE:AE,'ON Data'!$E:$E,9))</f>
        <v>21936</v>
      </c>
      <c r="AA19" s="273">
        <f xml:space="preserve">
IF($A$4&lt;=12,SUMIFS('ON Data'!AF:AF,'ON Data'!$D:$D,$A$4,'ON Data'!$E:$E,9),SUMIFS('ON Data'!AF:AF,'ON Data'!$E:$E,9))</f>
        <v>0</v>
      </c>
      <c r="AB19" s="273">
        <f xml:space="preserve">
IF($A$4&lt;=12,SUMIFS('ON Data'!AG:AG,'ON Data'!$D:$D,$A$4,'ON Data'!$E:$E,9),SUMIFS('ON Data'!AG:AG,'ON Data'!$E:$E,9))</f>
        <v>0</v>
      </c>
      <c r="AC19" s="273">
        <f xml:space="preserve">
IF($A$4&lt;=12,SUMIFS('ON Data'!AH:AH,'ON Data'!$D:$D,$A$4,'ON Data'!$E:$E,9),SUMIFS('ON Data'!AH:AH,'ON Data'!$E:$E,9))</f>
        <v>136385</v>
      </c>
      <c r="AD19" s="273">
        <f xml:space="preserve">
IF($A$4&lt;=12,SUMIFS('ON Data'!AI:AI,'ON Data'!$D:$D,$A$4,'ON Data'!$E:$E,9),SUMIFS('ON Data'!AI:AI,'ON Data'!$E:$E,9))</f>
        <v>0</v>
      </c>
      <c r="AE19" s="273">
        <f xml:space="preserve">
IF($A$4&lt;=12,SUMIFS('ON Data'!AJ:AJ,'ON Data'!$D:$D,$A$4,'ON Data'!$E:$E,9),SUMIFS('ON Data'!AJ:AJ,'ON Data'!$E:$E,9))</f>
        <v>0</v>
      </c>
      <c r="AF19" s="273">
        <f xml:space="preserve">
IF($A$4&lt;=12,SUMIFS('ON Data'!AK:AK,'ON Data'!$D:$D,$A$4,'ON Data'!$E:$E,9),SUMIFS('ON Data'!AK:AK,'ON Data'!$E:$E,9))</f>
        <v>0</v>
      </c>
      <c r="AG19" s="273">
        <f xml:space="preserve">
IF($A$4&lt;=12,SUMIFS('ON Data'!AM:AM,'ON Data'!$D:$D,$A$4,'ON Data'!$E:$E,9),SUMIFS('ON Data'!AM:AM,'ON Data'!$E:$E,9))</f>
        <v>95713</v>
      </c>
      <c r="AH19" s="573">
        <f xml:space="preserve">
IF($A$4&lt;=12,SUMIFS('ON Data'!AN:AN,'ON Data'!$D:$D,$A$4,'ON Data'!$E:$E,9),SUMIFS('ON Data'!AN:AN,'ON Data'!$E:$E,9))</f>
        <v>42326</v>
      </c>
      <c r="AI19" s="581"/>
    </row>
    <row r="20" spans="1:35" ht="15" collapsed="1" thickBot="1" x14ac:dyDescent="0.35">
      <c r="A20" s="249" t="s">
        <v>73</v>
      </c>
      <c r="B20" s="274">
        <f xml:space="preserve">
IF($A$4&lt;=12,SUMIFS('ON Data'!F:F,'ON Data'!$D:$D,$A$4,'ON Data'!$E:$E,6),SUMIFS('ON Data'!F:F,'ON Data'!$E:$E,6))</f>
        <v>24780992</v>
      </c>
      <c r="C20" s="275">
        <f xml:space="preserve">
IF($A$4&lt;=12,SUMIFS('ON Data'!G:G,'ON Data'!$D:$D,$A$4,'ON Data'!$E:$E,6),SUMIFS('ON Data'!G:G,'ON Data'!$E:$E,6))</f>
        <v>11100</v>
      </c>
      <c r="D20" s="276">
        <f xml:space="preserve">
IF($A$4&lt;=12,SUMIFS('ON Data'!H:H,'ON Data'!$D:$D,$A$4,'ON Data'!$E:$E,6),SUMIFS('ON Data'!H:H,'ON Data'!$E:$E,6))</f>
        <v>4911926</v>
      </c>
      <c r="E20" s="276">
        <f xml:space="preserve">
IF($A$4&lt;=12,SUMIFS('ON Data'!I:I,'ON Data'!$D:$D,$A$4,'ON Data'!$E:$E,6),SUMIFS('ON Data'!I:I,'ON Data'!$E:$E,6))</f>
        <v>0</v>
      </c>
      <c r="F20" s="276">
        <f xml:space="preserve">
IF($A$4&lt;=12,SUMIFS('ON Data'!K:K,'ON Data'!$D:$D,$A$4,'ON Data'!$E:$E,6),SUMIFS('ON Data'!K:K,'ON Data'!$E:$E,6))</f>
        <v>7950278</v>
      </c>
      <c r="G20" s="276">
        <f xml:space="preserve">
IF($A$4&lt;=12,SUMIFS('ON Data'!L:L,'ON Data'!$D:$D,$A$4,'ON Data'!$E:$E,6),SUMIFS('ON Data'!L:L,'ON Data'!$E:$E,6))</f>
        <v>0</v>
      </c>
      <c r="H20" s="276">
        <f xml:space="preserve">
IF($A$4&lt;=12,SUMIFS('ON Data'!M:M,'ON Data'!$D:$D,$A$4,'ON Data'!$E:$E,6),SUMIFS('ON Data'!M:M,'ON Data'!$E:$E,6))</f>
        <v>0</v>
      </c>
      <c r="I20" s="276">
        <f xml:space="preserve">
IF($A$4&lt;=12,SUMIFS('ON Data'!N:N,'ON Data'!$D:$D,$A$4,'ON Data'!$E:$E,6),SUMIFS('ON Data'!N:N,'ON Data'!$E:$E,6))</f>
        <v>7158290</v>
      </c>
      <c r="J20" s="276">
        <f xml:space="preserve">
IF($A$4&lt;=12,SUMIFS('ON Data'!O:O,'ON Data'!$D:$D,$A$4,'ON Data'!$E:$E,6),SUMIFS('ON Data'!O:O,'ON Data'!$E:$E,6))</f>
        <v>0</v>
      </c>
      <c r="K20" s="276">
        <f xml:space="preserve">
IF($A$4&lt;=12,SUMIFS('ON Data'!P:P,'ON Data'!$D:$D,$A$4,'ON Data'!$E:$E,6),SUMIFS('ON Data'!P:P,'ON Data'!$E:$E,6))</f>
        <v>0</v>
      </c>
      <c r="L20" s="276">
        <f xml:space="preserve">
IF($A$4&lt;=12,SUMIFS('ON Data'!Q:Q,'ON Data'!$D:$D,$A$4,'ON Data'!$E:$E,6),SUMIFS('ON Data'!Q:Q,'ON Data'!$E:$E,6))</f>
        <v>0</v>
      </c>
      <c r="M20" s="276">
        <f xml:space="preserve">
IF($A$4&lt;=12,SUMIFS('ON Data'!R:R,'ON Data'!$D:$D,$A$4,'ON Data'!$E:$E,6),SUMIFS('ON Data'!R:R,'ON Data'!$E:$E,6))</f>
        <v>0</v>
      </c>
      <c r="N20" s="276">
        <f xml:space="preserve">
IF($A$4&lt;=12,SUMIFS('ON Data'!S:S,'ON Data'!$D:$D,$A$4,'ON Data'!$E:$E,6),SUMIFS('ON Data'!S:S,'ON Data'!$E:$E,6))</f>
        <v>0</v>
      </c>
      <c r="O20" s="276">
        <f xml:space="preserve">
IF($A$4&lt;=12,SUMIFS('ON Data'!T:T,'ON Data'!$D:$D,$A$4,'ON Data'!$E:$E,6),SUMIFS('ON Data'!T:T,'ON Data'!$E:$E,6))</f>
        <v>0</v>
      </c>
      <c r="P20" s="276">
        <f xml:space="preserve">
IF($A$4&lt;=12,SUMIFS('ON Data'!U:U,'ON Data'!$D:$D,$A$4,'ON Data'!$E:$E,6),SUMIFS('ON Data'!U:U,'ON Data'!$E:$E,6))</f>
        <v>0</v>
      </c>
      <c r="Q20" s="276">
        <f xml:space="preserve">
IF($A$4&lt;=12,SUMIFS('ON Data'!V:V,'ON Data'!$D:$D,$A$4,'ON Data'!$E:$E,6),SUMIFS('ON Data'!V:V,'ON Data'!$E:$E,6))</f>
        <v>0</v>
      </c>
      <c r="R20" s="276">
        <f xml:space="preserve">
IF($A$4&lt;=12,SUMIFS('ON Data'!W:W,'ON Data'!$D:$D,$A$4,'ON Data'!$E:$E,6),SUMIFS('ON Data'!W:W,'ON Data'!$E:$E,6))</f>
        <v>0</v>
      </c>
      <c r="S20" s="276">
        <f xml:space="preserve">
IF($A$4&lt;=12,SUMIFS('ON Data'!X:X,'ON Data'!$D:$D,$A$4,'ON Data'!$E:$E,6),SUMIFS('ON Data'!X:X,'ON Data'!$E:$E,6))</f>
        <v>0</v>
      </c>
      <c r="T20" s="276">
        <f xml:space="preserve">
IF($A$4&lt;=12,SUMIFS('ON Data'!Y:Y,'ON Data'!$D:$D,$A$4,'ON Data'!$E:$E,6),SUMIFS('ON Data'!Y:Y,'ON Data'!$E:$E,6))</f>
        <v>0</v>
      </c>
      <c r="U20" s="276">
        <f xml:space="preserve">
IF($A$4&lt;=12,SUMIFS('ON Data'!Z:Z,'ON Data'!$D:$D,$A$4,'ON Data'!$E:$E,6),SUMIFS('ON Data'!Z:Z,'ON Data'!$E:$E,6))</f>
        <v>1299918</v>
      </c>
      <c r="V20" s="276">
        <f xml:space="preserve">
IF($A$4&lt;=12,SUMIFS('ON Data'!AA:AA,'ON Data'!$D:$D,$A$4,'ON Data'!$E:$E,6),SUMIFS('ON Data'!AA:AA,'ON Data'!$E:$E,6))</f>
        <v>0</v>
      </c>
      <c r="W20" s="276">
        <f xml:space="preserve">
IF($A$4&lt;=12,SUMIFS('ON Data'!AB:AB,'ON Data'!$D:$D,$A$4,'ON Data'!$E:$E,6),SUMIFS('ON Data'!AB:AB,'ON Data'!$E:$E,6))</f>
        <v>0</v>
      </c>
      <c r="X20" s="276">
        <f xml:space="preserve">
IF($A$4&lt;=12,SUMIFS('ON Data'!AC:AC,'ON Data'!$D:$D,$A$4,'ON Data'!$E:$E,6),SUMIFS('ON Data'!AC:AC,'ON Data'!$E:$E,6))</f>
        <v>58144</v>
      </c>
      <c r="Y20" s="276">
        <f xml:space="preserve">
IF($A$4&lt;=12,SUMIFS('ON Data'!AD:AD,'ON Data'!$D:$D,$A$4,'ON Data'!$E:$E,6),SUMIFS('ON Data'!AD:AD,'ON Data'!$E:$E,6))</f>
        <v>0</v>
      </c>
      <c r="Z20" s="276">
        <f xml:space="preserve">
IF($A$4&lt;=12,SUMIFS('ON Data'!AE:AE,'ON Data'!$D:$D,$A$4,'ON Data'!$E:$E,6),SUMIFS('ON Data'!AE:AE,'ON Data'!$E:$E,6))</f>
        <v>257041</v>
      </c>
      <c r="AA20" s="276">
        <f xml:space="preserve">
IF($A$4&lt;=12,SUMIFS('ON Data'!AF:AF,'ON Data'!$D:$D,$A$4,'ON Data'!$E:$E,6),SUMIFS('ON Data'!AF:AF,'ON Data'!$E:$E,6))</f>
        <v>0</v>
      </c>
      <c r="AB20" s="276">
        <f xml:space="preserve">
IF($A$4&lt;=12,SUMIFS('ON Data'!AG:AG,'ON Data'!$D:$D,$A$4,'ON Data'!$E:$E,6),SUMIFS('ON Data'!AG:AG,'ON Data'!$E:$E,6))</f>
        <v>0</v>
      </c>
      <c r="AC20" s="276">
        <f xml:space="preserve">
IF($A$4&lt;=12,SUMIFS('ON Data'!AH:AH,'ON Data'!$D:$D,$A$4,'ON Data'!$E:$E,6),SUMIFS('ON Data'!AH:AH,'ON Data'!$E:$E,6))</f>
        <v>1375057</v>
      </c>
      <c r="AD20" s="276">
        <f xml:space="preserve">
IF($A$4&lt;=12,SUMIFS('ON Data'!AI:AI,'ON Data'!$D:$D,$A$4,'ON Data'!$E:$E,6),SUMIFS('ON Data'!AI:AI,'ON Data'!$E:$E,6))</f>
        <v>0</v>
      </c>
      <c r="AE20" s="276">
        <f xml:space="preserve">
IF($A$4&lt;=12,SUMIFS('ON Data'!AJ:AJ,'ON Data'!$D:$D,$A$4,'ON Data'!$E:$E,6),SUMIFS('ON Data'!AJ:AJ,'ON Data'!$E:$E,6))</f>
        <v>0</v>
      </c>
      <c r="AF20" s="276">
        <f xml:space="preserve">
IF($A$4&lt;=12,SUMIFS('ON Data'!AK:AK,'ON Data'!$D:$D,$A$4,'ON Data'!$E:$E,6),SUMIFS('ON Data'!AK:AK,'ON Data'!$E:$E,6))</f>
        <v>0</v>
      </c>
      <c r="AG20" s="276">
        <f xml:space="preserve">
IF($A$4&lt;=12,SUMIFS('ON Data'!AM:AM,'ON Data'!$D:$D,$A$4,'ON Data'!$E:$E,6),SUMIFS('ON Data'!AM:AM,'ON Data'!$E:$E,6))</f>
        <v>1291174</v>
      </c>
      <c r="AH20" s="574">
        <f xml:space="preserve">
IF($A$4&lt;=12,SUMIFS('ON Data'!AN:AN,'ON Data'!$D:$D,$A$4,'ON Data'!$E:$E,6),SUMIFS('ON Data'!AN:AN,'ON Data'!$E:$E,6))</f>
        <v>468064</v>
      </c>
      <c r="AI20" s="581"/>
    </row>
    <row r="21" spans="1:35" ht="15" hidden="1" outlineLevel="1" thickBot="1" x14ac:dyDescent="0.35">
      <c r="A21" s="242" t="s">
        <v>108</v>
      </c>
      <c r="B21" s="262">
        <f xml:space="preserve">
IF($A$4&lt;=12,SUMIFS('ON Data'!F:F,'ON Data'!$D:$D,$A$4,'ON Data'!$E:$E,12),SUMIFS('ON Data'!F:F,'ON Data'!$E:$E,12))</f>
        <v>0</v>
      </c>
      <c r="C21" s="263">
        <f xml:space="preserve">
IF($A$4&lt;=12,SUMIFS('ON Data'!G:G,'ON Data'!$D:$D,$A$4,'ON Data'!$E:$E,12),SUMIFS('ON Data'!G:G,'ON Data'!$E:$E,12))</f>
        <v>0</v>
      </c>
      <c r="D21" s="264">
        <f xml:space="preserve">
IF($A$4&lt;=12,SUMIFS('ON Data'!H:H,'ON Data'!$D:$D,$A$4,'ON Data'!$E:$E,12),SUMIFS('ON Data'!H:H,'ON Data'!$E:$E,12))</f>
        <v>0</v>
      </c>
      <c r="E21" s="264">
        <f xml:space="preserve">
IF($A$4&lt;=12,SUMIFS('ON Data'!I:I,'ON Data'!$D:$D,$A$4,'ON Data'!$E:$E,12),SUMIFS('ON Data'!I:I,'ON Data'!$E:$E,12))</f>
        <v>0</v>
      </c>
      <c r="F21" s="264">
        <f xml:space="preserve">
IF($A$4&lt;=12,SUMIFS('ON Data'!K:K,'ON Data'!$D:$D,$A$4,'ON Data'!$E:$E,12),SUMIFS('ON Data'!K:K,'ON Data'!$E:$E,12))</f>
        <v>0</v>
      </c>
      <c r="G21" s="264">
        <f xml:space="preserve">
IF($A$4&lt;=12,SUMIFS('ON Data'!L:L,'ON Data'!$D:$D,$A$4,'ON Data'!$E:$E,12),SUMIFS('ON Data'!L:L,'ON Data'!$E:$E,12))</f>
        <v>0</v>
      </c>
      <c r="H21" s="264">
        <f xml:space="preserve">
IF($A$4&lt;=12,SUMIFS('ON Data'!M:M,'ON Data'!$D:$D,$A$4,'ON Data'!$E:$E,12),SUMIFS('ON Data'!M:M,'ON Data'!$E:$E,12))</f>
        <v>0</v>
      </c>
      <c r="I21" s="264">
        <f xml:space="preserve">
IF($A$4&lt;=12,SUMIFS('ON Data'!N:N,'ON Data'!$D:$D,$A$4,'ON Data'!$E:$E,12),SUMIFS('ON Data'!N:N,'ON Data'!$E:$E,12))</f>
        <v>0</v>
      </c>
      <c r="J21" s="264">
        <f xml:space="preserve">
IF($A$4&lt;=12,SUMIFS('ON Data'!O:O,'ON Data'!$D:$D,$A$4,'ON Data'!$E:$E,12),SUMIFS('ON Data'!O:O,'ON Data'!$E:$E,12))</f>
        <v>0</v>
      </c>
      <c r="K21" s="264">
        <f xml:space="preserve">
IF($A$4&lt;=12,SUMIFS('ON Data'!P:P,'ON Data'!$D:$D,$A$4,'ON Data'!$E:$E,12),SUMIFS('ON Data'!P:P,'ON Data'!$E:$E,12))</f>
        <v>0</v>
      </c>
      <c r="L21" s="264">
        <f xml:space="preserve">
IF($A$4&lt;=12,SUMIFS('ON Data'!Q:Q,'ON Data'!$D:$D,$A$4,'ON Data'!$E:$E,12),SUMIFS('ON Data'!Q:Q,'ON Data'!$E:$E,12))</f>
        <v>0</v>
      </c>
      <c r="M21" s="264">
        <f xml:space="preserve">
IF($A$4&lt;=12,SUMIFS('ON Data'!R:R,'ON Data'!$D:$D,$A$4,'ON Data'!$E:$E,12),SUMIFS('ON Data'!R:R,'ON Data'!$E:$E,12))</f>
        <v>0</v>
      </c>
      <c r="N21" s="264">
        <f xml:space="preserve">
IF($A$4&lt;=12,SUMIFS('ON Data'!S:S,'ON Data'!$D:$D,$A$4,'ON Data'!$E:$E,12),SUMIFS('ON Data'!S:S,'ON Data'!$E:$E,12))</f>
        <v>0</v>
      </c>
      <c r="O21" s="264">
        <f xml:space="preserve">
IF($A$4&lt;=12,SUMIFS('ON Data'!T:T,'ON Data'!$D:$D,$A$4,'ON Data'!$E:$E,12),SUMIFS('ON Data'!T:T,'ON Data'!$E:$E,12))</f>
        <v>0</v>
      </c>
      <c r="P21" s="264">
        <f xml:space="preserve">
IF($A$4&lt;=12,SUMIFS('ON Data'!U:U,'ON Data'!$D:$D,$A$4,'ON Data'!$E:$E,12),SUMIFS('ON Data'!U:U,'ON Data'!$E:$E,12))</f>
        <v>0</v>
      </c>
      <c r="Q21" s="264">
        <f xml:space="preserve">
IF($A$4&lt;=12,SUMIFS('ON Data'!V:V,'ON Data'!$D:$D,$A$4,'ON Data'!$E:$E,12),SUMIFS('ON Data'!V:V,'ON Data'!$E:$E,12))</f>
        <v>0</v>
      </c>
      <c r="R21" s="264">
        <f xml:space="preserve">
IF($A$4&lt;=12,SUMIFS('ON Data'!W:W,'ON Data'!$D:$D,$A$4,'ON Data'!$E:$E,12),SUMIFS('ON Data'!W:W,'ON Data'!$E:$E,12))</f>
        <v>0</v>
      </c>
      <c r="S21" s="264">
        <f xml:space="preserve">
IF($A$4&lt;=12,SUMIFS('ON Data'!X:X,'ON Data'!$D:$D,$A$4,'ON Data'!$E:$E,12),SUMIFS('ON Data'!X:X,'ON Data'!$E:$E,12))</f>
        <v>0</v>
      </c>
      <c r="T21" s="264">
        <f xml:space="preserve">
IF($A$4&lt;=12,SUMIFS('ON Data'!Y:Y,'ON Data'!$D:$D,$A$4,'ON Data'!$E:$E,12),SUMIFS('ON Data'!Y:Y,'ON Data'!$E:$E,12))</f>
        <v>0</v>
      </c>
      <c r="U21" s="264">
        <f xml:space="preserve">
IF($A$4&lt;=12,SUMIFS('ON Data'!Z:Z,'ON Data'!$D:$D,$A$4,'ON Data'!$E:$E,12),SUMIFS('ON Data'!Z:Z,'ON Data'!$E:$E,12))</f>
        <v>0</v>
      </c>
      <c r="V21" s="264">
        <f xml:space="preserve">
IF($A$4&lt;=12,SUMIFS('ON Data'!AA:AA,'ON Data'!$D:$D,$A$4,'ON Data'!$E:$E,12),SUMIFS('ON Data'!AA:AA,'ON Data'!$E:$E,12))</f>
        <v>0</v>
      </c>
      <c r="W21" s="264">
        <f xml:space="preserve">
IF($A$4&lt;=12,SUMIFS('ON Data'!AB:AB,'ON Data'!$D:$D,$A$4,'ON Data'!$E:$E,12),SUMIFS('ON Data'!AB:AB,'ON Data'!$E:$E,12))</f>
        <v>0</v>
      </c>
      <c r="X21" s="264">
        <f xml:space="preserve">
IF($A$4&lt;=12,SUMIFS('ON Data'!AC:AC,'ON Data'!$D:$D,$A$4,'ON Data'!$E:$E,12),SUMIFS('ON Data'!AC:AC,'ON Data'!$E:$E,12))</f>
        <v>0</v>
      </c>
      <c r="Y21" s="264">
        <f xml:space="preserve">
IF($A$4&lt;=12,SUMIFS('ON Data'!AD:AD,'ON Data'!$D:$D,$A$4,'ON Data'!$E:$E,12),SUMIFS('ON Data'!AD:AD,'ON Data'!$E:$E,12))</f>
        <v>0</v>
      </c>
      <c r="Z21" s="264">
        <f xml:space="preserve">
IF($A$4&lt;=12,SUMIFS('ON Data'!AE:AE,'ON Data'!$D:$D,$A$4,'ON Data'!$E:$E,12),SUMIFS('ON Data'!AE:AE,'ON Data'!$E:$E,12))</f>
        <v>0</v>
      </c>
      <c r="AA21" s="264">
        <f xml:space="preserve">
IF($A$4&lt;=12,SUMIFS('ON Data'!AF:AF,'ON Data'!$D:$D,$A$4,'ON Data'!$E:$E,12),SUMIFS('ON Data'!AF:AF,'ON Data'!$E:$E,12))</f>
        <v>0</v>
      </c>
      <c r="AB21" s="264">
        <f xml:space="preserve">
IF($A$4&lt;=12,SUMIFS('ON Data'!AG:AG,'ON Data'!$D:$D,$A$4,'ON Data'!$E:$E,12),SUMIFS('ON Data'!AG:AG,'ON Data'!$E:$E,12))</f>
        <v>0</v>
      </c>
      <c r="AC21" s="264">
        <f xml:space="preserve">
IF($A$4&lt;=12,SUMIFS('ON Data'!AH:AH,'ON Data'!$D:$D,$A$4,'ON Data'!$E:$E,12),SUMIFS('ON Data'!AH:AH,'ON Data'!$E:$E,12))</f>
        <v>0</v>
      </c>
      <c r="AD21" s="264">
        <f xml:space="preserve">
IF($A$4&lt;=12,SUMIFS('ON Data'!AI:AI,'ON Data'!$D:$D,$A$4,'ON Data'!$E:$E,12),SUMIFS('ON Data'!AI:AI,'ON Data'!$E:$E,12))</f>
        <v>0</v>
      </c>
      <c r="AE21" s="264">
        <f xml:space="preserve">
IF($A$4&lt;=12,SUMIFS('ON Data'!AJ:AJ,'ON Data'!$D:$D,$A$4,'ON Data'!$E:$E,12),SUMIFS('ON Data'!AJ:AJ,'ON Data'!$E:$E,12))</f>
        <v>0</v>
      </c>
      <c r="AF21" s="264">
        <f xml:space="preserve">
IF($A$4&lt;=12,SUMIFS('ON Data'!AK:AK,'ON Data'!$D:$D,$A$4,'ON Data'!$E:$E,12),SUMIFS('ON Data'!AK:AK,'ON Data'!$E:$E,12))</f>
        <v>0</v>
      </c>
      <c r="AG21" s="264">
        <f xml:space="preserve">
IF($A$4&lt;=12,SUMIFS('ON Data'!AM:AM,'ON Data'!$D:$D,$A$4,'ON Data'!$E:$E,12),SUMIFS('ON Data'!AM:AM,'ON Data'!$E:$E,12))</f>
        <v>0</v>
      </c>
      <c r="AH21" s="570">
        <f xml:space="preserve">
IF($A$4&lt;=12,SUMIFS('ON Data'!AN:AN,'ON Data'!$D:$D,$A$4,'ON Data'!$E:$E,12),SUMIFS('ON Data'!AN:AN,'ON Data'!$E:$E,12))</f>
        <v>0</v>
      </c>
      <c r="AI21" s="581"/>
    </row>
    <row r="22" spans="1:35" ht="15" hidden="1" outlineLevel="1" thickBot="1" x14ac:dyDescent="0.35">
      <c r="A22" s="242" t="s">
        <v>75</v>
      </c>
      <c r="B22" s="318" t="str">
        <f xml:space="preserve">
IF(OR(B21="",B21=0),"",B20/B21)</f>
        <v/>
      </c>
      <c r="C22" s="319" t="str">
        <f t="shared" ref="C22:AH22" si="2" xml:space="preserve">
IF(OR(C21="",C21=0),"",C20/C21)</f>
        <v/>
      </c>
      <c r="D22" s="320" t="str">
        <f t="shared" si="2"/>
        <v/>
      </c>
      <c r="E22" s="320" t="str">
        <f t="shared" si="2"/>
        <v/>
      </c>
      <c r="F22" s="320" t="str">
        <f t="shared" si="2"/>
        <v/>
      </c>
      <c r="G22" s="320" t="str">
        <f t="shared" si="2"/>
        <v/>
      </c>
      <c r="H22" s="320" t="str">
        <f t="shared" si="2"/>
        <v/>
      </c>
      <c r="I22" s="320" t="str">
        <f t="shared" si="2"/>
        <v/>
      </c>
      <c r="J22" s="320" t="str">
        <f t="shared" si="2"/>
        <v/>
      </c>
      <c r="K22" s="320" t="str">
        <f t="shared" si="2"/>
        <v/>
      </c>
      <c r="L22" s="320" t="str">
        <f t="shared" si="2"/>
        <v/>
      </c>
      <c r="M22" s="320" t="str">
        <f t="shared" si="2"/>
        <v/>
      </c>
      <c r="N22" s="320" t="str">
        <f t="shared" si="2"/>
        <v/>
      </c>
      <c r="O22" s="320" t="str">
        <f t="shared" si="2"/>
        <v/>
      </c>
      <c r="P22" s="320" t="str">
        <f t="shared" si="2"/>
        <v/>
      </c>
      <c r="Q22" s="320" t="str">
        <f t="shared" si="2"/>
        <v/>
      </c>
      <c r="R22" s="320" t="str">
        <f t="shared" si="2"/>
        <v/>
      </c>
      <c r="S22" s="320" t="str">
        <f t="shared" si="2"/>
        <v/>
      </c>
      <c r="T22" s="320" t="str">
        <f t="shared" si="2"/>
        <v/>
      </c>
      <c r="U22" s="320" t="str">
        <f t="shared" si="2"/>
        <v/>
      </c>
      <c r="V22" s="320" t="str">
        <f t="shared" si="2"/>
        <v/>
      </c>
      <c r="W22" s="320" t="str">
        <f t="shared" si="2"/>
        <v/>
      </c>
      <c r="X22" s="320" t="str">
        <f t="shared" si="2"/>
        <v/>
      </c>
      <c r="Y22" s="320" t="str">
        <f t="shared" si="2"/>
        <v/>
      </c>
      <c r="Z22" s="320" t="str">
        <f t="shared" si="2"/>
        <v/>
      </c>
      <c r="AA22" s="320" t="str">
        <f t="shared" si="2"/>
        <v/>
      </c>
      <c r="AB22" s="320" t="str">
        <f t="shared" si="2"/>
        <v/>
      </c>
      <c r="AC22" s="320" t="str">
        <f t="shared" si="2"/>
        <v/>
      </c>
      <c r="AD22" s="320" t="str">
        <f t="shared" si="2"/>
        <v/>
      </c>
      <c r="AE22" s="320" t="str">
        <f t="shared" si="2"/>
        <v/>
      </c>
      <c r="AF22" s="320" t="str">
        <f t="shared" si="2"/>
        <v/>
      </c>
      <c r="AG22" s="320" t="str">
        <f t="shared" si="2"/>
        <v/>
      </c>
      <c r="AH22" s="575" t="str">
        <f t="shared" si="2"/>
        <v/>
      </c>
      <c r="AI22" s="581"/>
    </row>
    <row r="23" spans="1:35" ht="15" hidden="1" outlineLevel="1" thickBot="1" x14ac:dyDescent="0.35">
      <c r="A23" s="250" t="s">
        <v>68</v>
      </c>
      <c r="B23" s="265">
        <f xml:space="preserve">
IF(B21="","",B20-B21)</f>
        <v>24780992</v>
      </c>
      <c r="C23" s="266">
        <f t="shared" ref="C23:AH23" si="3" xml:space="preserve">
IF(C21="","",C20-C21)</f>
        <v>11100</v>
      </c>
      <c r="D23" s="267">
        <f t="shared" si="3"/>
        <v>4911926</v>
      </c>
      <c r="E23" s="267">
        <f t="shared" si="3"/>
        <v>0</v>
      </c>
      <c r="F23" s="267">
        <f t="shared" si="3"/>
        <v>7950278</v>
      </c>
      <c r="G23" s="267">
        <f t="shared" si="3"/>
        <v>0</v>
      </c>
      <c r="H23" s="267">
        <f t="shared" si="3"/>
        <v>0</v>
      </c>
      <c r="I23" s="267">
        <f t="shared" si="3"/>
        <v>7158290</v>
      </c>
      <c r="J23" s="267">
        <f t="shared" si="3"/>
        <v>0</v>
      </c>
      <c r="K23" s="267">
        <f t="shared" si="3"/>
        <v>0</v>
      </c>
      <c r="L23" s="267">
        <f t="shared" si="3"/>
        <v>0</v>
      </c>
      <c r="M23" s="267">
        <f t="shared" si="3"/>
        <v>0</v>
      </c>
      <c r="N23" s="267">
        <f t="shared" si="3"/>
        <v>0</v>
      </c>
      <c r="O23" s="267">
        <f t="shared" si="3"/>
        <v>0</v>
      </c>
      <c r="P23" s="267">
        <f t="shared" si="3"/>
        <v>0</v>
      </c>
      <c r="Q23" s="267">
        <f t="shared" si="3"/>
        <v>0</v>
      </c>
      <c r="R23" s="267">
        <f t="shared" si="3"/>
        <v>0</v>
      </c>
      <c r="S23" s="267">
        <f t="shared" si="3"/>
        <v>0</v>
      </c>
      <c r="T23" s="267">
        <f t="shared" si="3"/>
        <v>0</v>
      </c>
      <c r="U23" s="267">
        <f t="shared" si="3"/>
        <v>1299918</v>
      </c>
      <c r="V23" s="267">
        <f t="shared" si="3"/>
        <v>0</v>
      </c>
      <c r="W23" s="267">
        <f t="shared" si="3"/>
        <v>0</v>
      </c>
      <c r="X23" s="267">
        <f t="shared" si="3"/>
        <v>58144</v>
      </c>
      <c r="Y23" s="267">
        <f t="shared" si="3"/>
        <v>0</v>
      </c>
      <c r="Z23" s="267">
        <f t="shared" si="3"/>
        <v>257041</v>
      </c>
      <c r="AA23" s="267">
        <f t="shared" si="3"/>
        <v>0</v>
      </c>
      <c r="AB23" s="267">
        <f t="shared" si="3"/>
        <v>0</v>
      </c>
      <c r="AC23" s="267">
        <f t="shared" si="3"/>
        <v>1375057</v>
      </c>
      <c r="AD23" s="267">
        <f t="shared" si="3"/>
        <v>0</v>
      </c>
      <c r="AE23" s="267">
        <f t="shared" si="3"/>
        <v>0</v>
      </c>
      <c r="AF23" s="267">
        <f t="shared" si="3"/>
        <v>0</v>
      </c>
      <c r="AG23" s="267">
        <f t="shared" si="3"/>
        <v>1291174</v>
      </c>
      <c r="AH23" s="571">
        <f t="shared" si="3"/>
        <v>468064</v>
      </c>
      <c r="AI23" s="581"/>
    </row>
    <row r="24" spans="1:35" x14ac:dyDescent="0.3">
      <c r="A24" s="244" t="s">
        <v>222</v>
      </c>
      <c r="B24" s="291" t="s">
        <v>3</v>
      </c>
      <c r="C24" s="582" t="s">
        <v>233</v>
      </c>
      <c r="D24" s="555"/>
      <c r="E24" s="556"/>
      <c r="F24" s="556" t="s">
        <v>234</v>
      </c>
      <c r="G24" s="556"/>
      <c r="H24" s="556"/>
      <c r="I24" s="556"/>
      <c r="J24" s="556"/>
      <c r="K24" s="556"/>
      <c r="L24" s="556"/>
      <c r="M24" s="556"/>
      <c r="N24" s="556"/>
      <c r="O24" s="556"/>
      <c r="P24" s="556"/>
      <c r="Q24" s="556"/>
      <c r="R24" s="556"/>
      <c r="S24" s="556"/>
      <c r="T24" s="556"/>
      <c r="U24" s="556"/>
      <c r="V24" s="556"/>
      <c r="W24" s="556"/>
      <c r="X24" s="556"/>
      <c r="Y24" s="556"/>
      <c r="Z24" s="556"/>
      <c r="AA24" s="556"/>
      <c r="AB24" s="556"/>
      <c r="AC24" s="556"/>
      <c r="AD24" s="556"/>
      <c r="AE24" s="556"/>
      <c r="AF24" s="556"/>
      <c r="AG24" s="556" t="s">
        <v>235</v>
      </c>
      <c r="AH24" s="576"/>
      <c r="AI24" s="581"/>
    </row>
    <row r="25" spans="1:35" x14ac:dyDescent="0.3">
      <c r="A25" s="245" t="s">
        <v>73</v>
      </c>
      <c r="B25" s="262">
        <f xml:space="preserve">
SUM(C25:AH25)</f>
        <v>54204.1</v>
      </c>
      <c r="C25" s="583">
        <f xml:space="preserve">
IF($A$4&lt;=12,SUMIFS('ON Data'!H:H,'ON Data'!$D:$D,$A$4,'ON Data'!$E:$E,10),SUMIFS('ON Data'!H:H,'ON Data'!$E:$E,10))</f>
        <v>4300</v>
      </c>
      <c r="D25" s="557"/>
      <c r="E25" s="558"/>
      <c r="F25" s="558">
        <f xml:space="preserve">
IF($A$4&lt;=12,SUMIFS('ON Data'!K:K,'ON Data'!$D:$D,$A$4,'ON Data'!$E:$E,10),SUMIFS('ON Data'!K:K,'ON Data'!$E:$E,10))</f>
        <v>49904.1</v>
      </c>
      <c r="G25" s="558"/>
      <c r="H25" s="558"/>
      <c r="I25" s="558"/>
      <c r="J25" s="558"/>
      <c r="K25" s="558"/>
      <c r="L25" s="558"/>
      <c r="M25" s="558"/>
      <c r="N25" s="558"/>
      <c r="O25" s="558"/>
      <c r="P25" s="558"/>
      <c r="Q25" s="558"/>
      <c r="R25" s="558"/>
      <c r="S25" s="558"/>
      <c r="T25" s="558"/>
      <c r="U25" s="558"/>
      <c r="V25" s="558"/>
      <c r="W25" s="558"/>
      <c r="X25" s="558"/>
      <c r="Y25" s="558"/>
      <c r="Z25" s="558"/>
      <c r="AA25" s="558"/>
      <c r="AB25" s="558"/>
      <c r="AC25" s="558"/>
      <c r="AD25" s="558"/>
      <c r="AE25" s="558"/>
      <c r="AF25" s="558"/>
      <c r="AG25" s="558">
        <f xml:space="preserve">
IF($A$4&lt;=12,SUMIFS('ON Data'!AM:AM,'ON Data'!$D:$D,$A$4,'ON Data'!$E:$E,10),SUMIFS('ON Data'!AM:AM,'ON Data'!$E:$E,10))</f>
        <v>0</v>
      </c>
      <c r="AH25" s="577"/>
      <c r="AI25" s="581"/>
    </row>
    <row r="26" spans="1:35" x14ac:dyDescent="0.3">
      <c r="A26" s="251" t="s">
        <v>232</v>
      </c>
      <c r="B26" s="271">
        <f xml:space="preserve">
SUM(C26:AH26)</f>
        <v>70140</v>
      </c>
      <c r="C26" s="583">
        <f xml:space="preserve">
IF($A$4&lt;=12,SUMIFS('ON Data'!H:H,'ON Data'!$D:$D,$A$4,'ON Data'!$E:$E,11),SUMIFS('ON Data'!H:H,'ON Data'!$E:$E,11))</f>
        <v>25140</v>
      </c>
      <c r="D26" s="557"/>
      <c r="E26" s="558"/>
      <c r="F26" s="559">
        <f xml:space="preserve">
IF($A$4&lt;=12,SUMIFS('ON Data'!K:K,'ON Data'!$D:$D,$A$4,'ON Data'!$E:$E,11),SUMIFS('ON Data'!K:K,'ON Data'!$E:$E,11))</f>
        <v>45000</v>
      </c>
      <c r="G26" s="559"/>
      <c r="H26" s="559"/>
      <c r="I26" s="559"/>
      <c r="J26" s="559"/>
      <c r="K26" s="559"/>
      <c r="L26" s="559"/>
      <c r="M26" s="559"/>
      <c r="N26" s="559"/>
      <c r="O26" s="559"/>
      <c r="P26" s="559"/>
      <c r="Q26" s="559"/>
      <c r="R26" s="559"/>
      <c r="S26" s="559"/>
      <c r="T26" s="559"/>
      <c r="U26" s="559"/>
      <c r="V26" s="559"/>
      <c r="W26" s="559"/>
      <c r="X26" s="559"/>
      <c r="Y26" s="559"/>
      <c r="Z26" s="559"/>
      <c r="AA26" s="559"/>
      <c r="AB26" s="559"/>
      <c r="AC26" s="559"/>
      <c r="AD26" s="559"/>
      <c r="AE26" s="559"/>
      <c r="AF26" s="559"/>
      <c r="AG26" s="558">
        <f xml:space="preserve">
IF($A$4&lt;=12,SUMIFS('ON Data'!AM:AM,'ON Data'!$D:$D,$A$4,'ON Data'!$E:$E,11),SUMIFS('ON Data'!AM:AM,'ON Data'!$E:$E,11))</f>
        <v>0</v>
      </c>
      <c r="AH26" s="578"/>
      <c r="AI26" s="581"/>
    </row>
    <row r="27" spans="1:35" x14ac:dyDescent="0.3">
      <c r="A27" s="251" t="s">
        <v>75</v>
      </c>
      <c r="B27" s="292">
        <f xml:space="preserve">
IF(B26=0,0,B25/B26)</f>
        <v>0.77279868833761045</v>
      </c>
      <c r="C27" s="584">
        <f xml:space="preserve">
IF(C26=0,0,C25/C26)</f>
        <v>0.17104216388225935</v>
      </c>
      <c r="D27" s="560"/>
      <c r="E27" s="561"/>
      <c r="F27" s="561">
        <f xml:space="preserve">
IF(F26=0,0,F25/F26)</f>
        <v>1.1089800000000001</v>
      </c>
      <c r="G27" s="561"/>
      <c r="H27" s="561"/>
      <c r="I27" s="561"/>
      <c r="J27" s="561"/>
      <c r="K27" s="561"/>
      <c r="L27" s="561"/>
      <c r="M27" s="561"/>
      <c r="N27" s="561"/>
      <c r="O27" s="561"/>
      <c r="P27" s="561"/>
      <c r="Q27" s="561"/>
      <c r="R27" s="561"/>
      <c r="S27" s="561"/>
      <c r="T27" s="561"/>
      <c r="U27" s="561"/>
      <c r="V27" s="561"/>
      <c r="W27" s="561"/>
      <c r="X27" s="561"/>
      <c r="Y27" s="561"/>
      <c r="Z27" s="561"/>
      <c r="AA27" s="561"/>
      <c r="AB27" s="561"/>
      <c r="AC27" s="561"/>
      <c r="AD27" s="561"/>
      <c r="AE27" s="561"/>
      <c r="AF27" s="561"/>
      <c r="AG27" s="561">
        <f xml:space="preserve">
IF(AG26=0,0,AG25/AG26)</f>
        <v>0</v>
      </c>
      <c r="AH27" s="579"/>
      <c r="AI27" s="581"/>
    </row>
    <row r="28" spans="1:35" ht="15" thickBot="1" x14ac:dyDescent="0.35">
      <c r="A28" s="251" t="s">
        <v>231</v>
      </c>
      <c r="B28" s="271">
        <f xml:space="preserve">
SUM(C28:AH28)</f>
        <v>15935.900000000001</v>
      </c>
      <c r="C28" s="585">
        <f xml:space="preserve">
C26-C25</f>
        <v>20840</v>
      </c>
      <c r="D28" s="562"/>
      <c r="E28" s="563"/>
      <c r="F28" s="563">
        <f xml:space="preserve">
F26-F25</f>
        <v>-4904.0999999999985</v>
      </c>
      <c r="G28" s="563"/>
      <c r="H28" s="563"/>
      <c r="I28" s="563"/>
      <c r="J28" s="563"/>
      <c r="K28" s="563"/>
      <c r="L28" s="563"/>
      <c r="M28" s="563"/>
      <c r="N28" s="563"/>
      <c r="O28" s="563"/>
      <c r="P28" s="563"/>
      <c r="Q28" s="563"/>
      <c r="R28" s="563"/>
      <c r="S28" s="563"/>
      <c r="T28" s="563"/>
      <c r="U28" s="563"/>
      <c r="V28" s="563"/>
      <c r="W28" s="563"/>
      <c r="X28" s="563"/>
      <c r="Y28" s="563"/>
      <c r="Z28" s="563"/>
      <c r="AA28" s="563"/>
      <c r="AB28" s="563"/>
      <c r="AC28" s="563"/>
      <c r="AD28" s="563"/>
      <c r="AE28" s="563"/>
      <c r="AF28" s="563"/>
      <c r="AG28" s="563">
        <f xml:space="preserve">
AG26-AG25</f>
        <v>0</v>
      </c>
      <c r="AH28" s="580"/>
      <c r="AI28" s="581"/>
    </row>
    <row r="29" spans="1:35" x14ac:dyDescent="0.3">
      <c r="A29" s="252"/>
      <c r="B29" s="252"/>
      <c r="C29" s="253"/>
      <c r="D29" s="252"/>
      <c r="E29" s="252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3"/>
      <c r="U29" s="253"/>
      <c r="V29" s="253"/>
      <c r="W29" s="253"/>
      <c r="X29" s="253"/>
      <c r="Y29" s="253"/>
      <c r="Z29" s="253"/>
      <c r="AA29" s="253"/>
      <c r="AB29" s="253"/>
      <c r="AC29" s="253"/>
      <c r="AD29" s="253"/>
      <c r="AE29" s="252"/>
      <c r="AF29" s="252"/>
      <c r="AG29" s="252"/>
      <c r="AH29" s="252"/>
    </row>
    <row r="30" spans="1:35" x14ac:dyDescent="0.3">
      <c r="A30" s="113" t="s">
        <v>162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51"/>
      <c r="AH30" s="151"/>
    </row>
    <row r="31" spans="1:35" x14ac:dyDescent="0.3">
      <c r="A31" s="114" t="s">
        <v>229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51"/>
      <c r="AH31" s="151"/>
    </row>
    <row r="32" spans="1:35" ht="14.4" customHeight="1" x14ac:dyDescent="0.3">
      <c r="A32" s="288" t="s">
        <v>226</v>
      </c>
      <c r="B32" s="289"/>
      <c r="C32" s="289"/>
      <c r="D32" s="289"/>
      <c r="E32" s="289"/>
      <c r="F32" s="289"/>
      <c r="G32" s="289"/>
      <c r="H32" s="289"/>
      <c r="I32" s="289"/>
      <c r="J32" s="289"/>
      <c r="K32" s="289"/>
      <c r="L32" s="289"/>
      <c r="M32" s="289"/>
      <c r="N32" s="289"/>
      <c r="O32" s="289"/>
      <c r="P32" s="289"/>
      <c r="Q32" s="289"/>
      <c r="R32" s="289"/>
      <c r="S32" s="289"/>
      <c r="T32" s="289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</row>
    <row r="33" spans="1:1" x14ac:dyDescent="0.3">
      <c r="A33" s="290" t="s">
        <v>236</v>
      </c>
    </row>
    <row r="34" spans="1:1" x14ac:dyDescent="0.3">
      <c r="A34" s="290" t="s">
        <v>237</v>
      </c>
    </row>
    <row r="35" spans="1:1" x14ac:dyDescent="0.3">
      <c r="A35" s="290" t="s">
        <v>238</v>
      </c>
    </row>
    <row r="36" spans="1:1" x14ac:dyDescent="0.3">
      <c r="A36" s="290" t="s">
        <v>239</v>
      </c>
    </row>
  </sheetData>
  <mergeCells count="17">
    <mergeCell ref="A1:AH1"/>
    <mergeCell ref="B3:B4"/>
    <mergeCell ref="AG24:AH24"/>
    <mergeCell ref="AG25:AH25"/>
    <mergeCell ref="C24:E24"/>
    <mergeCell ref="AG26:AH26"/>
    <mergeCell ref="C25:E25"/>
    <mergeCell ref="C26:E26"/>
    <mergeCell ref="F24:AF24"/>
    <mergeCell ref="F25:AF25"/>
    <mergeCell ref="F26:AF26"/>
    <mergeCell ref="C28:E28"/>
    <mergeCell ref="AG27:AH27"/>
    <mergeCell ref="AG28:AH28"/>
    <mergeCell ref="C27:E27"/>
    <mergeCell ref="F27:AF27"/>
    <mergeCell ref="F28:AF28"/>
  </mergeCells>
  <conditionalFormatting sqref="C27 AG27 F27">
    <cfRule type="cellIs" dxfId="4" priority="4" operator="greaterThan">
      <formula>1</formula>
    </cfRule>
  </conditionalFormatting>
  <conditionalFormatting sqref="C28 AG28 F28">
    <cfRule type="cellIs" dxfId="3" priority="3" operator="lessThan">
      <formula>0</formula>
    </cfRule>
  </conditionalFormatting>
  <conditionalFormatting sqref="B22:AH22">
    <cfRule type="cellIs" dxfId="2" priority="2" operator="greaterThan">
      <formula>1</formula>
    </cfRule>
  </conditionalFormatting>
  <conditionalFormatting sqref="B23:AH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25" t="s">
        <v>122</v>
      </c>
      <c r="B1" s="325"/>
      <c r="C1" s="326"/>
      <c r="D1" s="326"/>
      <c r="E1" s="326"/>
    </row>
    <row r="2" spans="1:5" ht="14.4" customHeight="1" thickBot="1" x14ac:dyDescent="0.35">
      <c r="A2" s="235" t="s">
        <v>282</v>
      </c>
      <c r="B2" s="152"/>
    </row>
    <row r="3" spans="1:5" ht="14.4" customHeight="1" thickBot="1" x14ac:dyDescent="0.35">
      <c r="A3" s="155"/>
      <c r="C3" s="156" t="s">
        <v>108</v>
      </c>
      <c r="D3" s="157" t="s">
        <v>73</v>
      </c>
      <c r="E3" s="158" t="s">
        <v>75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38368.721461645699</v>
      </c>
      <c r="D4" s="161">
        <f ca="1">IF(ISERROR(VLOOKUP("Náklady celkem",INDIRECT("HI!$A:$G"),5,0)),0,VLOOKUP("Náklady celkem",INDIRECT("HI!$A:$G"),5,0))</f>
        <v>36451.156950000011</v>
      </c>
      <c r="E4" s="162">
        <f ca="1">IF(C4=0,0,D4/C4)</f>
        <v>0.95002271541514538</v>
      </c>
    </row>
    <row r="5" spans="1:5" ht="14.4" customHeight="1" x14ac:dyDescent="0.3">
      <c r="A5" s="163" t="s">
        <v>154</v>
      </c>
      <c r="B5" s="164"/>
      <c r="C5" s="165"/>
      <c r="D5" s="165"/>
      <c r="E5" s="166"/>
    </row>
    <row r="6" spans="1:5" ht="14.4" customHeight="1" x14ac:dyDescent="0.3">
      <c r="A6" s="167" t="s">
        <v>159</v>
      </c>
      <c r="B6" s="168"/>
      <c r="C6" s="169"/>
      <c r="D6" s="169"/>
      <c r="E6" s="166"/>
    </row>
    <row r="7" spans="1:5" ht="14.4" customHeight="1" x14ac:dyDescent="0.3">
      <c r="A7" s="17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112</v>
      </c>
      <c r="C7" s="169">
        <f>IF(ISERROR(HI!F5),"",HI!F5)</f>
        <v>198.66503300038102</v>
      </c>
      <c r="D7" s="169">
        <f>IF(ISERROR(HI!E5),"",HI!E5)</f>
        <v>140.34773999999999</v>
      </c>
      <c r="E7" s="166">
        <f t="shared" ref="E7:E15" si="0">IF(C7=0,0,D7/C7)</f>
        <v>0.70645416498499169</v>
      </c>
    </row>
    <row r="8" spans="1:5" ht="14.4" customHeight="1" x14ac:dyDescent="0.3">
      <c r="A8" s="170" t="str">
        <f>HYPERLINK("#'LŽ PL'!A1","% plnění pozitivního listu")</f>
        <v>% plnění pozitivního listu</v>
      </c>
      <c r="B8" s="168" t="s">
        <v>146</v>
      </c>
      <c r="C8" s="171">
        <v>0.9</v>
      </c>
      <c r="D8" s="171">
        <f>IF(ISERROR(VLOOKUP("celkem",'LŽ PL'!$A:$F,5,0)),0,VLOOKUP("celkem",'LŽ PL'!$A:$F,5,0))</f>
        <v>1</v>
      </c>
      <c r="E8" s="166">
        <f t="shared" si="0"/>
        <v>1.1111111111111112</v>
      </c>
    </row>
    <row r="9" spans="1:5" ht="14.4" customHeight="1" x14ac:dyDescent="0.3">
      <c r="A9" s="312" t="str">
        <f>HYPERLINK("#'LŽ Statim'!A1","% podíl statimových žádanek")</f>
        <v>% podíl statimových žádanek</v>
      </c>
      <c r="B9" s="310" t="s">
        <v>278</v>
      </c>
      <c r="C9" s="311">
        <v>0.3</v>
      </c>
      <c r="D9" s="311">
        <f>IF('LŽ Statim'!G3="",0,'LŽ Statim'!G3)</f>
        <v>0</v>
      </c>
      <c r="E9" s="166">
        <f>IF(C9=0,0,D9/C9)</f>
        <v>0</v>
      </c>
    </row>
    <row r="10" spans="1:5" ht="14.4" customHeight="1" x14ac:dyDescent="0.3">
      <c r="A10" s="172" t="s">
        <v>155</v>
      </c>
      <c r="B10" s="168"/>
      <c r="C10" s="169"/>
      <c r="D10" s="169"/>
      <c r="E10" s="166"/>
    </row>
    <row r="11" spans="1:5" ht="14.4" customHeight="1" x14ac:dyDescent="0.3">
      <c r="A11" s="170" t="str">
        <f>HYPERLINK("#'Léky Recepty'!A1","% záchytu v lékárně (Úhrada Kč)")</f>
        <v>% záchytu v lékárně (Úhrada Kč)</v>
      </c>
      <c r="B11" s="168" t="s">
        <v>117</v>
      </c>
      <c r="C11" s="171">
        <v>0.6</v>
      </c>
      <c r="D11" s="171">
        <f>IF(ISERROR(VLOOKUP("Celkem",'Léky Recepty'!B:H,5,0)),0,VLOOKUP("Celkem",'Léky Recepty'!B:H,5,0))</f>
        <v>0.95650179805129543</v>
      </c>
      <c r="E11" s="166">
        <f t="shared" si="0"/>
        <v>1.5941696634188258</v>
      </c>
    </row>
    <row r="12" spans="1:5" ht="14.4" customHeight="1" x14ac:dyDescent="0.3">
      <c r="A12" s="170" t="str">
        <f>HYPERLINK("#'LRp PL'!A1","% plnění pozitivního listu")</f>
        <v>% plnění pozitivního listu</v>
      </c>
      <c r="B12" s="168" t="s">
        <v>147</v>
      </c>
      <c r="C12" s="171">
        <v>0.8</v>
      </c>
      <c r="D12" s="171">
        <f>IF(ISERROR(VLOOKUP("Celkem",'LRp PL'!A:F,5,0)),0,VLOOKUP("Celkem",'LRp PL'!A:F,5,0))</f>
        <v>0.9653334447441686</v>
      </c>
      <c r="E12" s="166">
        <f t="shared" si="0"/>
        <v>1.2066668059302106</v>
      </c>
    </row>
    <row r="13" spans="1:5" ht="14.4" customHeight="1" x14ac:dyDescent="0.3">
      <c r="A13" s="172" t="s">
        <v>156</v>
      </c>
      <c r="B13" s="168"/>
      <c r="C13" s="169"/>
      <c r="D13" s="169"/>
      <c r="E13" s="166"/>
    </row>
    <row r="14" spans="1:5" ht="14.4" customHeight="1" x14ac:dyDescent="0.3">
      <c r="A14" s="173" t="s">
        <v>160</v>
      </c>
      <c r="B14" s="168"/>
      <c r="C14" s="165"/>
      <c r="D14" s="165"/>
      <c r="E14" s="166"/>
    </row>
    <row r="15" spans="1:5" ht="14.4" customHeight="1" x14ac:dyDescent="0.3">
      <c r="A15" s="17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8" t="s">
        <v>112</v>
      </c>
      <c r="C15" s="169">
        <f>IF(ISERROR(HI!F6),"",HI!F6)</f>
        <v>41554.018888839833</v>
      </c>
      <c r="D15" s="169">
        <f>IF(ISERROR(HI!E6),"",HI!E6)</f>
        <v>41753.43033000001</v>
      </c>
      <c r="E15" s="166">
        <f t="shared" si="0"/>
        <v>1.0047988484987125</v>
      </c>
    </row>
    <row r="16" spans="1:5" ht="14.4" customHeight="1" thickBot="1" x14ac:dyDescent="0.35">
      <c r="A16" s="175" t="str">
        <f>HYPERLINK("#HI!A1","Osobní náklady")</f>
        <v>Osobní náklady</v>
      </c>
      <c r="B16" s="168"/>
      <c r="C16" s="165">
        <f ca="1">IF(ISERROR(VLOOKUP("Osobní náklady (Kč) *",INDIRECT("HI!$A:$G"),6,0)),0,VLOOKUP("Osobní náklady (Kč) *",INDIRECT("HI!$A:$G"),6,0))</f>
        <v>32372.160059501075</v>
      </c>
      <c r="D16" s="165">
        <f ca="1">IF(ISERROR(VLOOKUP("Osobní náklady (Kč) *",INDIRECT("HI!$A:$G"),5,0)),0,VLOOKUP("Osobní náklady (Kč) *",INDIRECT("HI!$A:$G"),5,0))</f>
        <v>33329.796940000007</v>
      </c>
      <c r="E16" s="166">
        <f ca="1">IF(C16=0,0,D16/C16)</f>
        <v>1.029582112492301</v>
      </c>
    </row>
    <row r="17" spans="1:5" ht="14.4" customHeight="1" thickBot="1" x14ac:dyDescent="0.35">
      <c r="A17" s="179"/>
      <c r="B17" s="180"/>
      <c r="C17" s="181"/>
      <c r="D17" s="181"/>
      <c r="E17" s="182"/>
    </row>
    <row r="18" spans="1:5" ht="14.4" customHeight="1" thickBot="1" x14ac:dyDescent="0.35">
      <c r="A18" s="183" t="str">
        <f>HYPERLINK("#HI!A1","VÝNOSY CELKEM (v tisících)")</f>
        <v>VÝNOSY CELKEM (v tisících)</v>
      </c>
      <c r="B18" s="184"/>
      <c r="C18" s="185">
        <f ca="1">IF(ISERROR(VLOOKUP("Výnosy celkem",INDIRECT("HI!$A:$G"),6,0)),0,VLOOKUP("Výnosy celkem",INDIRECT("HI!$A:$G"),6,0))</f>
        <v>16685.102999999999</v>
      </c>
      <c r="D18" s="185">
        <f ca="1">IF(ISERROR(VLOOKUP("Výnosy celkem",INDIRECT("HI!$A:$G"),5,0)),0,VLOOKUP("Výnosy celkem",INDIRECT("HI!$A:$G"),5,0))</f>
        <v>14622.407999999999</v>
      </c>
      <c r="E18" s="186">
        <f t="shared" ref="E18:E21" ca="1" si="1">IF(C18=0,0,D18/C18)</f>
        <v>0.87637505144559191</v>
      </c>
    </row>
    <row r="19" spans="1:5" ht="14.4" customHeight="1" x14ac:dyDescent="0.3">
      <c r="A19" s="187" t="str">
        <f>HYPERLINK("#HI!A1","Ambulance (body za výkony + Kč za ZUM a ZULP)")</f>
        <v>Ambulance (body za výkony + Kč za ZUM a ZULP)</v>
      </c>
      <c r="B19" s="164"/>
      <c r="C19" s="165">
        <f ca="1">IF(ISERROR(VLOOKUP("Ambulance *",INDIRECT("HI!$A:$G"),6,0)),0,VLOOKUP("Ambulance *",INDIRECT("HI!$A:$G"),6,0))</f>
        <v>16685.102999999999</v>
      </c>
      <c r="D19" s="165">
        <f ca="1">IF(ISERROR(VLOOKUP("Ambulance *",INDIRECT("HI!$A:$G"),5,0)),0,VLOOKUP("Ambulance *",INDIRECT("HI!$A:$G"),5,0))</f>
        <v>14622.407999999999</v>
      </c>
      <c r="E19" s="166">
        <f t="shared" ca="1" si="1"/>
        <v>0.87637505144559191</v>
      </c>
    </row>
    <row r="20" spans="1:5" ht="14.4" customHeight="1" x14ac:dyDescent="0.3">
      <c r="A20" s="188" t="str">
        <f>HYPERLINK("#'ZV Vykáz.-A'!A1","Zdravotní výkony vykázané u ambulantních pacientů (min. 100 %)")</f>
        <v>Zdravotní výkony vykázané u ambulantních pacientů (min. 100 %)</v>
      </c>
      <c r="B20" s="151" t="s">
        <v>124</v>
      </c>
      <c r="C20" s="171">
        <v>1</v>
      </c>
      <c r="D20" s="171">
        <f>IF(ISERROR(VLOOKUP("Celkem:",'ZV Vykáz.-A'!$A:$S,7,0)),"",VLOOKUP("Celkem:",'ZV Vykáz.-A'!$A:$S,7,0))</f>
        <v>0.87637505144559191</v>
      </c>
      <c r="E20" s="166">
        <f t="shared" si="1"/>
        <v>0.87637505144559191</v>
      </c>
    </row>
    <row r="21" spans="1:5" ht="14.4" customHeight="1" x14ac:dyDescent="0.3">
      <c r="A21" s="188" t="str">
        <f>HYPERLINK("#'ZV Vykáz.-H'!A1","Zdravotní výkony vykázané u hospitalizovaných pacientů (max. 85 %)")</f>
        <v>Zdravotní výkony vykázané u hospitalizovaných pacientů (max. 85 %)</v>
      </c>
      <c r="B21" s="151" t="s">
        <v>126</v>
      </c>
      <c r="C21" s="171">
        <v>0.85</v>
      </c>
      <c r="D21" s="171">
        <f>IF(ISERROR(VLOOKUP("Celkem:",'ZV Vykáz.-H'!$A:$S,7,0)),"",VLOOKUP("Celkem:",'ZV Vykáz.-H'!$A:$S,7,0))</f>
        <v>1.0787316246568512</v>
      </c>
      <c r="E21" s="166">
        <f t="shared" si="1"/>
        <v>1.2690960290080604</v>
      </c>
    </row>
    <row r="22" spans="1:5" ht="14.4" customHeight="1" x14ac:dyDescent="0.3">
      <c r="A22" s="189" t="str">
        <f>HYPERLINK("#HI!A1","Hospitalizace (casemix * 30000)")</f>
        <v>Hospitalizace (casemix * 30000)</v>
      </c>
      <c r="B22" s="168"/>
      <c r="C22" s="165">
        <f ca="1">IF(ISERROR(VLOOKUP("Hospitalizace *",INDIRECT("HI!$A:$G"),6,0)),0,VLOOKUP("Hospitalizace *",INDIRECT("HI!$A:$G"),6,0))</f>
        <v>0</v>
      </c>
      <c r="D22" s="165">
        <f ca="1">IF(ISERROR(VLOOKUP("Hospitalizace *",INDIRECT("HI!$A:$G"),5,0)),0,VLOOKUP("Hospitalizace *",INDIRECT("HI!$A:$G"),5,0))</f>
        <v>0</v>
      </c>
      <c r="E22" s="166">
        <f ca="1">IF(C22=0,0,D22/C22)</f>
        <v>0</v>
      </c>
    </row>
    <row r="23" spans="1:5" ht="14.4" customHeight="1" thickBot="1" x14ac:dyDescent="0.35">
      <c r="A23" s="190" t="s">
        <v>157</v>
      </c>
      <c r="B23" s="176"/>
      <c r="C23" s="177"/>
      <c r="D23" s="177"/>
      <c r="E23" s="178"/>
    </row>
    <row r="24" spans="1:5" ht="14.4" customHeight="1" thickBot="1" x14ac:dyDescent="0.35">
      <c r="A24" s="191"/>
      <c r="B24" s="192"/>
      <c r="C24" s="193"/>
      <c r="D24" s="193"/>
      <c r="E24" s="194"/>
    </row>
    <row r="25" spans="1:5" ht="14.4" customHeight="1" thickBot="1" x14ac:dyDescent="0.35">
      <c r="A25" s="195" t="s">
        <v>158</v>
      </c>
      <c r="B25" s="196"/>
      <c r="C25" s="197"/>
      <c r="D25" s="197"/>
      <c r="E25" s="198"/>
    </row>
  </sheetData>
  <mergeCells count="1">
    <mergeCell ref="A1:E1"/>
  </mergeCells>
  <conditionalFormatting sqref="E5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6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4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63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2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cellIs" dxfId="61" priority="20" operator="lessThan">
      <formula>1</formula>
    </cfRule>
  </conditionalFormatting>
  <conditionalFormatting sqref="E9">
    <cfRule type="cellIs" dxfId="60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5 E21">
    <cfRule type="cellIs" dxfId="59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136"/>
  <sheetViews>
    <sheetView showGridLines="0" showRowColHeaders="0" workbookViewId="0"/>
  </sheetViews>
  <sheetFormatPr defaultRowHeight="14.4" x14ac:dyDescent="0.3"/>
  <cols>
    <col min="1" max="16384" width="8.88671875" style="231"/>
  </cols>
  <sheetData>
    <row r="1" spans="1:40" x14ac:dyDescent="0.3">
      <c r="A1" s="231" t="s">
        <v>1744</v>
      </c>
    </row>
    <row r="2" spans="1:40" x14ac:dyDescent="0.3">
      <c r="A2" s="235" t="s">
        <v>282</v>
      </c>
    </row>
    <row r="3" spans="1:40" x14ac:dyDescent="0.3">
      <c r="A3" s="231" t="s">
        <v>195</v>
      </c>
      <c r="B3" s="256">
        <v>2014</v>
      </c>
      <c r="D3" s="232">
        <f>MAX(D5:D1048576)</f>
        <v>12</v>
      </c>
      <c r="F3" s="232">
        <f>SUMIF($E5:$E1048576,"&lt;10",F5:F1048576)</f>
        <v>27054182.620000005</v>
      </c>
      <c r="G3" s="232">
        <f t="shared" ref="G3:AN3" si="0">SUMIF($E5:$E1048576,"&lt;10",G5:G1048576)</f>
        <v>11378.5</v>
      </c>
      <c r="H3" s="232">
        <f t="shared" si="0"/>
        <v>5411222.4700000007</v>
      </c>
      <c r="I3" s="232">
        <f t="shared" si="0"/>
        <v>0</v>
      </c>
      <c r="J3" s="232">
        <f t="shared" si="0"/>
        <v>0</v>
      </c>
      <c r="K3" s="232">
        <f t="shared" si="0"/>
        <v>8760379.4000000022</v>
      </c>
      <c r="L3" s="232">
        <f t="shared" si="0"/>
        <v>0</v>
      </c>
      <c r="M3" s="232">
        <f t="shared" si="0"/>
        <v>0</v>
      </c>
      <c r="N3" s="232">
        <f t="shared" si="0"/>
        <v>7692463</v>
      </c>
      <c r="O3" s="232">
        <f t="shared" si="0"/>
        <v>0</v>
      </c>
      <c r="P3" s="232">
        <f t="shared" si="0"/>
        <v>0</v>
      </c>
      <c r="Q3" s="232">
        <f t="shared" si="0"/>
        <v>0</v>
      </c>
      <c r="R3" s="232">
        <f t="shared" si="0"/>
        <v>0</v>
      </c>
      <c r="S3" s="232">
        <f t="shared" si="0"/>
        <v>0</v>
      </c>
      <c r="T3" s="232">
        <f t="shared" si="0"/>
        <v>0</v>
      </c>
      <c r="U3" s="232">
        <f t="shared" si="0"/>
        <v>0</v>
      </c>
      <c r="V3" s="232">
        <f t="shared" si="0"/>
        <v>0</v>
      </c>
      <c r="W3" s="232">
        <f t="shared" si="0"/>
        <v>0</v>
      </c>
      <c r="X3" s="232">
        <f t="shared" si="0"/>
        <v>0</v>
      </c>
      <c r="Y3" s="232">
        <f t="shared" si="0"/>
        <v>0</v>
      </c>
      <c r="Z3" s="232">
        <f t="shared" si="0"/>
        <v>1399583.0000000002</v>
      </c>
      <c r="AA3" s="232">
        <f t="shared" si="0"/>
        <v>0</v>
      </c>
      <c r="AB3" s="232">
        <f t="shared" si="0"/>
        <v>0</v>
      </c>
      <c r="AC3" s="232">
        <f t="shared" si="0"/>
        <v>62333.5</v>
      </c>
      <c r="AD3" s="232">
        <f t="shared" si="0"/>
        <v>0</v>
      </c>
      <c r="AE3" s="232">
        <f t="shared" si="0"/>
        <v>280833</v>
      </c>
      <c r="AF3" s="232">
        <f t="shared" si="0"/>
        <v>0</v>
      </c>
      <c r="AG3" s="232">
        <f t="shared" si="0"/>
        <v>0</v>
      </c>
      <c r="AH3" s="232">
        <f t="shared" si="0"/>
        <v>1524079.75</v>
      </c>
      <c r="AI3" s="232">
        <f t="shared" si="0"/>
        <v>0</v>
      </c>
      <c r="AJ3" s="232">
        <f t="shared" si="0"/>
        <v>0</v>
      </c>
      <c r="AK3" s="232">
        <f t="shared" si="0"/>
        <v>0</v>
      </c>
      <c r="AL3" s="232">
        <f t="shared" si="0"/>
        <v>0</v>
      </c>
      <c r="AM3" s="232">
        <f t="shared" si="0"/>
        <v>1395940</v>
      </c>
      <c r="AN3" s="232">
        <f t="shared" si="0"/>
        <v>515970</v>
      </c>
    </row>
    <row r="4" spans="1:40" x14ac:dyDescent="0.3">
      <c r="A4" s="231" t="s">
        <v>196</v>
      </c>
      <c r="B4" s="256">
        <v>1</v>
      </c>
      <c r="C4" s="233" t="s">
        <v>5</v>
      </c>
      <c r="D4" s="234" t="s">
        <v>67</v>
      </c>
      <c r="E4" s="234" t="s">
        <v>190</v>
      </c>
      <c r="F4" s="234" t="s">
        <v>3</v>
      </c>
      <c r="G4" s="234" t="s">
        <v>191</v>
      </c>
      <c r="H4" s="234" t="s">
        <v>192</v>
      </c>
      <c r="I4" s="234" t="s">
        <v>193</v>
      </c>
      <c r="J4" s="234" t="s">
        <v>194</v>
      </c>
      <c r="K4" s="234">
        <v>305</v>
      </c>
      <c r="L4" s="234">
        <v>306</v>
      </c>
      <c r="M4" s="234">
        <v>408</v>
      </c>
      <c r="N4" s="234">
        <v>409</v>
      </c>
      <c r="O4" s="234">
        <v>410</v>
      </c>
      <c r="P4" s="234">
        <v>415</v>
      </c>
      <c r="Q4" s="234">
        <v>416</v>
      </c>
      <c r="R4" s="234">
        <v>418</v>
      </c>
      <c r="S4" s="234">
        <v>419</v>
      </c>
      <c r="T4" s="234">
        <v>420</v>
      </c>
      <c r="U4" s="234">
        <v>421</v>
      </c>
      <c r="V4" s="234">
        <v>522</v>
      </c>
      <c r="W4" s="234">
        <v>523</v>
      </c>
      <c r="X4" s="234">
        <v>524</v>
      </c>
      <c r="Y4" s="234">
        <v>525</v>
      </c>
      <c r="Z4" s="234">
        <v>526</v>
      </c>
      <c r="AA4" s="234">
        <v>527</v>
      </c>
      <c r="AB4" s="234">
        <v>528</v>
      </c>
      <c r="AC4" s="234">
        <v>629</v>
      </c>
      <c r="AD4" s="234">
        <v>630</v>
      </c>
      <c r="AE4" s="234">
        <v>636</v>
      </c>
      <c r="AF4" s="234">
        <v>637</v>
      </c>
      <c r="AG4" s="234">
        <v>640</v>
      </c>
      <c r="AH4" s="234">
        <v>642</v>
      </c>
      <c r="AI4" s="234">
        <v>743</v>
      </c>
      <c r="AJ4" s="234">
        <v>745</v>
      </c>
      <c r="AK4" s="234">
        <v>746</v>
      </c>
      <c r="AL4" s="234">
        <v>747</v>
      </c>
      <c r="AM4" s="234">
        <v>930</v>
      </c>
      <c r="AN4" s="234">
        <v>940</v>
      </c>
    </row>
    <row r="5" spans="1:40" x14ac:dyDescent="0.3">
      <c r="A5" s="231" t="s">
        <v>197</v>
      </c>
      <c r="B5" s="256">
        <v>2</v>
      </c>
      <c r="C5" s="231">
        <v>35</v>
      </c>
      <c r="D5" s="231">
        <v>1</v>
      </c>
      <c r="E5" s="231">
        <v>1</v>
      </c>
      <c r="F5" s="231">
        <v>71.45</v>
      </c>
      <c r="G5" s="231">
        <v>0</v>
      </c>
      <c r="H5" s="231">
        <v>6.2</v>
      </c>
      <c r="I5" s="231">
        <v>0</v>
      </c>
      <c r="J5" s="231">
        <v>0</v>
      </c>
      <c r="K5" s="231">
        <v>24.4</v>
      </c>
      <c r="L5" s="231">
        <v>0</v>
      </c>
      <c r="M5" s="231">
        <v>0</v>
      </c>
      <c r="N5" s="231">
        <v>21</v>
      </c>
      <c r="O5" s="231">
        <v>0</v>
      </c>
      <c r="P5" s="231">
        <v>0</v>
      </c>
      <c r="Q5" s="231">
        <v>0</v>
      </c>
      <c r="R5" s="231">
        <v>0</v>
      </c>
      <c r="S5" s="231">
        <v>0</v>
      </c>
      <c r="T5" s="231">
        <v>0</v>
      </c>
      <c r="U5" s="231">
        <v>0</v>
      </c>
      <c r="V5" s="231">
        <v>0</v>
      </c>
      <c r="W5" s="231">
        <v>0</v>
      </c>
      <c r="X5" s="231">
        <v>0</v>
      </c>
      <c r="Y5" s="231">
        <v>0</v>
      </c>
      <c r="Z5" s="231">
        <v>4.0999999999999996</v>
      </c>
      <c r="AA5" s="231">
        <v>0</v>
      </c>
      <c r="AB5" s="231">
        <v>0</v>
      </c>
      <c r="AC5" s="231">
        <v>0</v>
      </c>
      <c r="AD5" s="231">
        <v>0</v>
      </c>
      <c r="AE5" s="231">
        <v>1</v>
      </c>
      <c r="AF5" s="231">
        <v>0</v>
      </c>
      <c r="AG5" s="231">
        <v>0</v>
      </c>
      <c r="AH5" s="231">
        <v>6.75</v>
      </c>
      <c r="AI5" s="231">
        <v>0</v>
      </c>
      <c r="AJ5" s="231">
        <v>0</v>
      </c>
      <c r="AK5" s="231">
        <v>0</v>
      </c>
      <c r="AL5" s="231">
        <v>0</v>
      </c>
      <c r="AM5" s="231">
        <v>5</v>
      </c>
      <c r="AN5" s="231">
        <v>3</v>
      </c>
    </row>
    <row r="6" spans="1:40" x14ac:dyDescent="0.3">
      <c r="A6" s="231" t="s">
        <v>198</v>
      </c>
      <c r="B6" s="256">
        <v>3</v>
      </c>
      <c r="C6" s="231">
        <v>35</v>
      </c>
      <c r="D6" s="231">
        <v>1</v>
      </c>
      <c r="E6" s="231">
        <v>2</v>
      </c>
      <c r="F6" s="231">
        <v>11912.4</v>
      </c>
      <c r="G6" s="231">
        <v>0</v>
      </c>
      <c r="H6" s="231">
        <v>1057.5999999999999</v>
      </c>
      <c r="I6" s="231">
        <v>0</v>
      </c>
      <c r="J6" s="231">
        <v>0</v>
      </c>
      <c r="K6" s="231">
        <v>4101.6000000000004</v>
      </c>
      <c r="L6" s="231">
        <v>0</v>
      </c>
      <c r="M6" s="231">
        <v>0</v>
      </c>
      <c r="N6" s="231">
        <v>3336</v>
      </c>
      <c r="O6" s="231">
        <v>0</v>
      </c>
      <c r="P6" s="231">
        <v>0</v>
      </c>
      <c r="Q6" s="231">
        <v>0</v>
      </c>
      <c r="R6" s="231">
        <v>0</v>
      </c>
      <c r="S6" s="231">
        <v>0</v>
      </c>
      <c r="T6" s="231">
        <v>0</v>
      </c>
      <c r="U6" s="231">
        <v>0</v>
      </c>
      <c r="V6" s="231">
        <v>0</v>
      </c>
      <c r="W6" s="231">
        <v>0</v>
      </c>
      <c r="X6" s="231">
        <v>0</v>
      </c>
      <c r="Y6" s="231">
        <v>0</v>
      </c>
      <c r="Z6" s="231">
        <v>703.2</v>
      </c>
      <c r="AA6" s="231">
        <v>0</v>
      </c>
      <c r="AB6" s="231">
        <v>0</v>
      </c>
      <c r="AC6" s="231">
        <v>0</v>
      </c>
      <c r="AD6" s="231">
        <v>0</v>
      </c>
      <c r="AE6" s="231">
        <v>180</v>
      </c>
      <c r="AF6" s="231">
        <v>0</v>
      </c>
      <c r="AG6" s="231">
        <v>0</v>
      </c>
      <c r="AH6" s="231">
        <v>1166</v>
      </c>
      <c r="AI6" s="231">
        <v>0</v>
      </c>
      <c r="AJ6" s="231">
        <v>0</v>
      </c>
      <c r="AK6" s="231">
        <v>0</v>
      </c>
      <c r="AL6" s="231">
        <v>0</v>
      </c>
      <c r="AM6" s="231">
        <v>848</v>
      </c>
      <c r="AN6" s="231">
        <v>520</v>
      </c>
    </row>
    <row r="7" spans="1:40" x14ac:dyDescent="0.3">
      <c r="A7" s="231" t="s">
        <v>199</v>
      </c>
      <c r="B7" s="256">
        <v>4</v>
      </c>
      <c r="C7" s="231">
        <v>35</v>
      </c>
      <c r="D7" s="231">
        <v>1</v>
      </c>
      <c r="E7" s="231">
        <v>3</v>
      </c>
      <c r="F7" s="231">
        <v>0</v>
      </c>
      <c r="G7" s="231">
        <v>0</v>
      </c>
      <c r="H7" s="231">
        <v>0</v>
      </c>
      <c r="I7" s="231">
        <v>0</v>
      </c>
      <c r="J7" s="231">
        <v>0</v>
      </c>
      <c r="K7" s="231">
        <v>0</v>
      </c>
      <c r="L7" s="231">
        <v>0</v>
      </c>
      <c r="M7" s="231">
        <v>0</v>
      </c>
      <c r="N7" s="231">
        <v>0</v>
      </c>
      <c r="O7" s="231">
        <v>0</v>
      </c>
      <c r="P7" s="231">
        <v>0</v>
      </c>
      <c r="Q7" s="231">
        <v>0</v>
      </c>
      <c r="R7" s="231">
        <v>0</v>
      </c>
      <c r="S7" s="231">
        <v>0</v>
      </c>
      <c r="T7" s="231">
        <v>0</v>
      </c>
      <c r="U7" s="231">
        <v>0</v>
      </c>
      <c r="V7" s="231">
        <v>0</v>
      </c>
      <c r="W7" s="231">
        <v>0</v>
      </c>
      <c r="X7" s="231">
        <v>0</v>
      </c>
      <c r="Y7" s="231">
        <v>0</v>
      </c>
      <c r="Z7" s="231">
        <v>0</v>
      </c>
      <c r="AA7" s="231">
        <v>0</v>
      </c>
      <c r="AB7" s="231">
        <v>0</v>
      </c>
      <c r="AC7" s="231">
        <v>0</v>
      </c>
      <c r="AD7" s="231">
        <v>0</v>
      </c>
      <c r="AE7" s="231">
        <v>0</v>
      </c>
      <c r="AF7" s="231">
        <v>0</v>
      </c>
      <c r="AG7" s="231">
        <v>0</v>
      </c>
      <c r="AH7" s="231">
        <v>0</v>
      </c>
      <c r="AI7" s="231">
        <v>0</v>
      </c>
      <c r="AJ7" s="231">
        <v>0</v>
      </c>
      <c r="AK7" s="231">
        <v>0</v>
      </c>
      <c r="AL7" s="231">
        <v>0</v>
      </c>
      <c r="AM7" s="231">
        <v>0</v>
      </c>
      <c r="AN7" s="231">
        <v>0</v>
      </c>
    </row>
    <row r="8" spans="1:40" x14ac:dyDescent="0.3">
      <c r="A8" s="231" t="s">
        <v>200</v>
      </c>
      <c r="B8" s="256">
        <v>5</v>
      </c>
      <c r="C8" s="231">
        <v>35</v>
      </c>
      <c r="D8" s="231">
        <v>1</v>
      </c>
      <c r="E8" s="231">
        <v>4</v>
      </c>
      <c r="F8" s="231">
        <v>365</v>
      </c>
      <c r="G8" s="231">
        <v>0</v>
      </c>
      <c r="H8" s="231">
        <v>43</v>
      </c>
      <c r="I8" s="231">
        <v>0</v>
      </c>
      <c r="J8" s="231">
        <v>0</v>
      </c>
      <c r="K8" s="231">
        <v>32</v>
      </c>
      <c r="L8" s="231">
        <v>0</v>
      </c>
      <c r="M8" s="231">
        <v>0</v>
      </c>
      <c r="N8" s="231">
        <v>290</v>
      </c>
      <c r="O8" s="231">
        <v>0</v>
      </c>
      <c r="P8" s="231">
        <v>0</v>
      </c>
      <c r="Q8" s="231">
        <v>0</v>
      </c>
      <c r="R8" s="231">
        <v>0</v>
      </c>
      <c r="S8" s="231">
        <v>0</v>
      </c>
      <c r="T8" s="231">
        <v>0</v>
      </c>
      <c r="U8" s="231">
        <v>0</v>
      </c>
      <c r="V8" s="231">
        <v>0</v>
      </c>
      <c r="W8" s="231">
        <v>0</v>
      </c>
      <c r="X8" s="231">
        <v>0</v>
      </c>
      <c r="Y8" s="231">
        <v>0</v>
      </c>
      <c r="Z8" s="231">
        <v>0</v>
      </c>
      <c r="AA8" s="231">
        <v>0</v>
      </c>
      <c r="AB8" s="231">
        <v>0</v>
      </c>
      <c r="AC8" s="231">
        <v>0</v>
      </c>
      <c r="AD8" s="231">
        <v>0</v>
      </c>
      <c r="AE8" s="231">
        <v>0</v>
      </c>
      <c r="AF8" s="231">
        <v>0</v>
      </c>
      <c r="AG8" s="231">
        <v>0</v>
      </c>
      <c r="AH8" s="231">
        <v>0</v>
      </c>
      <c r="AI8" s="231">
        <v>0</v>
      </c>
      <c r="AJ8" s="231">
        <v>0</v>
      </c>
      <c r="AK8" s="231">
        <v>0</v>
      </c>
      <c r="AL8" s="231">
        <v>0</v>
      </c>
      <c r="AM8" s="231">
        <v>0</v>
      </c>
      <c r="AN8" s="231">
        <v>0</v>
      </c>
    </row>
    <row r="9" spans="1:40" x14ac:dyDescent="0.3">
      <c r="A9" s="231" t="s">
        <v>201</v>
      </c>
      <c r="B9" s="256">
        <v>6</v>
      </c>
      <c r="C9" s="231">
        <v>35</v>
      </c>
      <c r="D9" s="231">
        <v>1</v>
      </c>
      <c r="E9" s="231">
        <v>5</v>
      </c>
      <c r="F9" s="231">
        <v>25</v>
      </c>
      <c r="G9" s="231">
        <v>25</v>
      </c>
      <c r="H9" s="231">
        <v>0</v>
      </c>
      <c r="I9" s="231">
        <v>0</v>
      </c>
      <c r="J9" s="231">
        <v>0</v>
      </c>
      <c r="K9" s="231">
        <v>0</v>
      </c>
      <c r="L9" s="231">
        <v>0</v>
      </c>
      <c r="M9" s="231">
        <v>0</v>
      </c>
      <c r="N9" s="231">
        <v>0</v>
      </c>
      <c r="O9" s="231">
        <v>0</v>
      </c>
      <c r="P9" s="231">
        <v>0</v>
      </c>
      <c r="Q9" s="231">
        <v>0</v>
      </c>
      <c r="R9" s="231">
        <v>0</v>
      </c>
      <c r="S9" s="231">
        <v>0</v>
      </c>
      <c r="T9" s="231">
        <v>0</v>
      </c>
      <c r="U9" s="231">
        <v>0</v>
      </c>
      <c r="V9" s="231">
        <v>0</v>
      </c>
      <c r="W9" s="231">
        <v>0</v>
      </c>
      <c r="X9" s="231">
        <v>0</v>
      </c>
      <c r="Y9" s="231">
        <v>0</v>
      </c>
      <c r="Z9" s="231">
        <v>0</v>
      </c>
      <c r="AA9" s="231">
        <v>0</v>
      </c>
      <c r="AB9" s="231">
        <v>0</v>
      </c>
      <c r="AC9" s="231">
        <v>0</v>
      </c>
      <c r="AD9" s="231">
        <v>0</v>
      </c>
      <c r="AE9" s="231">
        <v>0</v>
      </c>
      <c r="AF9" s="231">
        <v>0</v>
      </c>
      <c r="AG9" s="231">
        <v>0</v>
      </c>
      <c r="AH9" s="231">
        <v>0</v>
      </c>
      <c r="AI9" s="231">
        <v>0</v>
      </c>
      <c r="AJ9" s="231">
        <v>0</v>
      </c>
      <c r="AK9" s="231">
        <v>0</v>
      </c>
      <c r="AL9" s="231">
        <v>0</v>
      </c>
      <c r="AM9" s="231">
        <v>0</v>
      </c>
      <c r="AN9" s="231">
        <v>0</v>
      </c>
    </row>
    <row r="10" spans="1:40" x14ac:dyDescent="0.3">
      <c r="A10" s="231" t="s">
        <v>202</v>
      </c>
      <c r="B10" s="256">
        <v>7</v>
      </c>
      <c r="C10" s="231">
        <v>35</v>
      </c>
      <c r="D10" s="231">
        <v>1</v>
      </c>
      <c r="E10" s="231">
        <v>6</v>
      </c>
      <c r="F10" s="231">
        <v>1857212</v>
      </c>
      <c r="G10" s="231">
        <v>0</v>
      </c>
      <c r="H10" s="231">
        <v>356901</v>
      </c>
      <c r="I10" s="231">
        <v>0</v>
      </c>
      <c r="J10" s="231">
        <v>0</v>
      </c>
      <c r="K10" s="231">
        <v>609165</v>
      </c>
      <c r="L10" s="231">
        <v>0</v>
      </c>
      <c r="M10" s="231">
        <v>0</v>
      </c>
      <c r="N10" s="231">
        <v>529869</v>
      </c>
      <c r="O10" s="231">
        <v>0</v>
      </c>
      <c r="P10" s="231">
        <v>0</v>
      </c>
      <c r="Q10" s="231">
        <v>0</v>
      </c>
      <c r="R10" s="231">
        <v>0</v>
      </c>
      <c r="S10" s="231">
        <v>0</v>
      </c>
      <c r="T10" s="231">
        <v>0</v>
      </c>
      <c r="U10" s="231">
        <v>0</v>
      </c>
      <c r="V10" s="231">
        <v>0</v>
      </c>
      <c r="W10" s="231">
        <v>0</v>
      </c>
      <c r="X10" s="231">
        <v>0</v>
      </c>
      <c r="Y10" s="231">
        <v>0</v>
      </c>
      <c r="Z10" s="231">
        <v>103965</v>
      </c>
      <c r="AA10" s="231">
        <v>0</v>
      </c>
      <c r="AB10" s="231">
        <v>0</v>
      </c>
      <c r="AC10" s="231">
        <v>0</v>
      </c>
      <c r="AD10" s="231">
        <v>0</v>
      </c>
      <c r="AE10" s="231">
        <v>19490</v>
      </c>
      <c r="AF10" s="231">
        <v>0</v>
      </c>
      <c r="AG10" s="231">
        <v>0</v>
      </c>
      <c r="AH10" s="231">
        <v>103298</v>
      </c>
      <c r="AI10" s="231">
        <v>0</v>
      </c>
      <c r="AJ10" s="231">
        <v>0</v>
      </c>
      <c r="AK10" s="231">
        <v>0</v>
      </c>
      <c r="AL10" s="231">
        <v>0</v>
      </c>
      <c r="AM10" s="231">
        <v>99258</v>
      </c>
      <c r="AN10" s="231">
        <v>35266</v>
      </c>
    </row>
    <row r="11" spans="1:40" x14ac:dyDescent="0.3">
      <c r="A11" s="231" t="s">
        <v>203</v>
      </c>
      <c r="B11" s="256">
        <v>8</v>
      </c>
      <c r="C11" s="231">
        <v>35</v>
      </c>
      <c r="D11" s="231">
        <v>1</v>
      </c>
      <c r="E11" s="231">
        <v>7</v>
      </c>
      <c r="F11" s="231">
        <v>0</v>
      </c>
      <c r="G11" s="231">
        <v>0</v>
      </c>
      <c r="H11" s="231">
        <v>0</v>
      </c>
      <c r="I11" s="231">
        <v>0</v>
      </c>
      <c r="J11" s="231">
        <v>0</v>
      </c>
      <c r="K11" s="231">
        <v>0</v>
      </c>
      <c r="L11" s="231">
        <v>0</v>
      </c>
      <c r="M11" s="231">
        <v>0</v>
      </c>
      <c r="N11" s="231">
        <v>0</v>
      </c>
      <c r="O11" s="231">
        <v>0</v>
      </c>
      <c r="P11" s="231">
        <v>0</v>
      </c>
      <c r="Q11" s="231">
        <v>0</v>
      </c>
      <c r="R11" s="231">
        <v>0</v>
      </c>
      <c r="S11" s="231">
        <v>0</v>
      </c>
      <c r="T11" s="231">
        <v>0</v>
      </c>
      <c r="U11" s="231">
        <v>0</v>
      </c>
      <c r="V11" s="231">
        <v>0</v>
      </c>
      <c r="W11" s="231">
        <v>0</v>
      </c>
      <c r="X11" s="231">
        <v>0</v>
      </c>
      <c r="Y11" s="231">
        <v>0</v>
      </c>
      <c r="Z11" s="231">
        <v>0</v>
      </c>
      <c r="AA11" s="231">
        <v>0</v>
      </c>
      <c r="AB11" s="231">
        <v>0</v>
      </c>
      <c r="AC11" s="231">
        <v>0</v>
      </c>
      <c r="AD11" s="231">
        <v>0</v>
      </c>
      <c r="AE11" s="231">
        <v>0</v>
      </c>
      <c r="AF11" s="231">
        <v>0</v>
      </c>
      <c r="AG11" s="231">
        <v>0</v>
      </c>
      <c r="AH11" s="231">
        <v>0</v>
      </c>
      <c r="AI11" s="231">
        <v>0</v>
      </c>
      <c r="AJ11" s="231">
        <v>0</v>
      </c>
      <c r="AK11" s="231">
        <v>0</v>
      </c>
      <c r="AL11" s="231">
        <v>0</v>
      </c>
      <c r="AM11" s="231">
        <v>0</v>
      </c>
      <c r="AN11" s="231">
        <v>0</v>
      </c>
    </row>
    <row r="12" spans="1:40" x14ac:dyDescent="0.3">
      <c r="A12" s="231" t="s">
        <v>204</v>
      </c>
      <c r="B12" s="256">
        <v>9</v>
      </c>
      <c r="C12" s="231">
        <v>35</v>
      </c>
      <c r="D12" s="231">
        <v>1</v>
      </c>
      <c r="E12" s="231">
        <v>8</v>
      </c>
      <c r="F12" s="231">
        <v>0</v>
      </c>
      <c r="G12" s="231">
        <v>0</v>
      </c>
      <c r="H12" s="231">
        <v>0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0</v>
      </c>
      <c r="Q12" s="231">
        <v>0</v>
      </c>
      <c r="R12" s="231">
        <v>0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v>0</v>
      </c>
      <c r="AF12" s="231">
        <v>0</v>
      </c>
      <c r="AG12" s="231">
        <v>0</v>
      </c>
      <c r="AH12" s="231">
        <v>0</v>
      </c>
      <c r="AI12" s="231">
        <v>0</v>
      </c>
      <c r="AJ12" s="231">
        <v>0</v>
      </c>
      <c r="AK12" s="231">
        <v>0</v>
      </c>
      <c r="AL12" s="231">
        <v>0</v>
      </c>
      <c r="AM12" s="231">
        <v>0</v>
      </c>
      <c r="AN12" s="231">
        <v>0</v>
      </c>
    </row>
    <row r="13" spans="1:40" x14ac:dyDescent="0.3">
      <c r="A13" s="231" t="s">
        <v>205</v>
      </c>
      <c r="B13" s="256">
        <v>10</v>
      </c>
      <c r="C13" s="231">
        <v>35</v>
      </c>
      <c r="D13" s="231">
        <v>1</v>
      </c>
      <c r="E13" s="231">
        <v>9</v>
      </c>
      <c r="F13" s="231">
        <v>13010</v>
      </c>
      <c r="G13" s="231">
        <v>0</v>
      </c>
      <c r="H13" s="231">
        <v>0</v>
      </c>
      <c r="I13" s="231">
        <v>0</v>
      </c>
      <c r="J13" s="231">
        <v>0</v>
      </c>
      <c r="K13" s="231">
        <v>11930</v>
      </c>
      <c r="L13" s="231">
        <v>0</v>
      </c>
      <c r="M13" s="231">
        <v>0</v>
      </c>
      <c r="N13" s="231">
        <v>0</v>
      </c>
      <c r="O13" s="231">
        <v>0</v>
      </c>
      <c r="P13" s="231">
        <v>0</v>
      </c>
      <c r="Q13" s="231">
        <v>0</v>
      </c>
      <c r="R13" s="231">
        <v>0</v>
      </c>
      <c r="S13" s="231">
        <v>0</v>
      </c>
      <c r="T13" s="231">
        <v>0</v>
      </c>
      <c r="U13" s="231">
        <v>0</v>
      </c>
      <c r="V13" s="231">
        <v>0</v>
      </c>
      <c r="W13" s="231">
        <v>0</v>
      </c>
      <c r="X13" s="231">
        <v>0</v>
      </c>
      <c r="Y13" s="231">
        <v>0</v>
      </c>
      <c r="Z13" s="231">
        <v>0</v>
      </c>
      <c r="AA13" s="231">
        <v>0</v>
      </c>
      <c r="AB13" s="231">
        <v>0</v>
      </c>
      <c r="AC13" s="231">
        <v>0</v>
      </c>
      <c r="AD13" s="231">
        <v>0</v>
      </c>
      <c r="AE13" s="231">
        <v>0</v>
      </c>
      <c r="AF13" s="231">
        <v>0</v>
      </c>
      <c r="AG13" s="231">
        <v>0</v>
      </c>
      <c r="AH13" s="231">
        <v>1080</v>
      </c>
      <c r="AI13" s="231">
        <v>0</v>
      </c>
      <c r="AJ13" s="231">
        <v>0</v>
      </c>
      <c r="AK13" s="231">
        <v>0</v>
      </c>
      <c r="AL13" s="231">
        <v>0</v>
      </c>
      <c r="AM13" s="231">
        <v>0</v>
      </c>
      <c r="AN13" s="231">
        <v>0</v>
      </c>
    </row>
    <row r="14" spans="1:40" x14ac:dyDescent="0.3">
      <c r="A14" s="231" t="s">
        <v>206</v>
      </c>
      <c r="B14" s="256">
        <v>11</v>
      </c>
      <c r="C14" s="231">
        <v>35</v>
      </c>
      <c r="D14" s="231">
        <v>1</v>
      </c>
      <c r="E14" s="231">
        <v>10</v>
      </c>
      <c r="F14" s="231">
        <v>7300</v>
      </c>
      <c r="G14" s="231">
        <v>0</v>
      </c>
      <c r="H14" s="231">
        <v>0</v>
      </c>
      <c r="I14" s="231">
        <v>0</v>
      </c>
      <c r="J14" s="231">
        <v>0</v>
      </c>
      <c r="K14" s="231">
        <v>7300</v>
      </c>
      <c r="L14" s="231">
        <v>0</v>
      </c>
      <c r="M14" s="231">
        <v>0</v>
      </c>
      <c r="N14" s="231">
        <v>0</v>
      </c>
      <c r="O14" s="231">
        <v>0</v>
      </c>
      <c r="P14" s="231">
        <v>0</v>
      </c>
      <c r="Q14" s="231">
        <v>0</v>
      </c>
      <c r="R14" s="231">
        <v>0</v>
      </c>
      <c r="S14" s="231">
        <v>0</v>
      </c>
      <c r="T14" s="231">
        <v>0</v>
      </c>
      <c r="U14" s="231">
        <v>0</v>
      </c>
      <c r="V14" s="231">
        <v>0</v>
      </c>
      <c r="W14" s="231">
        <v>0</v>
      </c>
      <c r="X14" s="231">
        <v>0</v>
      </c>
      <c r="Y14" s="231">
        <v>0</v>
      </c>
      <c r="Z14" s="231">
        <v>0</v>
      </c>
      <c r="AA14" s="231">
        <v>0</v>
      </c>
      <c r="AB14" s="231">
        <v>0</v>
      </c>
      <c r="AC14" s="231">
        <v>0</v>
      </c>
      <c r="AD14" s="231">
        <v>0</v>
      </c>
      <c r="AE14" s="231">
        <v>0</v>
      </c>
      <c r="AF14" s="231">
        <v>0</v>
      </c>
      <c r="AG14" s="231">
        <v>0</v>
      </c>
      <c r="AH14" s="231">
        <v>0</v>
      </c>
      <c r="AI14" s="231">
        <v>0</v>
      </c>
      <c r="AJ14" s="231">
        <v>0</v>
      </c>
      <c r="AK14" s="231">
        <v>0</v>
      </c>
      <c r="AL14" s="231">
        <v>0</v>
      </c>
      <c r="AM14" s="231">
        <v>0</v>
      </c>
      <c r="AN14" s="231">
        <v>0</v>
      </c>
    </row>
    <row r="15" spans="1:40" x14ac:dyDescent="0.3">
      <c r="A15" s="231" t="s">
        <v>207</v>
      </c>
      <c r="B15" s="256">
        <v>12</v>
      </c>
      <c r="C15" s="231">
        <v>35</v>
      </c>
      <c r="D15" s="231">
        <v>1</v>
      </c>
      <c r="E15" s="231">
        <v>11</v>
      </c>
      <c r="F15" s="231">
        <v>5845</v>
      </c>
      <c r="G15" s="231">
        <v>0</v>
      </c>
      <c r="H15" s="231">
        <v>2095</v>
      </c>
      <c r="I15" s="231">
        <v>0</v>
      </c>
      <c r="J15" s="231">
        <v>0</v>
      </c>
      <c r="K15" s="231">
        <v>3750</v>
      </c>
      <c r="L15" s="231">
        <v>0</v>
      </c>
      <c r="M15" s="231">
        <v>0</v>
      </c>
      <c r="N15" s="231">
        <v>0</v>
      </c>
      <c r="O15" s="231">
        <v>0</v>
      </c>
      <c r="P15" s="231">
        <v>0</v>
      </c>
      <c r="Q15" s="231">
        <v>0</v>
      </c>
      <c r="R15" s="231">
        <v>0</v>
      </c>
      <c r="S15" s="231">
        <v>0</v>
      </c>
      <c r="T15" s="231">
        <v>0</v>
      </c>
      <c r="U15" s="231">
        <v>0</v>
      </c>
      <c r="V15" s="231">
        <v>0</v>
      </c>
      <c r="W15" s="231">
        <v>0</v>
      </c>
      <c r="X15" s="231">
        <v>0</v>
      </c>
      <c r="Y15" s="231">
        <v>0</v>
      </c>
      <c r="Z15" s="231">
        <v>0</v>
      </c>
      <c r="AA15" s="231">
        <v>0</v>
      </c>
      <c r="AB15" s="231">
        <v>0</v>
      </c>
      <c r="AC15" s="231">
        <v>0</v>
      </c>
      <c r="AD15" s="231">
        <v>0</v>
      </c>
      <c r="AE15" s="231">
        <v>0</v>
      </c>
      <c r="AF15" s="231">
        <v>0</v>
      </c>
      <c r="AG15" s="231">
        <v>0</v>
      </c>
      <c r="AH15" s="231">
        <v>0</v>
      </c>
      <c r="AI15" s="231">
        <v>0</v>
      </c>
      <c r="AJ15" s="231">
        <v>0</v>
      </c>
      <c r="AK15" s="231">
        <v>0</v>
      </c>
      <c r="AL15" s="231">
        <v>0</v>
      </c>
      <c r="AM15" s="231">
        <v>0</v>
      </c>
      <c r="AN15" s="231">
        <v>0</v>
      </c>
    </row>
    <row r="16" spans="1:40" x14ac:dyDescent="0.3">
      <c r="A16" s="231" t="s">
        <v>195</v>
      </c>
      <c r="B16" s="256">
        <v>2014</v>
      </c>
      <c r="C16" s="231">
        <v>35</v>
      </c>
      <c r="D16" s="231">
        <v>2</v>
      </c>
      <c r="E16" s="231">
        <v>1</v>
      </c>
      <c r="F16" s="231">
        <v>72.25</v>
      </c>
      <c r="G16" s="231">
        <v>0</v>
      </c>
      <c r="H16" s="231">
        <v>6.2</v>
      </c>
      <c r="I16" s="231">
        <v>0</v>
      </c>
      <c r="J16" s="231">
        <v>0</v>
      </c>
      <c r="K16" s="231">
        <v>24.4</v>
      </c>
      <c r="L16" s="231">
        <v>0</v>
      </c>
      <c r="M16" s="231">
        <v>0</v>
      </c>
      <c r="N16" s="231">
        <v>22</v>
      </c>
      <c r="O16" s="231">
        <v>0</v>
      </c>
      <c r="P16" s="231">
        <v>0</v>
      </c>
      <c r="Q16" s="231">
        <v>0</v>
      </c>
      <c r="R16" s="231">
        <v>0</v>
      </c>
      <c r="S16" s="231">
        <v>0</v>
      </c>
      <c r="T16" s="231">
        <v>0</v>
      </c>
      <c r="U16" s="231">
        <v>0</v>
      </c>
      <c r="V16" s="231">
        <v>0</v>
      </c>
      <c r="W16" s="231">
        <v>0</v>
      </c>
      <c r="X16" s="231">
        <v>0</v>
      </c>
      <c r="Y16" s="231">
        <v>0</v>
      </c>
      <c r="Z16" s="231">
        <v>3.9</v>
      </c>
      <c r="AA16" s="231">
        <v>0</v>
      </c>
      <c r="AB16" s="231">
        <v>0</v>
      </c>
      <c r="AC16" s="231">
        <v>0</v>
      </c>
      <c r="AD16" s="231">
        <v>0</v>
      </c>
      <c r="AE16" s="231">
        <v>1</v>
      </c>
      <c r="AF16" s="231">
        <v>0</v>
      </c>
      <c r="AG16" s="231">
        <v>0</v>
      </c>
      <c r="AH16" s="231">
        <v>6.75</v>
      </c>
      <c r="AI16" s="231">
        <v>0</v>
      </c>
      <c r="AJ16" s="231">
        <v>0</v>
      </c>
      <c r="AK16" s="231">
        <v>0</v>
      </c>
      <c r="AL16" s="231">
        <v>0</v>
      </c>
      <c r="AM16" s="231">
        <v>5</v>
      </c>
      <c r="AN16" s="231">
        <v>3</v>
      </c>
    </row>
    <row r="17" spans="3:40" x14ac:dyDescent="0.3">
      <c r="C17" s="231">
        <v>35</v>
      </c>
      <c r="D17" s="231">
        <v>2</v>
      </c>
      <c r="E17" s="231">
        <v>2</v>
      </c>
      <c r="F17" s="231">
        <v>10206.4</v>
      </c>
      <c r="G17" s="231">
        <v>0</v>
      </c>
      <c r="H17" s="231">
        <v>932.8</v>
      </c>
      <c r="I17" s="231">
        <v>0</v>
      </c>
      <c r="J17" s="231">
        <v>0</v>
      </c>
      <c r="K17" s="231">
        <v>3316</v>
      </c>
      <c r="L17" s="231">
        <v>0</v>
      </c>
      <c r="M17" s="231">
        <v>0</v>
      </c>
      <c r="N17" s="231">
        <v>3028</v>
      </c>
      <c r="O17" s="231">
        <v>0</v>
      </c>
      <c r="P17" s="231">
        <v>0</v>
      </c>
      <c r="Q17" s="231">
        <v>0</v>
      </c>
      <c r="R17" s="231">
        <v>0</v>
      </c>
      <c r="S17" s="231">
        <v>0</v>
      </c>
      <c r="T17" s="231">
        <v>0</v>
      </c>
      <c r="U17" s="231">
        <v>0</v>
      </c>
      <c r="V17" s="231">
        <v>0</v>
      </c>
      <c r="W17" s="231">
        <v>0</v>
      </c>
      <c r="X17" s="231">
        <v>0</v>
      </c>
      <c r="Y17" s="231">
        <v>0</v>
      </c>
      <c r="Z17" s="231">
        <v>601.6</v>
      </c>
      <c r="AA17" s="231">
        <v>0</v>
      </c>
      <c r="AB17" s="231">
        <v>0</v>
      </c>
      <c r="AC17" s="231">
        <v>0</v>
      </c>
      <c r="AD17" s="231">
        <v>0</v>
      </c>
      <c r="AE17" s="231">
        <v>160</v>
      </c>
      <c r="AF17" s="231">
        <v>0</v>
      </c>
      <c r="AG17" s="231">
        <v>0</v>
      </c>
      <c r="AH17" s="231">
        <v>984</v>
      </c>
      <c r="AI17" s="231">
        <v>0</v>
      </c>
      <c r="AJ17" s="231">
        <v>0</v>
      </c>
      <c r="AK17" s="231">
        <v>0</v>
      </c>
      <c r="AL17" s="231">
        <v>0</v>
      </c>
      <c r="AM17" s="231">
        <v>720</v>
      </c>
      <c r="AN17" s="231">
        <v>464</v>
      </c>
    </row>
    <row r="18" spans="3:40" x14ac:dyDescent="0.3">
      <c r="C18" s="231">
        <v>35</v>
      </c>
      <c r="D18" s="231">
        <v>2</v>
      </c>
      <c r="E18" s="231">
        <v>3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v>0</v>
      </c>
      <c r="AF18" s="231">
        <v>0</v>
      </c>
      <c r="AG18" s="231">
        <v>0</v>
      </c>
      <c r="AH18" s="231">
        <v>0</v>
      </c>
      <c r="AI18" s="231">
        <v>0</v>
      </c>
      <c r="AJ18" s="231">
        <v>0</v>
      </c>
      <c r="AK18" s="231">
        <v>0</v>
      </c>
      <c r="AL18" s="231">
        <v>0</v>
      </c>
      <c r="AM18" s="231">
        <v>0</v>
      </c>
      <c r="AN18" s="231">
        <v>0</v>
      </c>
    </row>
    <row r="19" spans="3:40" x14ac:dyDescent="0.3">
      <c r="C19" s="231">
        <v>35</v>
      </c>
      <c r="D19" s="231">
        <v>2</v>
      </c>
      <c r="E19" s="231">
        <v>4</v>
      </c>
      <c r="F19" s="231">
        <v>342</v>
      </c>
      <c r="G19" s="231">
        <v>0</v>
      </c>
      <c r="H19" s="231">
        <v>36</v>
      </c>
      <c r="I19" s="231">
        <v>0</v>
      </c>
      <c r="J19" s="231">
        <v>0</v>
      </c>
      <c r="K19" s="231">
        <v>32</v>
      </c>
      <c r="L19" s="231">
        <v>0</v>
      </c>
      <c r="M19" s="231">
        <v>0</v>
      </c>
      <c r="N19" s="231">
        <v>274</v>
      </c>
      <c r="O19" s="231">
        <v>0</v>
      </c>
      <c r="P19" s="231">
        <v>0</v>
      </c>
      <c r="Q19" s="231">
        <v>0</v>
      </c>
      <c r="R19" s="231">
        <v>0</v>
      </c>
      <c r="S19" s="231">
        <v>0</v>
      </c>
      <c r="T19" s="231">
        <v>0</v>
      </c>
      <c r="U19" s="231">
        <v>0</v>
      </c>
      <c r="V19" s="231">
        <v>0</v>
      </c>
      <c r="W19" s="231">
        <v>0</v>
      </c>
      <c r="X19" s="231">
        <v>0</v>
      </c>
      <c r="Y19" s="231">
        <v>0</v>
      </c>
      <c r="Z19" s="231">
        <v>0</v>
      </c>
      <c r="AA19" s="231">
        <v>0</v>
      </c>
      <c r="AB19" s="231">
        <v>0</v>
      </c>
      <c r="AC19" s="231">
        <v>0</v>
      </c>
      <c r="AD19" s="231">
        <v>0</v>
      </c>
      <c r="AE19" s="231">
        <v>0</v>
      </c>
      <c r="AF19" s="231">
        <v>0</v>
      </c>
      <c r="AG19" s="231">
        <v>0</v>
      </c>
      <c r="AH19" s="231">
        <v>0</v>
      </c>
      <c r="AI19" s="231">
        <v>0</v>
      </c>
      <c r="AJ19" s="231">
        <v>0</v>
      </c>
      <c r="AK19" s="231">
        <v>0</v>
      </c>
      <c r="AL19" s="231">
        <v>0</v>
      </c>
      <c r="AM19" s="231">
        <v>0</v>
      </c>
      <c r="AN19" s="231">
        <v>0</v>
      </c>
    </row>
    <row r="20" spans="3:40" x14ac:dyDescent="0.3">
      <c r="C20" s="231">
        <v>35</v>
      </c>
      <c r="D20" s="231">
        <v>2</v>
      </c>
      <c r="E20" s="231">
        <v>5</v>
      </c>
      <c r="F20" s="231">
        <v>22.5</v>
      </c>
      <c r="G20" s="231">
        <v>22.5</v>
      </c>
      <c r="H20" s="231">
        <v>0</v>
      </c>
      <c r="I20" s="231">
        <v>0</v>
      </c>
      <c r="J20" s="231">
        <v>0</v>
      </c>
      <c r="K20" s="231">
        <v>0</v>
      </c>
      <c r="L20" s="231">
        <v>0</v>
      </c>
      <c r="M20" s="231">
        <v>0</v>
      </c>
      <c r="N20" s="231">
        <v>0</v>
      </c>
      <c r="O20" s="231">
        <v>0</v>
      </c>
      <c r="P20" s="231">
        <v>0</v>
      </c>
      <c r="Q20" s="231">
        <v>0</v>
      </c>
      <c r="R20" s="231">
        <v>0</v>
      </c>
      <c r="S20" s="231">
        <v>0</v>
      </c>
      <c r="T20" s="231">
        <v>0</v>
      </c>
      <c r="U20" s="231">
        <v>0</v>
      </c>
      <c r="V20" s="231">
        <v>0</v>
      </c>
      <c r="W20" s="231">
        <v>0</v>
      </c>
      <c r="X20" s="231">
        <v>0</v>
      </c>
      <c r="Y20" s="231">
        <v>0</v>
      </c>
      <c r="Z20" s="231">
        <v>0</v>
      </c>
      <c r="AA20" s="231">
        <v>0</v>
      </c>
      <c r="AB20" s="231">
        <v>0</v>
      </c>
      <c r="AC20" s="231">
        <v>0</v>
      </c>
      <c r="AD20" s="231">
        <v>0</v>
      </c>
      <c r="AE20" s="231">
        <v>0</v>
      </c>
      <c r="AF20" s="231">
        <v>0</v>
      </c>
      <c r="AG20" s="231">
        <v>0</v>
      </c>
      <c r="AH20" s="231">
        <v>0</v>
      </c>
      <c r="AI20" s="231">
        <v>0</v>
      </c>
      <c r="AJ20" s="231">
        <v>0</v>
      </c>
      <c r="AK20" s="231">
        <v>0</v>
      </c>
      <c r="AL20" s="231">
        <v>0</v>
      </c>
      <c r="AM20" s="231">
        <v>0</v>
      </c>
      <c r="AN20" s="231">
        <v>0</v>
      </c>
    </row>
    <row r="21" spans="3:40" x14ac:dyDescent="0.3">
      <c r="C21" s="231">
        <v>35</v>
      </c>
      <c r="D21" s="231">
        <v>2</v>
      </c>
      <c r="E21" s="231">
        <v>6</v>
      </c>
      <c r="F21" s="231">
        <v>1820384</v>
      </c>
      <c r="G21" s="231">
        <v>0</v>
      </c>
      <c r="H21" s="231">
        <v>346349</v>
      </c>
      <c r="I21" s="231">
        <v>0</v>
      </c>
      <c r="J21" s="231">
        <v>0</v>
      </c>
      <c r="K21" s="231">
        <v>574588</v>
      </c>
      <c r="L21" s="231">
        <v>0</v>
      </c>
      <c r="M21" s="231">
        <v>0</v>
      </c>
      <c r="N21" s="231">
        <v>534428</v>
      </c>
      <c r="O21" s="231">
        <v>0</v>
      </c>
      <c r="P21" s="231">
        <v>0</v>
      </c>
      <c r="Q21" s="231">
        <v>0</v>
      </c>
      <c r="R21" s="231">
        <v>0</v>
      </c>
      <c r="S21" s="231">
        <v>0</v>
      </c>
      <c r="T21" s="231">
        <v>0</v>
      </c>
      <c r="U21" s="231">
        <v>0</v>
      </c>
      <c r="V21" s="231">
        <v>0</v>
      </c>
      <c r="W21" s="231">
        <v>0</v>
      </c>
      <c r="X21" s="231">
        <v>0</v>
      </c>
      <c r="Y21" s="231">
        <v>0</v>
      </c>
      <c r="Z21" s="231">
        <v>99612</v>
      </c>
      <c r="AA21" s="231">
        <v>0</v>
      </c>
      <c r="AB21" s="231">
        <v>0</v>
      </c>
      <c r="AC21" s="231">
        <v>0</v>
      </c>
      <c r="AD21" s="231">
        <v>0</v>
      </c>
      <c r="AE21" s="231">
        <v>19400</v>
      </c>
      <c r="AF21" s="231">
        <v>0</v>
      </c>
      <c r="AG21" s="231">
        <v>0</v>
      </c>
      <c r="AH21" s="231">
        <v>110334</v>
      </c>
      <c r="AI21" s="231">
        <v>0</v>
      </c>
      <c r="AJ21" s="231">
        <v>0</v>
      </c>
      <c r="AK21" s="231">
        <v>0</v>
      </c>
      <c r="AL21" s="231">
        <v>0</v>
      </c>
      <c r="AM21" s="231">
        <v>100811</v>
      </c>
      <c r="AN21" s="231">
        <v>34862</v>
      </c>
    </row>
    <row r="22" spans="3:40" x14ac:dyDescent="0.3">
      <c r="C22" s="231">
        <v>35</v>
      </c>
      <c r="D22" s="231">
        <v>2</v>
      </c>
      <c r="E22" s="231">
        <v>7</v>
      </c>
      <c r="F22" s="231">
        <v>0</v>
      </c>
      <c r="G22" s="231">
        <v>0</v>
      </c>
      <c r="H22" s="231">
        <v>0</v>
      </c>
      <c r="I22" s="231">
        <v>0</v>
      </c>
      <c r="J22" s="231">
        <v>0</v>
      </c>
      <c r="K22" s="231">
        <v>0</v>
      </c>
      <c r="L22" s="231">
        <v>0</v>
      </c>
      <c r="M22" s="231">
        <v>0</v>
      </c>
      <c r="N22" s="231">
        <v>0</v>
      </c>
      <c r="O22" s="231">
        <v>0</v>
      </c>
      <c r="P22" s="231">
        <v>0</v>
      </c>
      <c r="Q22" s="231">
        <v>0</v>
      </c>
      <c r="R22" s="231">
        <v>0</v>
      </c>
      <c r="S22" s="231">
        <v>0</v>
      </c>
      <c r="T22" s="231">
        <v>0</v>
      </c>
      <c r="U22" s="231">
        <v>0</v>
      </c>
      <c r="V22" s="231">
        <v>0</v>
      </c>
      <c r="W22" s="231">
        <v>0</v>
      </c>
      <c r="X22" s="231">
        <v>0</v>
      </c>
      <c r="Y22" s="231">
        <v>0</v>
      </c>
      <c r="Z22" s="231">
        <v>0</v>
      </c>
      <c r="AA22" s="231">
        <v>0</v>
      </c>
      <c r="AB22" s="231">
        <v>0</v>
      </c>
      <c r="AC22" s="231">
        <v>0</v>
      </c>
      <c r="AD22" s="231">
        <v>0</v>
      </c>
      <c r="AE22" s="231">
        <v>0</v>
      </c>
      <c r="AF22" s="231">
        <v>0</v>
      </c>
      <c r="AG22" s="231">
        <v>0</v>
      </c>
      <c r="AH22" s="231">
        <v>0</v>
      </c>
      <c r="AI22" s="231">
        <v>0</v>
      </c>
      <c r="AJ22" s="231">
        <v>0</v>
      </c>
      <c r="AK22" s="231">
        <v>0</v>
      </c>
      <c r="AL22" s="231">
        <v>0</v>
      </c>
      <c r="AM22" s="231">
        <v>0</v>
      </c>
      <c r="AN22" s="231">
        <v>0</v>
      </c>
    </row>
    <row r="23" spans="3:40" x14ac:dyDescent="0.3">
      <c r="C23" s="231">
        <v>35</v>
      </c>
      <c r="D23" s="231">
        <v>2</v>
      </c>
      <c r="E23" s="231">
        <v>8</v>
      </c>
      <c r="F23" s="231">
        <v>0</v>
      </c>
      <c r="G23" s="231">
        <v>0</v>
      </c>
      <c r="H23" s="231">
        <v>0</v>
      </c>
      <c r="I23" s="231">
        <v>0</v>
      </c>
      <c r="J23" s="231">
        <v>0</v>
      </c>
      <c r="K23" s="231">
        <v>0</v>
      </c>
      <c r="L23" s="231">
        <v>0</v>
      </c>
      <c r="M23" s="231">
        <v>0</v>
      </c>
      <c r="N23" s="231">
        <v>0</v>
      </c>
      <c r="O23" s="231">
        <v>0</v>
      </c>
      <c r="P23" s="231">
        <v>0</v>
      </c>
      <c r="Q23" s="231">
        <v>0</v>
      </c>
      <c r="R23" s="231">
        <v>0</v>
      </c>
      <c r="S23" s="231">
        <v>0</v>
      </c>
      <c r="T23" s="231">
        <v>0</v>
      </c>
      <c r="U23" s="231">
        <v>0</v>
      </c>
      <c r="V23" s="231">
        <v>0</v>
      </c>
      <c r="W23" s="231">
        <v>0</v>
      </c>
      <c r="X23" s="231">
        <v>0</v>
      </c>
      <c r="Y23" s="231">
        <v>0</v>
      </c>
      <c r="Z23" s="231">
        <v>0</v>
      </c>
      <c r="AA23" s="231">
        <v>0</v>
      </c>
      <c r="AB23" s="231">
        <v>0</v>
      </c>
      <c r="AC23" s="231">
        <v>0</v>
      </c>
      <c r="AD23" s="231">
        <v>0</v>
      </c>
      <c r="AE23" s="231">
        <v>0</v>
      </c>
      <c r="AF23" s="231">
        <v>0</v>
      </c>
      <c r="AG23" s="231">
        <v>0</v>
      </c>
      <c r="AH23" s="231">
        <v>0</v>
      </c>
      <c r="AI23" s="231">
        <v>0</v>
      </c>
      <c r="AJ23" s="231">
        <v>0</v>
      </c>
      <c r="AK23" s="231">
        <v>0</v>
      </c>
      <c r="AL23" s="231">
        <v>0</v>
      </c>
      <c r="AM23" s="231">
        <v>0</v>
      </c>
      <c r="AN23" s="231">
        <v>0</v>
      </c>
    </row>
    <row r="24" spans="3:40" x14ac:dyDescent="0.3">
      <c r="C24" s="231">
        <v>35</v>
      </c>
      <c r="D24" s="231">
        <v>2</v>
      </c>
      <c r="E24" s="231">
        <v>9</v>
      </c>
      <c r="F24" s="231">
        <v>20412</v>
      </c>
      <c r="G24" s="231">
        <v>0</v>
      </c>
      <c r="H24" s="231">
        <v>0</v>
      </c>
      <c r="I24" s="231">
        <v>0</v>
      </c>
      <c r="J24" s="231">
        <v>0</v>
      </c>
      <c r="K24" s="231">
        <v>9832</v>
      </c>
      <c r="L24" s="231">
        <v>0</v>
      </c>
      <c r="M24" s="231">
        <v>0</v>
      </c>
      <c r="N24" s="231">
        <v>0</v>
      </c>
      <c r="O24" s="231">
        <v>0</v>
      </c>
      <c r="P24" s="231">
        <v>0</v>
      </c>
      <c r="Q24" s="231">
        <v>0</v>
      </c>
      <c r="R24" s="231">
        <v>0</v>
      </c>
      <c r="S24" s="231">
        <v>0</v>
      </c>
      <c r="T24" s="231">
        <v>0</v>
      </c>
      <c r="U24" s="231">
        <v>0</v>
      </c>
      <c r="V24" s="231">
        <v>0</v>
      </c>
      <c r="W24" s="231">
        <v>0</v>
      </c>
      <c r="X24" s="231">
        <v>0</v>
      </c>
      <c r="Y24" s="231">
        <v>0</v>
      </c>
      <c r="Z24" s="231">
        <v>0</v>
      </c>
      <c r="AA24" s="231">
        <v>0</v>
      </c>
      <c r="AB24" s="231">
        <v>0</v>
      </c>
      <c r="AC24" s="231">
        <v>0</v>
      </c>
      <c r="AD24" s="231">
        <v>0</v>
      </c>
      <c r="AE24" s="231">
        <v>0</v>
      </c>
      <c r="AF24" s="231">
        <v>0</v>
      </c>
      <c r="AG24" s="231">
        <v>0</v>
      </c>
      <c r="AH24" s="231">
        <v>10580</v>
      </c>
      <c r="AI24" s="231">
        <v>0</v>
      </c>
      <c r="AJ24" s="231">
        <v>0</v>
      </c>
      <c r="AK24" s="231">
        <v>0</v>
      </c>
      <c r="AL24" s="231">
        <v>0</v>
      </c>
      <c r="AM24" s="231">
        <v>0</v>
      </c>
      <c r="AN24" s="231">
        <v>0</v>
      </c>
    </row>
    <row r="25" spans="3:40" x14ac:dyDescent="0.3">
      <c r="C25" s="231">
        <v>35</v>
      </c>
      <c r="D25" s="231">
        <v>2</v>
      </c>
      <c r="E25" s="231">
        <v>10</v>
      </c>
      <c r="F25" s="231">
        <v>5305</v>
      </c>
      <c r="G25" s="231">
        <v>0</v>
      </c>
      <c r="H25" s="231">
        <v>0</v>
      </c>
      <c r="I25" s="231">
        <v>0</v>
      </c>
      <c r="J25" s="231">
        <v>0</v>
      </c>
      <c r="K25" s="231">
        <v>5305</v>
      </c>
      <c r="L25" s="231">
        <v>0</v>
      </c>
      <c r="M25" s="231">
        <v>0</v>
      </c>
      <c r="N25" s="231">
        <v>0</v>
      </c>
      <c r="O25" s="231">
        <v>0</v>
      </c>
      <c r="P25" s="231">
        <v>0</v>
      </c>
      <c r="Q25" s="231">
        <v>0</v>
      </c>
      <c r="R25" s="231">
        <v>0</v>
      </c>
      <c r="S25" s="231">
        <v>0</v>
      </c>
      <c r="T25" s="231">
        <v>0</v>
      </c>
      <c r="U25" s="231">
        <v>0</v>
      </c>
      <c r="V25" s="231">
        <v>0</v>
      </c>
      <c r="W25" s="231">
        <v>0</v>
      </c>
      <c r="X25" s="231">
        <v>0</v>
      </c>
      <c r="Y25" s="231">
        <v>0</v>
      </c>
      <c r="Z25" s="231">
        <v>0</v>
      </c>
      <c r="AA25" s="231">
        <v>0</v>
      </c>
      <c r="AB25" s="231">
        <v>0</v>
      </c>
      <c r="AC25" s="231">
        <v>0</v>
      </c>
      <c r="AD25" s="231">
        <v>0</v>
      </c>
      <c r="AE25" s="231">
        <v>0</v>
      </c>
      <c r="AF25" s="231">
        <v>0</v>
      </c>
      <c r="AG25" s="231">
        <v>0</v>
      </c>
      <c r="AH25" s="231">
        <v>0</v>
      </c>
      <c r="AI25" s="231">
        <v>0</v>
      </c>
      <c r="AJ25" s="231">
        <v>0</v>
      </c>
      <c r="AK25" s="231">
        <v>0</v>
      </c>
      <c r="AL25" s="231">
        <v>0</v>
      </c>
      <c r="AM25" s="231">
        <v>0</v>
      </c>
      <c r="AN25" s="231">
        <v>0</v>
      </c>
    </row>
    <row r="26" spans="3:40" x14ac:dyDescent="0.3">
      <c r="C26" s="231">
        <v>35</v>
      </c>
      <c r="D26" s="231">
        <v>2</v>
      </c>
      <c r="E26" s="231">
        <v>11</v>
      </c>
      <c r="F26" s="231">
        <v>5845</v>
      </c>
      <c r="G26" s="231">
        <v>0</v>
      </c>
      <c r="H26" s="231">
        <v>2095</v>
      </c>
      <c r="I26" s="231">
        <v>0</v>
      </c>
      <c r="J26" s="231">
        <v>0</v>
      </c>
      <c r="K26" s="231">
        <v>3750</v>
      </c>
      <c r="L26" s="231">
        <v>0</v>
      </c>
      <c r="M26" s="231">
        <v>0</v>
      </c>
      <c r="N26" s="231">
        <v>0</v>
      </c>
      <c r="O26" s="231">
        <v>0</v>
      </c>
      <c r="P26" s="231">
        <v>0</v>
      </c>
      <c r="Q26" s="231">
        <v>0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0</v>
      </c>
      <c r="AB26" s="231">
        <v>0</v>
      </c>
      <c r="AC26" s="231">
        <v>0</v>
      </c>
      <c r="AD26" s="231">
        <v>0</v>
      </c>
      <c r="AE26" s="231">
        <v>0</v>
      </c>
      <c r="AF26" s="231">
        <v>0</v>
      </c>
      <c r="AG26" s="231">
        <v>0</v>
      </c>
      <c r="AH26" s="231">
        <v>0</v>
      </c>
      <c r="AI26" s="231">
        <v>0</v>
      </c>
      <c r="AJ26" s="231">
        <v>0</v>
      </c>
      <c r="AK26" s="231">
        <v>0</v>
      </c>
      <c r="AL26" s="231">
        <v>0</v>
      </c>
      <c r="AM26" s="231">
        <v>0</v>
      </c>
      <c r="AN26" s="231">
        <v>0</v>
      </c>
    </row>
    <row r="27" spans="3:40" x14ac:dyDescent="0.3">
      <c r="C27" s="231">
        <v>35</v>
      </c>
      <c r="D27" s="231">
        <v>3</v>
      </c>
      <c r="E27" s="231">
        <v>1</v>
      </c>
      <c r="F27" s="231">
        <v>73.75</v>
      </c>
      <c r="G27" s="231">
        <v>0</v>
      </c>
      <c r="H27" s="231">
        <v>6.7</v>
      </c>
      <c r="I27" s="231">
        <v>0</v>
      </c>
      <c r="J27" s="231">
        <v>0</v>
      </c>
      <c r="K27" s="231">
        <v>24.4</v>
      </c>
      <c r="L27" s="231">
        <v>0</v>
      </c>
      <c r="M27" s="231">
        <v>0</v>
      </c>
      <c r="N27" s="231">
        <v>22</v>
      </c>
      <c r="O27" s="231">
        <v>0</v>
      </c>
      <c r="P27" s="231">
        <v>0</v>
      </c>
      <c r="Q27" s="231">
        <v>0</v>
      </c>
      <c r="R27" s="231">
        <v>0</v>
      </c>
      <c r="S27" s="231">
        <v>0</v>
      </c>
      <c r="T27" s="231">
        <v>0</v>
      </c>
      <c r="U27" s="231">
        <v>0</v>
      </c>
      <c r="V27" s="231">
        <v>0</v>
      </c>
      <c r="W27" s="231">
        <v>0</v>
      </c>
      <c r="X27" s="231">
        <v>0</v>
      </c>
      <c r="Y27" s="231">
        <v>0</v>
      </c>
      <c r="Z27" s="231">
        <v>3.9</v>
      </c>
      <c r="AA27" s="231">
        <v>0</v>
      </c>
      <c r="AB27" s="231">
        <v>0</v>
      </c>
      <c r="AC27" s="231">
        <v>0</v>
      </c>
      <c r="AD27" s="231">
        <v>0</v>
      </c>
      <c r="AE27" s="231">
        <v>1</v>
      </c>
      <c r="AF27" s="231">
        <v>0</v>
      </c>
      <c r="AG27" s="231">
        <v>0</v>
      </c>
      <c r="AH27" s="231">
        <v>6.75</v>
      </c>
      <c r="AI27" s="231">
        <v>0</v>
      </c>
      <c r="AJ27" s="231">
        <v>0</v>
      </c>
      <c r="AK27" s="231">
        <v>0</v>
      </c>
      <c r="AL27" s="231">
        <v>0</v>
      </c>
      <c r="AM27" s="231">
        <v>6</v>
      </c>
      <c r="AN27" s="231">
        <v>3</v>
      </c>
    </row>
    <row r="28" spans="3:40" x14ac:dyDescent="0.3">
      <c r="C28" s="231">
        <v>35</v>
      </c>
      <c r="D28" s="231">
        <v>3</v>
      </c>
      <c r="E28" s="231">
        <v>2</v>
      </c>
      <c r="F28" s="231">
        <v>11106.4</v>
      </c>
      <c r="G28" s="231">
        <v>0</v>
      </c>
      <c r="H28" s="231">
        <v>1005.6</v>
      </c>
      <c r="I28" s="231">
        <v>0</v>
      </c>
      <c r="J28" s="231">
        <v>0</v>
      </c>
      <c r="K28" s="231">
        <v>3652.4</v>
      </c>
      <c r="L28" s="231">
        <v>0</v>
      </c>
      <c r="M28" s="231">
        <v>0</v>
      </c>
      <c r="N28" s="231">
        <v>3360</v>
      </c>
      <c r="O28" s="231">
        <v>0</v>
      </c>
      <c r="P28" s="231">
        <v>0</v>
      </c>
      <c r="Q28" s="231">
        <v>0</v>
      </c>
      <c r="R28" s="231">
        <v>0</v>
      </c>
      <c r="S28" s="231">
        <v>0</v>
      </c>
      <c r="T28" s="231">
        <v>0</v>
      </c>
      <c r="U28" s="231">
        <v>0</v>
      </c>
      <c r="V28" s="231">
        <v>0</v>
      </c>
      <c r="W28" s="231">
        <v>0</v>
      </c>
      <c r="X28" s="231">
        <v>0</v>
      </c>
      <c r="Y28" s="231">
        <v>0</v>
      </c>
      <c r="Z28" s="231">
        <v>630.4</v>
      </c>
      <c r="AA28" s="231">
        <v>0</v>
      </c>
      <c r="AB28" s="231">
        <v>0</v>
      </c>
      <c r="AC28" s="231">
        <v>0</v>
      </c>
      <c r="AD28" s="231">
        <v>0</v>
      </c>
      <c r="AE28" s="231">
        <v>168</v>
      </c>
      <c r="AF28" s="231">
        <v>0</v>
      </c>
      <c r="AG28" s="231">
        <v>0</v>
      </c>
      <c r="AH28" s="231">
        <v>1110</v>
      </c>
      <c r="AI28" s="231">
        <v>0</v>
      </c>
      <c r="AJ28" s="231">
        <v>0</v>
      </c>
      <c r="AK28" s="231">
        <v>0</v>
      </c>
      <c r="AL28" s="231">
        <v>0</v>
      </c>
      <c r="AM28" s="231">
        <v>700</v>
      </c>
      <c r="AN28" s="231">
        <v>480</v>
      </c>
    </row>
    <row r="29" spans="3:40" x14ac:dyDescent="0.3">
      <c r="C29" s="231">
        <v>35</v>
      </c>
      <c r="D29" s="231">
        <v>3</v>
      </c>
      <c r="E29" s="231">
        <v>3</v>
      </c>
      <c r="F29" s="231">
        <v>0</v>
      </c>
      <c r="G29" s="231">
        <v>0</v>
      </c>
      <c r="H29" s="231">
        <v>0</v>
      </c>
      <c r="I29" s="231">
        <v>0</v>
      </c>
      <c r="J29" s="231">
        <v>0</v>
      </c>
      <c r="K29" s="231">
        <v>0</v>
      </c>
      <c r="L29" s="231">
        <v>0</v>
      </c>
      <c r="M29" s="231">
        <v>0</v>
      </c>
      <c r="N29" s="231">
        <v>0</v>
      </c>
      <c r="O29" s="231">
        <v>0</v>
      </c>
      <c r="P29" s="231">
        <v>0</v>
      </c>
      <c r="Q29" s="231">
        <v>0</v>
      </c>
      <c r="R29" s="231">
        <v>0</v>
      </c>
      <c r="S29" s="231">
        <v>0</v>
      </c>
      <c r="T29" s="231">
        <v>0</v>
      </c>
      <c r="U29" s="231">
        <v>0</v>
      </c>
      <c r="V29" s="231">
        <v>0</v>
      </c>
      <c r="W29" s="231">
        <v>0</v>
      </c>
      <c r="X29" s="231">
        <v>0</v>
      </c>
      <c r="Y29" s="231">
        <v>0</v>
      </c>
      <c r="Z29" s="231">
        <v>0</v>
      </c>
      <c r="AA29" s="231">
        <v>0</v>
      </c>
      <c r="AB29" s="231">
        <v>0</v>
      </c>
      <c r="AC29" s="231">
        <v>0</v>
      </c>
      <c r="AD29" s="231">
        <v>0</v>
      </c>
      <c r="AE29" s="231">
        <v>0</v>
      </c>
      <c r="AF29" s="231">
        <v>0</v>
      </c>
      <c r="AG29" s="231">
        <v>0</v>
      </c>
      <c r="AH29" s="231">
        <v>0</v>
      </c>
      <c r="AI29" s="231">
        <v>0</v>
      </c>
      <c r="AJ29" s="231">
        <v>0</v>
      </c>
      <c r="AK29" s="231">
        <v>0</v>
      </c>
      <c r="AL29" s="231">
        <v>0</v>
      </c>
      <c r="AM29" s="231">
        <v>0</v>
      </c>
      <c r="AN29" s="231">
        <v>0</v>
      </c>
    </row>
    <row r="30" spans="3:40" x14ac:dyDescent="0.3">
      <c r="C30" s="231">
        <v>35</v>
      </c>
      <c r="D30" s="231">
        <v>3</v>
      </c>
      <c r="E30" s="231">
        <v>4</v>
      </c>
      <c r="F30" s="231">
        <v>440</v>
      </c>
      <c r="G30" s="231">
        <v>0</v>
      </c>
      <c r="H30" s="231">
        <v>42</v>
      </c>
      <c r="I30" s="231">
        <v>0</v>
      </c>
      <c r="J30" s="231">
        <v>0</v>
      </c>
      <c r="K30" s="231">
        <v>42</v>
      </c>
      <c r="L30" s="231">
        <v>0</v>
      </c>
      <c r="M30" s="231">
        <v>0</v>
      </c>
      <c r="N30" s="231">
        <v>356</v>
      </c>
      <c r="O30" s="231">
        <v>0</v>
      </c>
      <c r="P30" s="231">
        <v>0</v>
      </c>
      <c r="Q30" s="231">
        <v>0</v>
      </c>
      <c r="R30" s="231">
        <v>0</v>
      </c>
      <c r="S30" s="231">
        <v>0</v>
      </c>
      <c r="T30" s="231">
        <v>0</v>
      </c>
      <c r="U30" s="231">
        <v>0</v>
      </c>
      <c r="V30" s="231">
        <v>0</v>
      </c>
      <c r="W30" s="231">
        <v>0</v>
      </c>
      <c r="X30" s="231">
        <v>0</v>
      </c>
      <c r="Y30" s="231">
        <v>0</v>
      </c>
      <c r="Z30" s="231">
        <v>0</v>
      </c>
      <c r="AA30" s="231">
        <v>0</v>
      </c>
      <c r="AB30" s="231">
        <v>0</v>
      </c>
      <c r="AC30" s="231">
        <v>0</v>
      </c>
      <c r="AD30" s="231">
        <v>0</v>
      </c>
      <c r="AE30" s="231">
        <v>0</v>
      </c>
      <c r="AF30" s="231">
        <v>0</v>
      </c>
      <c r="AG30" s="231">
        <v>0</v>
      </c>
      <c r="AH30" s="231">
        <v>0</v>
      </c>
      <c r="AI30" s="231">
        <v>0</v>
      </c>
      <c r="AJ30" s="231">
        <v>0</v>
      </c>
      <c r="AK30" s="231">
        <v>0</v>
      </c>
      <c r="AL30" s="231">
        <v>0</v>
      </c>
      <c r="AM30" s="231">
        <v>0</v>
      </c>
      <c r="AN30" s="231">
        <v>0</v>
      </c>
    </row>
    <row r="31" spans="3:40" x14ac:dyDescent="0.3">
      <c r="C31" s="231">
        <v>35</v>
      </c>
      <c r="D31" s="231">
        <v>3</v>
      </c>
      <c r="E31" s="231">
        <v>5</v>
      </c>
      <c r="F31" s="231">
        <v>59.5</v>
      </c>
      <c r="G31" s="231">
        <v>59.5</v>
      </c>
      <c r="H31" s="231">
        <v>0</v>
      </c>
      <c r="I31" s="231">
        <v>0</v>
      </c>
      <c r="J31" s="231">
        <v>0</v>
      </c>
      <c r="K31" s="231">
        <v>0</v>
      </c>
      <c r="L31" s="231">
        <v>0</v>
      </c>
      <c r="M31" s="231">
        <v>0</v>
      </c>
      <c r="N31" s="231">
        <v>0</v>
      </c>
      <c r="O31" s="231">
        <v>0</v>
      </c>
      <c r="P31" s="231">
        <v>0</v>
      </c>
      <c r="Q31" s="231">
        <v>0</v>
      </c>
      <c r="R31" s="231">
        <v>0</v>
      </c>
      <c r="S31" s="231">
        <v>0</v>
      </c>
      <c r="T31" s="231">
        <v>0</v>
      </c>
      <c r="U31" s="231">
        <v>0</v>
      </c>
      <c r="V31" s="231">
        <v>0</v>
      </c>
      <c r="W31" s="231">
        <v>0</v>
      </c>
      <c r="X31" s="231">
        <v>0</v>
      </c>
      <c r="Y31" s="231">
        <v>0</v>
      </c>
      <c r="Z31" s="231">
        <v>0</v>
      </c>
      <c r="AA31" s="231">
        <v>0</v>
      </c>
      <c r="AB31" s="231">
        <v>0</v>
      </c>
      <c r="AC31" s="231">
        <v>0</v>
      </c>
      <c r="AD31" s="231">
        <v>0</v>
      </c>
      <c r="AE31" s="231">
        <v>0</v>
      </c>
      <c r="AF31" s="231">
        <v>0</v>
      </c>
      <c r="AG31" s="231">
        <v>0</v>
      </c>
      <c r="AH31" s="231">
        <v>0</v>
      </c>
      <c r="AI31" s="231">
        <v>0</v>
      </c>
      <c r="AJ31" s="231">
        <v>0</v>
      </c>
      <c r="AK31" s="231">
        <v>0</v>
      </c>
      <c r="AL31" s="231">
        <v>0</v>
      </c>
      <c r="AM31" s="231">
        <v>0</v>
      </c>
      <c r="AN31" s="231">
        <v>0</v>
      </c>
    </row>
    <row r="32" spans="3:40" x14ac:dyDescent="0.3">
      <c r="C32" s="231">
        <v>35</v>
      </c>
      <c r="D32" s="231">
        <v>3</v>
      </c>
      <c r="E32" s="231">
        <v>6</v>
      </c>
      <c r="F32" s="231">
        <v>1908894</v>
      </c>
      <c r="G32" s="231">
        <v>1000</v>
      </c>
      <c r="H32" s="231">
        <v>370619</v>
      </c>
      <c r="I32" s="231">
        <v>0</v>
      </c>
      <c r="J32" s="231">
        <v>0</v>
      </c>
      <c r="K32" s="231">
        <v>596734</v>
      </c>
      <c r="L32" s="231">
        <v>0</v>
      </c>
      <c r="M32" s="231">
        <v>0</v>
      </c>
      <c r="N32" s="231">
        <v>573671</v>
      </c>
      <c r="O32" s="231">
        <v>0</v>
      </c>
      <c r="P32" s="231">
        <v>0</v>
      </c>
      <c r="Q32" s="231">
        <v>0</v>
      </c>
      <c r="R32" s="231">
        <v>0</v>
      </c>
      <c r="S32" s="231">
        <v>0</v>
      </c>
      <c r="T32" s="231">
        <v>0</v>
      </c>
      <c r="U32" s="231">
        <v>0</v>
      </c>
      <c r="V32" s="231">
        <v>0</v>
      </c>
      <c r="W32" s="231">
        <v>0</v>
      </c>
      <c r="X32" s="231">
        <v>0</v>
      </c>
      <c r="Y32" s="231">
        <v>0</v>
      </c>
      <c r="Z32" s="231">
        <v>99952</v>
      </c>
      <c r="AA32" s="231">
        <v>0</v>
      </c>
      <c r="AB32" s="231">
        <v>0</v>
      </c>
      <c r="AC32" s="231">
        <v>0</v>
      </c>
      <c r="AD32" s="231">
        <v>0</v>
      </c>
      <c r="AE32" s="231">
        <v>20880</v>
      </c>
      <c r="AF32" s="231">
        <v>0</v>
      </c>
      <c r="AG32" s="231">
        <v>0</v>
      </c>
      <c r="AH32" s="231">
        <v>101111</v>
      </c>
      <c r="AI32" s="231">
        <v>0</v>
      </c>
      <c r="AJ32" s="231">
        <v>0</v>
      </c>
      <c r="AK32" s="231">
        <v>0</v>
      </c>
      <c r="AL32" s="231">
        <v>0</v>
      </c>
      <c r="AM32" s="231">
        <v>104418</v>
      </c>
      <c r="AN32" s="231">
        <v>40509</v>
      </c>
    </row>
    <row r="33" spans="3:40" x14ac:dyDescent="0.3">
      <c r="C33" s="231">
        <v>35</v>
      </c>
      <c r="D33" s="231">
        <v>3</v>
      </c>
      <c r="E33" s="231">
        <v>7</v>
      </c>
      <c r="F33" s="231">
        <v>0</v>
      </c>
      <c r="G33" s="231">
        <v>0</v>
      </c>
      <c r="H33" s="231">
        <v>0</v>
      </c>
      <c r="I33" s="231">
        <v>0</v>
      </c>
      <c r="J33" s="231">
        <v>0</v>
      </c>
      <c r="K33" s="231">
        <v>0</v>
      </c>
      <c r="L33" s="231">
        <v>0</v>
      </c>
      <c r="M33" s="231">
        <v>0</v>
      </c>
      <c r="N33" s="231">
        <v>0</v>
      </c>
      <c r="O33" s="231">
        <v>0</v>
      </c>
      <c r="P33" s="231">
        <v>0</v>
      </c>
      <c r="Q33" s="231">
        <v>0</v>
      </c>
      <c r="R33" s="231">
        <v>0</v>
      </c>
      <c r="S33" s="231">
        <v>0</v>
      </c>
      <c r="T33" s="231">
        <v>0</v>
      </c>
      <c r="U33" s="231">
        <v>0</v>
      </c>
      <c r="V33" s="231">
        <v>0</v>
      </c>
      <c r="W33" s="231">
        <v>0</v>
      </c>
      <c r="X33" s="231">
        <v>0</v>
      </c>
      <c r="Y33" s="231">
        <v>0</v>
      </c>
      <c r="Z33" s="231">
        <v>0</v>
      </c>
      <c r="AA33" s="231">
        <v>0</v>
      </c>
      <c r="AB33" s="231">
        <v>0</v>
      </c>
      <c r="AC33" s="231">
        <v>0</v>
      </c>
      <c r="AD33" s="231">
        <v>0</v>
      </c>
      <c r="AE33" s="231">
        <v>0</v>
      </c>
      <c r="AF33" s="231">
        <v>0</v>
      </c>
      <c r="AG33" s="231">
        <v>0</v>
      </c>
      <c r="AH33" s="231">
        <v>0</v>
      </c>
      <c r="AI33" s="231">
        <v>0</v>
      </c>
      <c r="AJ33" s="231">
        <v>0</v>
      </c>
      <c r="AK33" s="231">
        <v>0</v>
      </c>
      <c r="AL33" s="231">
        <v>0</v>
      </c>
      <c r="AM33" s="231">
        <v>0</v>
      </c>
      <c r="AN33" s="231">
        <v>0</v>
      </c>
    </row>
    <row r="34" spans="3:40" x14ac:dyDescent="0.3">
      <c r="C34" s="231">
        <v>35</v>
      </c>
      <c r="D34" s="231">
        <v>3</v>
      </c>
      <c r="E34" s="231">
        <v>8</v>
      </c>
      <c r="F34" s="231">
        <v>0</v>
      </c>
      <c r="G34" s="231">
        <v>0</v>
      </c>
      <c r="H34" s="231">
        <v>0</v>
      </c>
      <c r="I34" s="231">
        <v>0</v>
      </c>
      <c r="J34" s="231">
        <v>0</v>
      </c>
      <c r="K34" s="231">
        <v>0</v>
      </c>
      <c r="L34" s="231">
        <v>0</v>
      </c>
      <c r="M34" s="231">
        <v>0</v>
      </c>
      <c r="N34" s="231">
        <v>0</v>
      </c>
      <c r="O34" s="231">
        <v>0</v>
      </c>
      <c r="P34" s="231">
        <v>0</v>
      </c>
      <c r="Q34" s="231">
        <v>0</v>
      </c>
      <c r="R34" s="231">
        <v>0</v>
      </c>
      <c r="S34" s="231">
        <v>0</v>
      </c>
      <c r="T34" s="231">
        <v>0</v>
      </c>
      <c r="U34" s="231">
        <v>0</v>
      </c>
      <c r="V34" s="231">
        <v>0</v>
      </c>
      <c r="W34" s="231">
        <v>0</v>
      </c>
      <c r="X34" s="231">
        <v>0</v>
      </c>
      <c r="Y34" s="231">
        <v>0</v>
      </c>
      <c r="Z34" s="231">
        <v>0</v>
      </c>
      <c r="AA34" s="231">
        <v>0</v>
      </c>
      <c r="AB34" s="231">
        <v>0</v>
      </c>
      <c r="AC34" s="231">
        <v>0</v>
      </c>
      <c r="AD34" s="231">
        <v>0</v>
      </c>
      <c r="AE34" s="231">
        <v>0</v>
      </c>
      <c r="AF34" s="231">
        <v>0</v>
      </c>
      <c r="AG34" s="231">
        <v>0</v>
      </c>
      <c r="AH34" s="231">
        <v>0</v>
      </c>
      <c r="AI34" s="231">
        <v>0</v>
      </c>
      <c r="AJ34" s="231">
        <v>0</v>
      </c>
      <c r="AK34" s="231">
        <v>0</v>
      </c>
      <c r="AL34" s="231">
        <v>0</v>
      </c>
      <c r="AM34" s="231">
        <v>0</v>
      </c>
      <c r="AN34" s="231">
        <v>0</v>
      </c>
    </row>
    <row r="35" spans="3:40" x14ac:dyDescent="0.3">
      <c r="C35" s="231">
        <v>35</v>
      </c>
      <c r="D35" s="231">
        <v>3</v>
      </c>
      <c r="E35" s="231">
        <v>9</v>
      </c>
      <c r="F35" s="231">
        <v>36372</v>
      </c>
      <c r="G35" s="231">
        <v>0</v>
      </c>
      <c r="H35" s="231">
        <v>0</v>
      </c>
      <c r="I35" s="231">
        <v>0</v>
      </c>
      <c r="J35" s="231">
        <v>0</v>
      </c>
      <c r="K35" s="231">
        <v>13332</v>
      </c>
      <c r="L35" s="231">
        <v>0</v>
      </c>
      <c r="M35" s="231">
        <v>0</v>
      </c>
      <c r="N35" s="231">
        <v>15960</v>
      </c>
      <c r="O35" s="231">
        <v>0</v>
      </c>
      <c r="P35" s="231">
        <v>0</v>
      </c>
      <c r="Q35" s="231">
        <v>0</v>
      </c>
      <c r="R35" s="231">
        <v>0</v>
      </c>
      <c r="S35" s="231">
        <v>0</v>
      </c>
      <c r="T35" s="231">
        <v>0</v>
      </c>
      <c r="U35" s="231">
        <v>0</v>
      </c>
      <c r="V35" s="231">
        <v>0</v>
      </c>
      <c r="W35" s="231">
        <v>0</v>
      </c>
      <c r="X35" s="231">
        <v>0</v>
      </c>
      <c r="Y35" s="231">
        <v>0</v>
      </c>
      <c r="Z35" s="231">
        <v>0</v>
      </c>
      <c r="AA35" s="231">
        <v>0</v>
      </c>
      <c r="AB35" s="231">
        <v>0</v>
      </c>
      <c r="AC35" s="231">
        <v>0</v>
      </c>
      <c r="AD35" s="231">
        <v>0</v>
      </c>
      <c r="AE35" s="231">
        <v>1480</v>
      </c>
      <c r="AF35" s="231">
        <v>0</v>
      </c>
      <c r="AG35" s="231">
        <v>0</v>
      </c>
      <c r="AH35" s="231">
        <v>0</v>
      </c>
      <c r="AI35" s="231">
        <v>0</v>
      </c>
      <c r="AJ35" s="231">
        <v>0</v>
      </c>
      <c r="AK35" s="231">
        <v>0</v>
      </c>
      <c r="AL35" s="231">
        <v>0</v>
      </c>
      <c r="AM35" s="231">
        <v>0</v>
      </c>
      <c r="AN35" s="231">
        <v>5600</v>
      </c>
    </row>
    <row r="36" spans="3:40" x14ac:dyDescent="0.3">
      <c r="C36" s="231">
        <v>35</v>
      </c>
      <c r="D36" s="231">
        <v>3</v>
      </c>
      <c r="E36" s="231">
        <v>10</v>
      </c>
      <c r="F36" s="231">
        <v>7249.1</v>
      </c>
      <c r="G36" s="231">
        <v>0</v>
      </c>
      <c r="H36" s="231">
        <v>300</v>
      </c>
      <c r="I36" s="231">
        <v>0</v>
      </c>
      <c r="J36" s="231">
        <v>0</v>
      </c>
      <c r="K36" s="231">
        <v>6949.1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0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v>0</v>
      </c>
      <c r="AF36" s="231">
        <v>0</v>
      </c>
      <c r="AG36" s="231">
        <v>0</v>
      </c>
      <c r="AH36" s="231">
        <v>0</v>
      </c>
      <c r="AI36" s="231">
        <v>0</v>
      </c>
      <c r="AJ36" s="231">
        <v>0</v>
      </c>
      <c r="AK36" s="231">
        <v>0</v>
      </c>
      <c r="AL36" s="231">
        <v>0</v>
      </c>
      <c r="AM36" s="231">
        <v>0</v>
      </c>
      <c r="AN36" s="231">
        <v>0</v>
      </c>
    </row>
    <row r="37" spans="3:40" x14ac:dyDescent="0.3">
      <c r="C37" s="231">
        <v>35</v>
      </c>
      <c r="D37" s="231">
        <v>3</v>
      </c>
      <c r="E37" s="231">
        <v>11</v>
      </c>
      <c r="F37" s="231">
        <v>5845</v>
      </c>
      <c r="G37" s="231">
        <v>0</v>
      </c>
      <c r="H37" s="231">
        <v>2095</v>
      </c>
      <c r="I37" s="231">
        <v>0</v>
      </c>
      <c r="J37" s="231">
        <v>0</v>
      </c>
      <c r="K37" s="231">
        <v>3750</v>
      </c>
      <c r="L37" s="231">
        <v>0</v>
      </c>
      <c r="M37" s="231">
        <v>0</v>
      </c>
      <c r="N37" s="231">
        <v>0</v>
      </c>
      <c r="O37" s="231">
        <v>0</v>
      </c>
      <c r="P37" s="231">
        <v>0</v>
      </c>
      <c r="Q37" s="231">
        <v>0</v>
      </c>
      <c r="R37" s="231">
        <v>0</v>
      </c>
      <c r="S37" s="231">
        <v>0</v>
      </c>
      <c r="T37" s="231">
        <v>0</v>
      </c>
      <c r="U37" s="231">
        <v>0</v>
      </c>
      <c r="V37" s="231">
        <v>0</v>
      </c>
      <c r="W37" s="231">
        <v>0</v>
      </c>
      <c r="X37" s="231">
        <v>0</v>
      </c>
      <c r="Y37" s="231">
        <v>0</v>
      </c>
      <c r="Z37" s="231">
        <v>0</v>
      </c>
      <c r="AA37" s="231">
        <v>0</v>
      </c>
      <c r="AB37" s="231">
        <v>0</v>
      </c>
      <c r="AC37" s="231">
        <v>0</v>
      </c>
      <c r="AD37" s="231">
        <v>0</v>
      </c>
      <c r="AE37" s="231">
        <v>0</v>
      </c>
      <c r="AF37" s="231">
        <v>0</v>
      </c>
      <c r="AG37" s="231">
        <v>0</v>
      </c>
      <c r="AH37" s="231">
        <v>0</v>
      </c>
      <c r="AI37" s="231">
        <v>0</v>
      </c>
      <c r="AJ37" s="231">
        <v>0</v>
      </c>
      <c r="AK37" s="231">
        <v>0</v>
      </c>
      <c r="AL37" s="231">
        <v>0</v>
      </c>
      <c r="AM37" s="231">
        <v>0</v>
      </c>
      <c r="AN37" s="231">
        <v>0</v>
      </c>
    </row>
    <row r="38" spans="3:40" x14ac:dyDescent="0.3">
      <c r="C38" s="231">
        <v>35</v>
      </c>
      <c r="D38" s="231">
        <v>4</v>
      </c>
      <c r="E38" s="231">
        <v>1</v>
      </c>
      <c r="F38" s="231">
        <v>72.75</v>
      </c>
      <c r="G38" s="231">
        <v>0</v>
      </c>
      <c r="H38" s="231">
        <v>6.7</v>
      </c>
      <c r="I38" s="231">
        <v>0</v>
      </c>
      <c r="J38" s="231">
        <v>0</v>
      </c>
      <c r="K38" s="231">
        <v>24.4</v>
      </c>
      <c r="L38" s="231">
        <v>0</v>
      </c>
      <c r="M38" s="231">
        <v>0</v>
      </c>
      <c r="N38" s="231">
        <v>22</v>
      </c>
      <c r="O38" s="231">
        <v>0</v>
      </c>
      <c r="P38" s="231">
        <v>0</v>
      </c>
      <c r="Q38" s="231">
        <v>0</v>
      </c>
      <c r="R38" s="231">
        <v>0</v>
      </c>
      <c r="S38" s="231">
        <v>0</v>
      </c>
      <c r="T38" s="231">
        <v>0</v>
      </c>
      <c r="U38" s="231">
        <v>0</v>
      </c>
      <c r="V38" s="231">
        <v>0</v>
      </c>
      <c r="W38" s="231">
        <v>0</v>
      </c>
      <c r="X38" s="231">
        <v>0</v>
      </c>
      <c r="Y38" s="231">
        <v>0</v>
      </c>
      <c r="Z38" s="231">
        <v>3.9</v>
      </c>
      <c r="AA38" s="231">
        <v>0</v>
      </c>
      <c r="AB38" s="231">
        <v>0</v>
      </c>
      <c r="AC38" s="231">
        <v>0</v>
      </c>
      <c r="AD38" s="231">
        <v>0</v>
      </c>
      <c r="AE38" s="231">
        <v>1</v>
      </c>
      <c r="AF38" s="231">
        <v>0</v>
      </c>
      <c r="AG38" s="231">
        <v>0</v>
      </c>
      <c r="AH38" s="231">
        <v>6.75</v>
      </c>
      <c r="AI38" s="231">
        <v>0</v>
      </c>
      <c r="AJ38" s="231">
        <v>0</v>
      </c>
      <c r="AK38" s="231">
        <v>0</v>
      </c>
      <c r="AL38" s="231">
        <v>0</v>
      </c>
      <c r="AM38" s="231">
        <v>5</v>
      </c>
      <c r="AN38" s="231">
        <v>3</v>
      </c>
    </row>
    <row r="39" spans="3:40" x14ac:dyDescent="0.3">
      <c r="C39" s="231">
        <v>35</v>
      </c>
      <c r="D39" s="231">
        <v>4</v>
      </c>
      <c r="E39" s="231">
        <v>2</v>
      </c>
      <c r="F39" s="231">
        <v>11380</v>
      </c>
      <c r="G39" s="231">
        <v>0</v>
      </c>
      <c r="H39" s="231">
        <v>1131.2</v>
      </c>
      <c r="I39" s="231">
        <v>0</v>
      </c>
      <c r="J39" s="231">
        <v>0</v>
      </c>
      <c r="K39" s="231">
        <v>3970.4</v>
      </c>
      <c r="L39" s="231">
        <v>0</v>
      </c>
      <c r="M39" s="231">
        <v>0</v>
      </c>
      <c r="N39" s="231">
        <v>3224</v>
      </c>
      <c r="O39" s="231">
        <v>0</v>
      </c>
      <c r="P39" s="231">
        <v>0</v>
      </c>
      <c r="Q39" s="231">
        <v>0</v>
      </c>
      <c r="R39" s="231">
        <v>0</v>
      </c>
      <c r="S39" s="231">
        <v>0</v>
      </c>
      <c r="T39" s="231">
        <v>0</v>
      </c>
      <c r="U39" s="231">
        <v>0</v>
      </c>
      <c r="V39" s="231">
        <v>0</v>
      </c>
      <c r="W39" s="231">
        <v>0</v>
      </c>
      <c r="X39" s="231">
        <v>0</v>
      </c>
      <c r="Y39" s="231">
        <v>0</v>
      </c>
      <c r="Z39" s="231">
        <v>622.4</v>
      </c>
      <c r="AA39" s="231">
        <v>0</v>
      </c>
      <c r="AB39" s="231">
        <v>0</v>
      </c>
      <c r="AC39" s="231">
        <v>0</v>
      </c>
      <c r="AD39" s="231">
        <v>0</v>
      </c>
      <c r="AE39" s="231">
        <v>176</v>
      </c>
      <c r="AF39" s="231">
        <v>0</v>
      </c>
      <c r="AG39" s="231">
        <v>0</v>
      </c>
      <c r="AH39" s="231">
        <v>1080</v>
      </c>
      <c r="AI39" s="231">
        <v>0</v>
      </c>
      <c r="AJ39" s="231">
        <v>0</v>
      </c>
      <c r="AK39" s="231">
        <v>0</v>
      </c>
      <c r="AL39" s="231">
        <v>0</v>
      </c>
      <c r="AM39" s="231">
        <v>680</v>
      </c>
      <c r="AN39" s="231">
        <v>496</v>
      </c>
    </row>
    <row r="40" spans="3:40" x14ac:dyDescent="0.3">
      <c r="C40" s="231">
        <v>35</v>
      </c>
      <c r="D40" s="231">
        <v>4</v>
      </c>
      <c r="E40" s="231">
        <v>3</v>
      </c>
      <c r="F40" s="231">
        <v>0</v>
      </c>
      <c r="G40" s="231">
        <v>0</v>
      </c>
      <c r="H40" s="231">
        <v>0</v>
      </c>
      <c r="I40" s="231">
        <v>0</v>
      </c>
      <c r="J40" s="231">
        <v>0</v>
      </c>
      <c r="K40" s="231">
        <v>0</v>
      </c>
      <c r="L40" s="231">
        <v>0</v>
      </c>
      <c r="M40" s="231">
        <v>0</v>
      </c>
      <c r="N40" s="231">
        <v>0</v>
      </c>
      <c r="O40" s="231">
        <v>0</v>
      </c>
      <c r="P40" s="231">
        <v>0</v>
      </c>
      <c r="Q40" s="231">
        <v>0</v>
      </c>
      <c r="R40" s="231">
        <v>0</v>
      </c>
      <c r="S40" s="231">
        <v>0</v>
      </c>
      <c r="T40" s="231">
        <v>0</v>
      </c>
      <c r="U40" s="231">
        <v>0</v>
      </c>
      <c r="V40" s="231">
        <v>0</v>
      </c>
      <c r="W40" s="231">
        <v>0</v>
      </c>
      <c r="X40" s="231">
        <v>0</v>
      </c>
      <c r="Y40" s="231">
        <v>0</v>
      </c>
      <c r="Z40" s="231">
        <v>0</v>
      </c>
      <c r="AA40" s="231">
        <v>0</v>
      </c>
      <c r="AB40" s="231">
        <v>0</v>
      </c>
      <c r="AC40" s="231">
        <v>0</v>
      </c>
      <c r="AD40" s="231">
        <v>0</v>
      </c>
      <c r="AE40" s="231">
        <v>0</v>
      </c>
      <c r="AF40" s="231">
        <v>0</v>
      </c>
      <c r="AG40" s="231">
        <v>0</v>
      </c>
      <c r="AH40" s="231">
        <v>0</v>
      </c>
      <c r="AI40" s="231">
        <v>0</v>
      </c>
      <c r="AJ40" s="231">
        <v>0</v>
      </c>
      <c r="AK40" s="231">
        <v>0</v>
      </c>
      <c r="AL40" s="231">
        <v>0</v>
      </c>
      <c r="AM40" s="231">
        <v>0</v>
      </c>
      <c r="AN40" s="231">
        <v>0</v>
      </c>
    </row>
    <row r="41" spans="3:40" x14ac:dyDescent="0.3">
      <c r="C41" s="231">
        <v>35</v>
      </c>
      <c r="D41" s="231">
        <v>4</v>
      </c>
      <c r="E41" s="231">
        <v>4</v>
      </c>
      <c r="F41" s="231">
        <v>378</v>
      </c>
      <c r="G41" s="231">
        <v>0</v>
      </c>
      <c r="H41" s="231">
        <v>43</v>
      </c>
      <c r="I41" s="231">
        <v>0</v>
      </c>
      <c r="J41" s="231">
        <v>0</v>
      </c>
      <c r="K41" s="231">
        <v>39</v>
      </c>
      <c r="L41" s="231">
        <v>0</v>
      </c>
      <c r="M41" s="231">
        <v>0</v>
      </c>
      <c r="N41" s="231">
        <v>296</v>
      </c>
      <c r="O41" s="231">
        <v>0</v>
      </c>
      <c r="P41" s="231">
        <v>0</v>
      </c>
      <c r="Q41" s="231">
        <v>0</v>
      </c>
      <c r="R41" s="231">
        <v>0</v>
      </c>
      <c r="S41" s="231">
        <v>0</v>
      </c>
      <c r="T41" s="231">
        <v>0</v>
      </c>
      <c r="U41" s="231">
        <v>0</v>
      </c>
      <c r="V41" s="231">
        <v>0</v>
      </c>
      <c r="W41" s="231">
        <v>0</v>
      </c>
      <c r="X41" s="231">
        <v>0</v>
      </c>
      <c r="Y41" s="231">
        <v>0</v>
      </c>
      <c r="Z41" s="231">
        <v>0</v>
      </c>
      <c r="AA41" s="231">
        <v>0</v>
      </c>
      <c r="AB41" s="231">
        <v>0</v>
      </c>
      <c r="AC41" s="231">
        <v>0</v>
      </c>
      <c r="AD41" s="231">
        <v>0</v>
      </c>
      <c r="AE41" s="231">
        <v>0</v>
      </c>
      <c r="AF41" s="231">
        <v>0</v>
      </c>
      <c r="AG41" s="231">
        <v>0</v>
      </c>
      <c r="AH41" s="231">
        <v>0</v>
      </c>
      <c r="AI41" s="231">
        <v>0</v>
      </c>
      <c r="AJ41" s="231">
        <v>0</v>
      </c>
      <c r="AK41" s="231">
        <v>0</v>
      </c>
      <c r="AL41" s="231">
        <v>0</v>
      </c>
      <c r="AM41" s="231">
        <v>0</v>
      </c>
      <c r="AN41" s="231">
        <v>0</v>
      </c>
    </row>
    <row r="42" spans="3:40" x14ac:dyDescent="0.3">
      <c r="C42" s="231">
        <v>35</v>
      </c>
      <c r="D42" s="231">
        <v>4</v>
      </c>
      <c r="E42" s="231">
        <v>5</v>
      </c>
      <c r="F42" s="231">
        <v>14</v>
      </c>
      <c r="G42" s="231">
        <v>14</v>
      </c>
      <c r="H42" s="231">
        <v>0</v>
      </c>
      <c r="I42" s="231">
        <v>0</v>
      </c>
      <c r="J42" s="231">
        <v>0</v>
      </c>
      <c r="K42" s="231">
        <v>0</v>
      </c>
      <c r="L42" s="231">
        <v>0</v>
      </c>
      <c r="M42" s="231">
        <v>0</v>
      </c>
      <c r="N42" s="231">
        <v>0</v>
      </c>
      <c r="O42" s="231">
        <v>0</v>
      </c>
      <c r="P42" s="231">
        <v>0</v>
      </c>
      <c r="Q42" s="231">
        <v>0</v>
      </c>
      <c r="R42" s="231">
        <v>0</v>
      </c>
      <c r="S42" s="231">
        <v>0</v>
      </c>
      <c r="T42" s="231">
        <v>0</v>
      </c>
      <c r="U42" s="231">
        <v>0</v>
      </c>
      <c r="V42" s="231">
        <v>0</v>
      </c>
      <c r="W42" s="231">
        <v>0</v>
      </c>
      <c r="X42" s="231">
        <v>0</v>
      </c>
      <c r="Y42" s="231">
        <v>0</v>
      </c>
      <c r="Z42" s="231">
        <v>0</v>
      </c>
      <c r="AA42" s="231">
        <v>0</v>
      </c>
      <c r="AB42" s="231">
        <v>0</v>
      </c>
      <c r="AC42" s="231">
        <v>0</v>
      </c>
      <c r="AD42" s="231">
        <v>0</v>
      </c>
      <c r="AE42" s="231">
        <v>0</v>
      </c>
      <c r="AF42" s="231">
        <v>0</v>
      </c>
      <c r="AG42" s="231">
        <v>0</v>
      </c>
      <c r="AH42" s="231">
        <v>0</v>
      </c>
      <c r="AI42" s="231">
        <v>0</v>
      </c>
      <c r="AJ42" s="231">
        <v>0</v>
      </c>
      <c r="AK42" s="231">
        <v>0</v>
      </c>
      <c r="AL42" s="231">
        <v>0</v>
      </c>
      <c r="AM42" s="231">
        <v>0</v>
      </c>
      <c r="AN42" s="231">
        <v>0</v>
      </c>
    </row>
    <row r="43" spans="3:40" x14ac:dyDescent="0.3">
      <c r="C43" s="231">
        <v>35</v>
      </c>
      <c r="D43" s="231">
        <v>4</v>
      </c>
      <c r="E43" s="231">
        <v>6</v>
      </c>
      <c r="F43" s="231">
        <v>1881844</v>
      </c>
      <c r="G43" s="231">
        <v>1300</v>
      </c>
      <c r="H43" s="231">
        <v>362581</v>
      </c>
      <c r="I43" s="231">
        <v>0</v>
      </c>
      <c r="J43" s="231">
        <v>0</v>
      </c>
      <c r="K43" s="231">
        <v>611134</v>
      </c>
      <c r="L43" s="231">
        <v>0</v>
      </c>
      <c r="M43" s="231">
        <v>0</v>
      </c>
      <c r="N43" s="231">
        <v>555628</v>
      </c>
      <c r="O43" s="231">
        <v>0</v>
      </c>
      <c r="P43" s="231">
        <v>0</v>
      </c>
      <c r="Q43" s="231">
        <v>0</v>
      </c>
      <c r="R43" s="231">
        <v>0</v>
      </c>
      <c r="S43" s="231">
        <v>0</v>
      </c>
      <c r="T43" s="231">
        <v>0</v>
      </c>
      <c r="U43" s="231">
        <v>0</v>
      </c>
      <c r="V43" s="231">
        <v>0</v>
      </c>
      <c r="W43" s="231">
        <v>0</v>
      </c>
      <c r="X43" s="231">
        <v>0</v>
      </c>
      <c r="Y43" s="231">
        <v>0</v>
      </c>
      <c r="Z43" s="231">
        <v>100658</v>
      </c>
      <c r="AA43" s="231">
        <v>0</v>
      </c>
      <c r="AB43" s="231">
        <v>0</v>
      </c>
      <c r="AC43" s="231">
        <v>0</v>
      </c>
      <c r="AD43" s="231">
        <v>0</v>
      </c>
      <c r="AE43" s="231">
        <v>19400</v>
      </c>
      <c r="AF43" s="231">
        <v>0</v>
      </c>
      <c r="AG43" s="231">
        <v>0</v>
      </c>
      <c r="AH43" s="231">
        <v>105259</v>
      </c>
      <c r="AI43" s="231">
        <v>0</v>
      </c>
      <c r="AJ43" s="231">
        <v>0</v>
      </c>
      <c r="AK43" s="231">
        <v>0</v>
      </c>
      <c r="AL43" s="231">
        <v>0</v>
      </c>
      <c r="AM43" s="231">
        <v>90895</v>
      </c>
      <c r="AN43" s="231">
        <v>34989</v>
      </c>
    </row>
    <row r="44" spans="3:40" x14ac:dyDescent="0.3">
      <c r="C44" s="231">
        <v>35</v>
      </c>
      <c r="D44" s="231">
        <v>4</v>
      </c>
      <c r="E44" s="231">
        <v>7</v>
      </c>
      <c r="F44" s="231">
        <v>0</v>
      </c>
      <c r="G44" s="231">
        <v>0</v>
      </c>
      <c r="H44" s="231">
        <v>0</v>
      </c>
      <c r="I44" s="231">
        <v>0</v>
      </c>
      <c r="J44" s="231">
        <v>0</v>
      </c>
      <c r="K44" s="231">
        <v>0</v>
      </c>
      <c r="L44" s="231">
        <v>0</v>
      </c>
      <c r="M44" s="231">
        <v>0</v>
      </c>
      <c r="N44" s="231">
        <v>0</v>
      </c>
      <c r="O44" s="231">
        <v>0</v>
      </c>
      <c r="P44" s="231">
        <v>0</v>
      </c>
      <c r="Q44" s="231">
        <v>0</v>
      </c>
      <c r="R44" s="231">
        <v>0</v>
      </c>
      <c r="S44" s="231">
        <v>0</v>
      </c>
      <c r="T44" s="231">
        <v>0</v>
      </c>
      <c r="U44" s="231">
        <v>0</v>
      </c>
      <c r="V44" s="231">
        <v>0</v>
      </c>
      <c r="W44" s="231">
        <v>0</v>
      </c>
      <c r="X44" s="231">
        <v>0</v>
      </c>
      <c r="Y44" s="231">
        <v>0</v>
      </c>
      <c r="Z44" s="231">
        <v>0</v>
      </c>
      <c r="AA44" s="231">
        <v>0</v>
      </c>
      <c r="AB44" s="231">
        <v>0</v>
      </c>
      <c r="AC44" s="231">
        <v>0</v>
      </c>
      <c r="AD44" s="231">
        <v>0</v>
      </c>
      <c r="AE44" s="231">
        <v>0</v>
      </c>
      <c r="AF44" s="231">
        <v>0</v>
      </c>
      <c r="AG44" s="231">
        <v>0</v>
      </c>
      <c r="AH44" s="231">
        <v>0</v>
      </c>
      <c r="AI44" s="231">
        <v>0</v>
      </c>
      <c r="AJ44" s="231">
        <v>0</v>
      </c>
      <c r="AK44" s="231">
        <v>0</v>
      </c>
      <c r="AL44" s="231">
        <v>0</v>
      </c>
      <c r="AM44" s="231">
        <v>0</v>
      </c>
      <c r="AN44" s="231">
        <v>0</v>
      </c>
    </row>
    <row r="45" spans="3:40" x14ac:dyDescent="0.3">
      <c r="C45" s="231">
        <v>35</v>
      </c>
      <c r="D45" s="231">
        <v>4</v>
      </c>
      <c r="E45" s="231">
        <v>8</v>
      </c>
      <c r="F45" s="231">
        <v>0</v>
      </c>
      <c r="G45" s="231">
        <v>0</v>
      </c>
      <c r="H45" s="231">
        <v>0</v>
      </c>
      <c r="I45" s="231">
        <v>0</v>
      </c>
      <c r="J45" s="231">
        <v>0</v>
      </c>
      <c r="K45" s="231">
        <v>0</v>
      </c>
      <c r="L45" s="231">
        <v>0</v>
      </c>
      <c r="M45" s="231">
        <v>0</v>
      </c>
      <c r="N45" s="231">
        <v>0</v>
      </c>
      <c r="O45" s="231">
        <v>0</v>
      </c>
      <c r="P45" s="231">
        <v>0</v>
      </c>
      <c r="Q45" s="231">
        <v>0</v>
      </c>
      <c r="R45" s="231">
        <v>0</v>
      </c>
      <c r="S45" s="231">
        <v>0</v>
      </c>
      <c r="T45" s="231">
        <v>0</v>
      </c>
      <c r="U45" s="231">
        <v>0</v>
      </c>
      <c r="V45" s="231">
        <v>0</v>
      </c>
      <c r="W45" s="231">
        <v>0</v>
      </c>
      <c r="X45" s="231">
        <v>0</v>
      </c>
      <c r="Y45" s="231">
        <v>0</v>
      </c>
      <c r="Z45" s="231">
        <v>0</v>
      </c>
      <c r="AA45" s="231">
        <v>0</v>
      </c>
      <c r="AB45" s="231">
        <v>0</v>
      </c>
      <c r="AC45" s="231">
        <v>0</v>
      </c>
      <c r="AD45" s="231">
        <v>0</v>
      </c>
      <c r="AE45" s="231">
        <v>0</v>
      </c>
      <c r="AF45" s="231">
        <v>0</v>
      </c>
      <c r="AG45" s="231">
        <v>0</v>
      </c>
      <c r="AH45" s="231">
        <v>0</v>
      </c>
      <c r="AI45" s="231">
        <v>0</v>
      </c>
      <c r="AJ45" s="231">
        <v>0</v>
      </c>
      <c r="AK45" s="231">
        <v>0</v>
      </c>
      <c r="AL45" s="231">
        <v>0</v>
      </c>
      <c r="AM45" s="231">
        <v>0</v>
      </c>
      <c r="AN45" s="231">
        <v>0</v>
      </c>
    </row>
    <row r="46" spans="3:40" x14ac:dyDescent="0.3">
      <c r="C46" s="231">
        <v>35</v>
      </c>
      <c r="D46" s="231">
        <v>4</v>
      </c>
      <c r="E46" s="231">
        <v>9</v>
      </c>
      <c r="F46" s="231">
        <v>26150</v>
      </c>
      <c r="G46" s="231">
        <v>0</v>
      </c>
      <c r="H46" s="231">
        <v>0</v>
      </c>
      <c r="I46" s="231">
        <v>0</v>
      </c>
      <c r="J46" s="231">
        <v>0</v>
      </c>
      <c r="K46" s="231">
        <v>6700</v>
      </c>
      <c r="L46" s="231">
        <v>0</v>
      </c>
      <c r="M46" s="231">
        <v>0</v>
      </c>
      <c r="N46" s="231">
        <v>10480</v>
      </c>
      <c r="O46" s="231">
        <v>0</v>
      </c>
      <c r="P46" s="231">
        <v>0</v>
      </c>
      <c r="Q46" s="231">
        <v>0</v>
      </c>
      <c r="R46" s="231">
        <v>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v>0</v>
      </c>
      <c r="AF46" s="231">
        <v>0</v>
      </c>
      <c r="AG46" s="231">
        <v>0</v>
      </c>
      <c r="AH46" s="231">
        <v>2210</v>
      </c>
      <c r="AI46" s="231">
        <v>0</v>
      </c>
      <c r="AJ46" s="231">
        <v>0</v>
      </c>
      <c r="AK46" s="231">
        <v>0</v>
      </c>
      <c r="AL46" s="231">
        <v>0</v>
      </c>
      <c r="AM46" s="231">
        <v>6760</v>
      </c>
      <c r="AN46" s="231">
        <v>0</v>
      </c>
    </row>
    <row r="47" spans="3:40" x14ac:dyDescent="0.3">
      <c r="C47" s="231">
        <v>35</v>
      </c>
      <c r="D47" s="231">
        <v>4</v>
      </c>
      <c r="E47" s="231">
        <v>10</v>
      </c>
      <c r="F47" s="231">
        <v>0</v>
      </c>
      <c r="G47" s="231">
        <v>0</v>
      </c>
      <c r="H47" s="231">
        <v>0</v>
      </c>
      <c r="I47" s="231">
        <v>0</v>
      </c>
      <c r="J47" s="231">
        <v>0</v>
      </c>
      <c r="K47" s="231">
        <v>0</v>
      </c>
      <c r="L47" s="231">
        <v>0</v>
      </c>
      <c r="M47" s="231">
        <v>0</v>
      </c>
      <c r="N47" s="231">
        <v>0</v>
      </c>
      <c r="O47" s="231">
        <v>0</v>
      </c>
      <c r="P47" s="231">
        <v>0</v>
      </c>
      <c r="Q47" s="231">
        <v>0</v>
      </c>
      <c r="R47" s="231">
        <v>0</v>
      </c>
      <c r="S47" s="231">
        <v>0</v>
      </c>
      <c r="T47" s="231">
        <v>0</v>
      </c>
      <c r="U47" s="231">
        <v>0</v>
      </c>
      <c r="V47" s="231">
        <v>0</v>
      </c>
      <c r="W47" s="231">
        <v>0</v>
      </c>
      <c r="X47" s="231">
        <v>0</v>
      </c>
      <c r="Y47" s="231">
        <v>0</v>
      </c>
      <c r="Z47" s="231">
        <v>0</v>
      </c>
      <c r="AA47" s="231">
        <v>0</v>
      </c>
      <c r="AB47" s="231">
        <v>0</v>
      </c>
      <c r="AC47" s="231">
        <v>0</v>
      </c>
      <c r="AD47" s="231">
        <v>0</v>
      </c>
      <c r="AE47" s="231">
        <v>0</v>
      </c>
      <c r="AF47" s="231">
        <v>0</v>
      </c>
      <c r="AG47" s="231">
        <v>0</v>
      </c>
      <c r="AH47" s="231">
        <v>0</v>
      </c>
      <c r="AI47" s="231">
        <v>0</v>
      </c>
      <c r="AJ47" s="231">
        <v>0</v>
      </c>
      <c r="AK47" s="231">
        <v>0</v>
      </c>
      <c r="AL47" s="231">
        <v>0</v>
      </c>
      <c r="AM47" s="231">
        <v>0</v>
      </c>
      <c r="AN47" s="231">
        <v>0</v>
      </c>
    </row>
    <row r="48" spans="3:40" x14ac:dyDescent="0.3">
      <c r="C48" s="231">
        <v>35</v>
      </c>
      <c r="D48" s="231">
        <v>4</v>
      </c>
      <c r="E48" s="231">
        <v>11</v>
      </c>
      <c r="F48" s="231">
        <v>5845</v>
      </c>
      <c r="G48" s="231">
        <v>0</v>
      </c>
      <c r="H48" s="231">
        <v>2095</v>
      </c>
      <c r="I48" s="231">
        <v>0</v>
      </c>
      <c r="J48" s="231">
        <v>0</v>
      </c>
      <c r="K48" s="231">
        <v>3750</v>
      </c>
      <c r="L48" s="231">
        <v>0</v>
      </c>
      <c r="M48" s="231">
        <v>0</v>
      </c>
      <c r="N48" s="231">
        <v>0</v>
      </c>
      <c r="O48" s="231">
        <v>0</v>
      </c>
      <c r="P48" s="231">
        <v>0</v>
      </c>
      <c r="Q48" s="231">
        <v>0</v>
      </c>
      <c r="R48" s="231">
        <v>0</v>
      </c>
      <c r="S48" s="231">
        <v>0</v>
      </c>
      <c r="T48" s="231">
        <v>0</v>
      </c>
      <c r="U48" s="231">
        <v>0</v>
      </c>
      <c r="V48" s="231">
        <v>0</v>
      </c>
      <c r="W48" s="231">
        <v>0</v>
      </c>
      <c r="X48" s="231">
        <v>0</v>
      </c>
      <c r="Y48" s="231">
        <v>0</v>
      </c>
      <c r="Z48" s="231">
        <v>0</v>
      </c>
      <c r="AA48" s="231">
        <v>0</v>
      </c>
      <c r="AB48" s="231">
        <v>0</v>
      </c>
      <c r="AC48" s="231">
        <v>0</v>
      </c>
      <c r="AD48" s="231">
        <v>0</v>
      </c>
      <c r="AE48" s="231">
        <v>0</v>
      </c>
      <c r="AF48" s="231">
        <v>0</v>
      </c>
      <c r="AG48" s="231">
        <v>0</v>
      </c>
      <c r="AH48" s="231">
        <v>0</v>
      </c>
      <c r="AI48" s="231">
        <v>0</v>
      </c>
      <c r="AJ48" s="231">
        <v>0</v>
      </c>
      <c r="AK48" s="231">
        <v>0</v>
      </c>
      <c r="AL48" s="231">
        <v>0</v>
      </c>
      <c r="AM48" s="231">
        <v>0</v>
      </c>
      <c r="AN48" s="231">
        <v>0</v>
      </c>
    </row>
    <row r="49" spans="3:40" x14ac:dyDescent="0.3">
      <c r="C49" s="231">
        <v>35</v>
      </c>
      <c r="D49" s="231">
        <v>5</v>
      </c>
      <c r="E49" s="231">
        <v>1</v>
      </c>
      <c r="F49" s="231">
        <v>71.75</v>
      </c>
      <c r="G49" s="231">
        <v>0</v>
      </c>
      <c r="H49" s="231">
        <v>6.7</v>
      </c>
      <c r="I49" s="231">
        <v>0</v>
      </c>
      <c r="J49" s="231">
        <v>0</v>
      </c>
      <c r="K49" s="231">
        <v>24.4</v>
      </c>
      <c r="L49" s="231">
        <v>0</v>
      </c>
      <c r="M49" s="231">
        <v>0</v>
      </c>
      <c r="N49" s="231">
        <v>21</v>
      </c>
      <c r="O49" s="231">
        <v>0</v>
      </c>
      <c r="P49" s="231">
        <v>0</v>
      </c>
      <c r="Q49" s="231">
        <v>0</v>
      </c>
      <c r="R49" s="231">
        <v>0</v>
      </c>
      <c r="S49" s="231">
        <v>0</v>
      </c>
      <c r="T49" s="231">
        <v>0</v>
      </c>
      <c r="U49" s="231">
        <v>0</v>
      </c>
      <c r="V49" s="231">
        <v>0</v>
      </c>
      <c r="W49" s="231">
        <v>0</v>
      </c>
      <c r="X49" s="231">
        <v>0</v>
      </c>
      <c r="Y49" s="231">
        <v>0</v>
      </c>
      <c r="Z49" s="231">
        <v>3.9</v>
      </c>
      <c r="AA49" s="231">
        <v>0</v>
      </c>
      <c r="AB49" s="231">
        <v>0</v>
      </c>
      <c r="AC49" s="231">
        <v>0</v>
      </c>
      <c r="AD49" s="231">
        <v>0</v>
      </c>
      <c r="AE49" s="231">
        <v>1</v>
      </c>
      <c r="AF49" s="231">
        <v>0</v>
      </c>
      <c r="AG49" s="231">
        <v>0</v>
      </c>
      <c r="AH49" s="231">
        <v>6.75</v>
      </c>
      <c r="AI49" s="231">
        <v>0</v>
      </c>
      <c r="AJ49" s="231">
        <v>0</v>
      </c>
      <c r="AK49" s="231">
        <v>0</v>
      </c>
      <c r="AL49" s="231">
        <v>0</v>
      </c>
      <c r="AM49" s="231">
        <v>5</v>
      </c>
      <c r="AN49" s="231">
        <v>3</v>
      </c>
    </row>
    <row r="50" spans="3:40" x14ac:dyDescent="0.3">
      <c r="C50" s="231">
        <v>35</v>
      </c>
      <c r="D50" s="231">
        <v>5</v>
      </c>
      <c r="E50" s="231">
        <v>2</v>
      </c>
      <c r="F50" s="231">
        <v>10949.2</v>
      </c>
      <c r="G50" s="231">
        <v>0</v>
      </c>
      <c r="H50" s="231">
        <v>1128.8</v>
      </c>
      <c r="I50" s="231">
        <v>0</v>
      </c>
      <c r="J50" s="231">
        <v>0</v>
      </c>
      <c r="K50" s="231">
        <v>3680.8</v>
      </c>
      <c r="L50" s="231">
        <v>0</v>
      </c>
      <c r="M50" s="231">
        <v>0</v>
      </c>
      <c r="N50" s="231">
        <v>3048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645.6</v>
      </c>
      <c r="AA50" s="231">
        <v>0</v>
      </c>
      <c r="AB50" s="231">
        <v>0</v>
      </c>
      <c r="AC50" s="231">
        <v>0</v>
      </c>
      <c r="AD50" s="231">
        <v>0</v>
      </c>
      <c r="AE50" s="231">
        <v>152</v>
      </c>
      <c r="AF50" s="231">
        <v>0</v>
      </c>
      <c r="AG50" s="231">
        <v>0</v>
      </c>
      <c r="AH50" s="231">
        <v>1138</v>
      </c>
      <c r="AI50" s="231">
        <v>0</v>
      </c>
      <c r="AJ50" s="231">
        <v>0</v>
      </c>
      <c r="AK50" s="231">
        <v>0</v>
      </c>
      <c r="AL50" s="231">
        <v>0</v>
      </c>
      <c r="AM50" s="231">
        <v>668</v>
      </c>
      <c r="AN50" s="231">
        <v>488</v>
      </c>
    </row>
    <row r="51" spans="3:40" x14ac:dyDescent="0.3">
      <c r="C51" s="231">
        <v>35</v>
      </c>
      <c r="D51" s="231">
        <v>5</v>
      </c>
      <c r="E51" s="231">
        <v>3</v>
      </c>
      <c r="F51" s="231">
        <v>0</v>
      </c>
      <c r="G51" s="231">
        <v>0</v>
      </c>
      <c r="H51" s="231">
        <v>0</v>
      </c>
      <c r="I51" s="231">
        <v>0</v>
      </c>
      <c r="J51" s="231">
        <v>0</v>
      </c>
      <c r="K51" s="231">
        <v>0</v>
      </c>
      <c r="L51" s="231">
        <v>0</v>
      </c>
      <c r="M51" s="231">
        <v>0</v>
      </c>
      <c r="N51" s="231">
        <v>0</v>
      </c>
      <c r="O51" s="231">
        <v>0</v>
      </c>
      <c r="P51" s="231">
        <v>0</v>
      </c>
      <c r="Q51" s="231">
        <v>0</v>
      </c>
      <c r="R51" s="231">
        <v>0</v>
      </c>
      <c r="S51" s="231">
        <v>0</v>
      </c>
      <c r="T51" s="231">
        <v>0</v>
      </c>
      <c r="U51" s="231">
        <v>0</v>
      </c>
      <c r="V51" s="231">
        <v>0</v>
      </c>
      <c r="W51" s="231">
        <v>0</v>
      </c>
      <c r="X51" s="231">
        <v>0</v>
      </c>
      <c r="Y51" s="231">
        <v>0</v>
      </c>
      <c r="Z51" s="231">
        <v>0</v>
      </c>
      <c r="AA51" s="231">
        <v>0</v>
      </c>
      <c r="AB51" s="231">
        <v>0</v>
      </c>
      <c r="AC51" s="231">
        <v>0</v>
      </c>
      <c r="AD51" s="231">
        <v>0</v>
      </c>
      <c r="AE51" s="231">
        <v>0</v>
      </c>
      <c r="AF51" s="231">
        <v>0</v>
      </c>
      <c r="AG51" s="231">
        <v>0</v>
      </c>
      <c r="AH51" s="231">
        <v>0</v>
      </c>
      <c r="AI51" s="231">
        <v>0</v>
      </c>
      <c r="AJ51" s="231">
        <v>0</v>
      </c>
      <c r="AK51" s="231">
        <v>0</v>
      </c>
      <c r="AL51" s="231">
        <v>0</v>
      </c>
      <c r="AM51" s="231">
        <v>0</v>
      </c>
      <c r="AN51" s="231">
        <v>0</v>
      </c>
    </row>
    <row r="52" spans="3:40" x14ac:dyDescent="0.3">
      <c r="C52" s="231">
        <v>35</v>
      </c>
      <c r="D52" s="231">
        <v>5</v>
      </c>
      <c r="E52" s="231">
        <v>4</v>
      </c>
      <c r="F52" s="231">
        <v>416</v>
      </c>
      <c r="G52" s="231">
        <v>0</v>
      </c>
      <c r="H52" s="231">
        <v>44</v>
      </c>
      <c r="I52" s="231">
        <v>0</v>
      </c>
      <c r="J52" s="231">
        <v>0</v>
      </c>
      <c r="K52" s="231">
        <v>37</v>
      </c>
      <c r="L52" s="231">
        <v>0</v>
      </c>
      <c r="M52" s="231">
        <v>0</v>
      </c>
      <c r="N52" s="231">
        <v>335</v>
      </c>
      <c r="O52" s="231">
        <v>0</v>
      </c>
      <c r="P52" s="231">
        <v>0</v>
      </c>
      <c r="Q52" s="231">
        <v>0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v>0</v>
      </c>
      <c r="AF52" s="231">
        <v>0</v>
      </c>
      <c r="AG52" s="231">
        <v>0</v>
      </c>
      <c r="AH52" s="231">
        <v>0</v>
      </c>
      <c r="AI52" s="231">
        <v>0</v>
      </c>
      <c r="AJ52" s="231">
        <v>0</v>
      </c>
      <c r="AK52" s="231">
        <v>0</v>
      </c>
      <c r="AL52" s="231">
        <v>0</v>
      </c>
      <c r="AM52" s="231">
        <v>0</v>
      </c>
      <c r="AN52" s="231">
        <v>0</v>
      </c>
    </row>
    <row r="53" spans="3:40" x14ac:dyDescent="0.3">
      <c r="C53" s="231">
        <v>35</v>
      </c>
      <c r="D53" s="231">
        <v>5</v>
      </c>
      <c r="E53" s="231">
        <v>5</v>
      </c>
      <c r="F53" s="231">
        <v>42.5</v>
      </c>
      <c r="G53" s="231">
        <v>42.5</v>
      </c>
      <c r="H53" s="231">
        <v>0</v>
      </c>
      <c r="I53" s="231">
        <v>0</v>
      </c>
      <c r="J53" s="231">
        <v>0</v>
      </c>
      <c r="K53" s="231">
        <v>0</v>
      </c>
      <c r="L53" s="231">
        <v>0</v>
      </c>
      <c r="M53" s="231">
        <v>0</v>
      </c>
      <c r="N53" s="231">
        <v>0</v>
      </c>
      <c r="O53" s="231">
        <v>0</v>
      </c>
      <c r="P53" s="231">
        <v>0</v>
      </c>
      <c r="Q53" s="231">
        <v>0</v>
      </c>
      <c r="R53" s="231">
        <v>0</v>
      </c>
      <c r="S53" s="231">
        <v>0</v>
      </c>
      <c r="T53" s="231">
        <v>0</v>
      </c>
      <c r="U53" s="231">
        <v>0</v>
      </c>
      <c r="V53" s="231">
        <v>0</v>
      </c>
      <c r="W53" s="231">
        <v>0</v>
      </c>
      <c r="X53" s="231">
        <v>0</v>
      </c>
      <c r="Y53" s="231">
        <v>0</v>
      </c>
      <c r="Z53" s="231">
        <v>0</v>
      </c>
      <c r="AA53" s="231">
        <v>0</v>
      </c>
      <c r="AB53" s="231">
        <v>0</v>
      </c>
      <c r="AC53" s="231">
        <v>0</v>
      </c>
      <c r="AD53" s="231">
        <v>0</v>
      </c>
      <c r="AE53" s="231">
        <v>0</v>
      </c>
      <c r="AF53" s="231">
        <v>0</v>
      </c>
      <c r="AG53" s="231">
        <v>0</v>
      </c>
      <c r="AH53" s="231">
        <v>0</v>
      </c>
      <c r="AI53" s="231">
        <v>0</v>
      </c>
      <c r="AJ53" s="231">
        <v>0</v>
      </c>
      <c r="AK53" s="231">
        <v>0</v>
      </c>
      <c r="AL53" s="231">
        <v>0</v>
      </c>
      <c r="AM53" s="231">
        <v>0</v>
      </c>
      <c r="AN53" s="231">
        <v>0</v>
      </c>
    </row>
    <row r="54" spans="3:40" x14ac:dyDescent="0.3">
      <c r="C54" s="231">
        <v>35</v>
      </c>
      <c r="D54" s="231">
        <v>5</v>
      </c>
      <c r="E54" s="231">
        <v>6</v>
      </c>
      <c r="F54" s="231">
        <v>1892056</v>
      </c>
      <c r="G54" s="231">
        <v>2400</v>
      </c>
      <c r="H54" s="231">
        <v>369437</v>
      </c>
      <c r="I54" s="231">
        <v>0</v>
      </c>
      <c r="J54" s="231">
        <v>0</v>
      </c>
      <c r="K54" s="231">
        <v>602577</v>
      </c>
      <c r="L54" s="231">
        <v>0</v>
      </c>
      <c r="M54" s="231">
        <v>0</v>
      </c>
      <c r="N54" s="231">
        <v>559192</v>
      </c>
      <c r="O54" s="231">
        <v>0</v>
      </c>
      <c r="P54" s="231">
        <v>0</v>
      </c>
      <c r="Q54" s="231">
        <v>0</v>
      </c>
      <c r="R54" s="231">
        <v>0</v>
      </c>
      <c r="S54" s="231">
        <v>0</v>
      </c>
      <c r="T54" s="231">
        <v>0</v>
      </c>
      <c r="U54" s="231">
        <v>0</v>
      </c>
      <c r="V54" s="231">
        <v>0</v>
      </c>
      <c r="W54" s="231">
        <v>0</v>
      </c>
      <c r="X54" s="231">
        <v>0</v>
      </c>
      <c r="Y54" s="231">
        <v>0</v>
      </c>
      <c r="Z54" s="231">
        <v>100321</v>
      </c>
      <c r="AA54" s="231">
        <v>0</v>
      </c>
      <c r="AB54" s="231">
        <v>0</v>
      </c>
      <c r="AC54" s="231">
        <v>0</v>
      </c>
      <c r="AD54" s="231">
        <v>0</v>
      </c>
      <c r="AE54" s="231">
        <v>19778</v>
      </c>
      <c r="AF54" s="231">
        <v>0</v>
      </c>
      <c r="AG54" s="231">
        <v>0</v>
      </c>
      <c r="AH54" s="231">
        <v>105269</v>
      </c>
      <c r="AI54" s="231">
        <v>0</v>
      </c>
      <c r="AJ54" s="231">
        <v>0</v>
      </c>
      <c r="AK54" s="231">
        <v>0</v>
      </c>
      <c r="AL54" s="231">
        <v>0</v>
      </c>
      <c r="AM54" s="231">
        <v>97682</v>
      </c>
      <c r="AN54" s="231">
        <v>35400</v>
      </c>
    </row>
    <row r="55" spans="3:40" x14ac:dyDescent="0.3">
      <c r="C55" s="231">
        <v>35</v>
      </c>
      <c r="D55" s="231">
        <v>5</v>
      </c>
      <c r="E55" s="231">
        <v>7</v>
      </c>
      <c r="F55" s="231">
        <v>0</v>
      </c>
      <c r="G55" s="231">
        <v>0</v>
      </c>
      <c r="H55" s="231">
        <v>0</v>
      </c>
      <c r="I55" s="231">
        <v>0</v>
      </c>
      <c r="J55" s="231">
        <v>0</v>
      </c>
      <c r="K55" s="231">
        <v>0</v>
      </c>
      <c r="L55" s="231">
        <v>0</v>
      </c>
      <c r="M55" s="231">
        <v>0</v>
      </c>
      <c r="N55" s="231">
        <v>0</v>
      </c>
      <c r="O55" s="231">
        <v>0</v>
      </c>
      <c r="P55" s="231">
        <v>0</v>
      </c>
      <c r="Q55" s="231">
        <v>0</v>
      </c>
      <c r="R55" s="231">
        <v>0</v>
      </c>
      <c r="S55" s="231">
        <v>0</v>
      </c>
      <c r="T55" s="231">
        <v>0</v>
      </c>
      <c r="U55" s="231">
        <v>0</v>
      </c>
      <c r="V55" s="231">
        <v>0</v>
      </c>
      <c r="W55" s="231">
        <v>0</v>
      </c>
      <c r="X55" s="231">
        <v>0</v>
      </c>
      <c r="Y55" s="231">
        <v>0</v>
      </c>
      <c r="Z55" s="231">
        <v>0</v>
      </c>
      <c r="AA55" s="231">
        <v>0</v>
      </c>
      <c r="AB55" s="231">
        <v>0</v>
      </c>
      <c r="AC55" s="231">
        <v>0</v>
      </c>
      <c r="AD55" s="231">
        <v>0</v>
      </c>
      <c r="AE55" s="231">
        <v>0</v>
      </c>
      <c r="AF55" s="231">
        <v>0</v>
      </c>
      <c r="AG55" s="231">
        <v>0</v>
      </c>
      <c r="AH55" s="231">
        <v>0</v>
      </c>
      <c r="AI55" s="231">
        <v>0</v>
      </c>
      <c r="AJ55" s="231">
        <v>0</v>
      </c>
      <c r="AK55" s="231">
        <v>0</v>
      </c>
      <c r="AL55" s="231">
        <v>0</v>
      </c>
      <c r="AM55" s="231">
        <v>0</v>
      </c>
      <c r="AN55" s="231">
        <v>0</v>
      </c>
    </row>
    <row r="56" spans="3:40" x14ac:dyDescent="0.3">
      <c r="C56" s="231">
        <v>35</v>
      </c>
      <c r="D56" s="231">
        <v>5</v>
      </c>
      <c r="E56" s="231">
        <v>8</v>
      </c>
      <c r="F56" s="231">
        <v>0</v>
      </c>
      <c r="G56" s="231">
        <v>0</v>
      </c>
      <c r="H56" s="231">
        <v>0</v>
      </c>
      <c r="I56" s="231">
        <v>0</v>
      </c>
      <c r="J56" s="231">
        <v>0</v>
      </c>
      <c r="K56" s="231">
        <v>0</v>
      </c>
      <c r="L56" s="231">
        <v>0</v>
      </c>
      <c r="M56" s="231">
        <v>0</v>
      </c>
      <c r="N56" s="231">
        <v>0</v>
      </c>
      <c r="O56" s="231">
        <v>0</v>
      </c>
      <c r="P56" s="231">
        <v>0</v>
      </c>
      <c r="Q56" s="231">
        <v>0</v>
      </c>
      <c r="R56" s="231">
        <v>0</v>
      </c>
      <c r="S56" s="231">
        <v>0</v>
      </c>
      <c r="T56" s="231">
        <v>0</v>
      </c>
      <c r="U56" s="231">
        <v>0</v>
      </c>
      <c r="V56" s="231">
        <v>0</v>
      </c>
      <c r="W56" s="231">
        <v>0</v>
      </c>
      <c r="X56" s="231">
        <v>0</v>
      </c>
      <c r="Y56" s="231">
        <v>0</v>
      </c>
      <c r="Z56" s="231">
        <v>0</v>
      </c>
      <c r="AA56" s="231">
        <v>0</v>
      </c>
      <c r="AB56" s="231">
        <v>0</v>
      </c>
      <c r="AC56" s="231">
        <v>0</v>
      </c>
      <c r="AD56" s="231">
        <v>0</v>
      </c>
      <c r="AE56" s="231">
        <v>0</v>
      </c>
      <c r="AF56" s="231">
        <v>0</v>
      </c>
      <c r="AG56" s="231">
        <v>0</v>
      </c>
      <c r="AH56" s="231">
        <v>0</v>
      </c>
      <c r="AI56" s="231">
        <v>0</v>
      </c>
      <c r="AJ56" s="231">
        <v>0</v>
      </c>
      <c r="AK56" s="231">
        <v>0</v>
      </c>
      <c r="AL56" s="231">
        <v>0</v>
      </c>
      <c r="AM56" s="231">
        <v>0</v>
      </c>
      <c r="AN56" s="231">
        <v>0</v>
      </c>
    </row>
    <row r="57" spans="3:40" x14ac:dyDescent="0.3">
      <c r="C57" s="231">
        <v>35</v>
      </c>
      <c r="D57" s="231">
        <v>5</v>
      </c>
      <c r="E57" s="231">
        <v>9</v>
      </c>
      <c r="F57" s="231">
        <v>24840</v>
      </c>
      <c r="G57" s="231">
        <v>0</v>
      </c>
      <c r="H57" s="231">
        <v>0</v>
      </c>
      <c r="I57" s="231">
        <v>0</v>
      </c>
      <c r="J57" s="231">
        <v>0</v>
      </c>
      <c r="K57" s="231">
        <v>4800</v>
      </c>
      <c r="L57" s="231">
        <v>0</v>
      </c>
      <c r="M57" s="231">
        <v>0</v>
      </c>
      <c r="N57" s="231">
        <v>10480</v>
      </c>
      <c r="O57" s="231">
        <v>0</v>
      </c>
      <c r="P57" s="231">
        <v>0</v>
      </c>
      <c r="Q57" s="231">
        <v>0</v>
      </c>
      <c r="R57" s="231">
        <v>0</v>
      </c>
      <c r="S57" s="231">
        <v>0</v>
      </c>
      <c r="T57" s="231">
        <v>0</v>
      </c>
      <c r="U57" s="231">
        <v>0</v>
      </c>
      <c r="V57" s="231">
        <v>0</v>
      </c>
      <c r="W57" s="231">
        <v>0</v>
      </c>
      <c r="X57" s="231">
        <v>0</v>
      </c>
      <c r="Y57" s="231">
        <v>0</v>
      </c>
      <c r="Z57" s="231">
        <v>0</v>
      </c>
      <c r="AA57" s="231">
        <v>0</v>
      </c>
      <c r="AB57" s="231">
        <v>0</v>
      </c>
      <c r="AC57" s="231">
        <v>0</v>
      </c>
      <c r="AD57" s="231">
        <v>0</v>
      </c>
      <c r="AE57" s="231">
        <v>0</v>
      </c>
      <c r="AF57" s="231">
        <v>0</v>
      </c>
      <c r="AG57" s="231">
        <v>0</v>
      </c>
      <c r="AH57" s="231">
        <v>2800</v>
      </c>
      <c r="AI57" s="231">
        <v>0</v>
      </c>
      <c r="AJ57" s="231">
        <v>0</v>
      </c>
      <c r="AK57" s="231">
        <v>0</v>
      </c>
      <c r="AL57" s="231">
        <v>0</v>
      </c>
      <c r="AM57" s="231">
        <v>6760</v>
      </c>
      <c r="AN57" s="231">
        <v>0</v>
      </c>
    </row>
    <row r="58" spans="3:40" x14ac:dyDescent="0.3">
      <c r="C58" s="231">
        <v>35</v>
      </c>
      <c r="D58" s="231">
        <v>5</v>
      </c>
      <c r="E58" s="231">
        <v>10</v>
      </c>
      <c r="F58" s="231">
        <v>3400</v>
      </c>
      <c r="G58" s="231">
        <v>0</v>
      </c>
      <c r="H58" s="231">
        <v>0</v>
      </c>
      <c r="I58" s="231">
        <v>0</v>
      </c>
      <c r="J58" s="231">
        <v>0</v>
      </c>
      <c r="K58" s="231">
        <v>3400</v>
      </c>
      <c r="L58" s="231">
        <v>0</v>
      </c>
      <c r="M58" s="231">
        <v>0</v>
      </c>
      <c r="N58" s="231">
        <v>0</v>
      </c>
      <c r="O58" s="231">
        <v>0</v>
      </c>
      <c r="P58" s="231">
        <v>0</v>
      </c>
      <c r="Q58" s="231">
        <v>0</v>
      </c>
      <c r="R58" s="231">
        <v>0</v>
      </c>
      <c r="S58" s="231">
        <v>0</v>
      </c>
      <c r="T58" s="231">
        <v>0</v>
      </c>
      <c r="U58" s="231">
        <v>0</v>
      </c>
      <c r="V58" s="231">
        <v>0</v>
      </c>
      <c r="W58" s="231">
        <v>0</v>
      </c>
      <c r="X58" s="231">
        <v>0</v>
      </c>
      <c r="Y58" s="231">
        <v>0</v>
      </c>
      <c r="Z58" s="231">
        <v>0</v>
      </c>
      <c r="AA58" s="231">
        <v>0</v>
      </c>
      <c r="AB58" s="231">
        <v>0</v>
      </c>
      <c r="AC58" s="231">
        <v>0</v>
      </c>
      <c r="AD58" s="231">
        <v>0</v>
      </c>
      <c r="AE58" s="231">
        <v>0</v>
      </c>
      <c r="AF58" s="231">
        <v>0</v>
      </c>
      <c r="AG58" s="231">
        <v>0</v>
      </c>
      <c r="AH58" s="231">
        <v>0</v>
      </c>
      <c r="AI58" s="231">
        <v>0</v>
      </c>
      <c r="AJ58" s="231">
        <v>0</v>
      </c>
      <c r="AK58" s="231">
        <v>0</v>
      </c>
      <c r="AL58" s="231">
        <v>0</v>
      </c>
      <c r="AM58" s="231">
        <v>0</v>
      </c>
      <c r="AN58" s="231">
        <v>0</v>
      </c>
    </row>
    <row r="59" spans="3:40" x14ac:dyDescent="0.3">
      <c r="C59" s="231">
        <v>35</v>
      </c>
      <c r="D59" s="231">
        <v>5</v>
      </c>
      <c r="E59" s="231">
        <v>11</v>
      </c>
      <c r="F59" s="231">
        <v>5845</v>
      </c>
      <c r="G59" s="231">
        <v>0</v>
      </c>
      <c r="H59" s="231">
        <v>2095</v>
      </c>
      <c r="I59" s="231">
        <v>0</v>
      </c>
      <c r="J59" s="231">
        <v>0</v>
      </c>
      <c r="K59" s="231">
        <v>3750</v>
      </c>
      <c r="L59" s="231">
        <v>0</v>
      </c>
      <c r="M59" s="231">
        <v>0</v>
      </c>
      <c r="N59" s="231">
        <v>0</v>
      </c>
      <c r="O59" s="231">
        <v>0</v>
      </c>
      <c r="P59" s="231">
        <v>0</v>
      </c>
      <c r="Q59" s="231">
        <v>0</v>
      </c>
      <c r="R59" s="231">
        <v>0</v>
      </c>
      <c r="S59" s="231">
        <v>0</v>
      </c>
      <c r="T59" s="231">
        <v>0</v>
      </c>
      <c r="U59" s="231">
        <v>0</v>
      </c>
      <c r="V59" s="231">
        <v>0</v>
      </c>
      <c r="W59" s="231">
        <v>0</v>
      </c>
      <c r="X59" s="231">
        <v>0</v>
      </c>
      <c r="Y59" s="231">
        <v>0</v>
      </c>
      <c r="Z59" s="231">
        <v>0</v>
      </c>
      <c r="AA59" s="231">
        <v>0</v>
      </c>
      <c r="AB59" s="231">
        <v>0</v>
      </c>
      <c r="AC59" s="231">
        <v>0</v>
      </c>
      <c r="AD59" s="231">
        <v>0</v>
      </c>
      <c r="AE59" s="231">
        <v>0</v>
      </c>
      <c r="AF59" s="231">
        <v>0</v>
      </c>
      <c r="AG59" s="231">
        <v>0</v>
      </c>
      <c r="AH59" s="231">
        <v>0</v>
      </c>
      <c r="AI59" s="231">
        <v>0</v>
      </c>
      <c r="AJ59" s="231">
        <v>0</v>
      </c>
      <c r="AK59" s="231">
        <v>0</v>
      </c>
      <c r="AL59" s="231">
        <v>0</v>
      </c>
      <c r="AM59" s="231">
        <v>0</v>
      </c>
      <c r="AN59" s="231">
        <v>0</v>
      </c>
    </row>
    <row r="60" spans="3:40" x14ac:dyDescent="0.3">
      <c r="C60" s="231">
        <v>35</v>
      </c>
      <c r="D60" s="231">
        <v>6</v>
      </c>
      <c r="E60" s="231">
        <v>1</v>
      </c>
      <c r="F60" s="231">
        <v>71.75</v>
      </c>
      <c r="G60" s="231">
        <v>0</v>
      </c>
      <c r="H60" s="231">
        <v>6.7</v>
      </c>
      <c r="I60" s="231">
        <v>0</v>
      </c>
      <c r="J60" s="231">
        <v>0</v>
      </c>
      <c r="K60" s="231">
        <v>24.4</v>
      </c>
      <c r="L60" s="231">
        <v>0</v>
      </c>
      <c r="M60" s="231">
        <v>0</v>
      </c>
      <c r="N60" s="231">
        <v>21</v>
      </c>
      <c r="O60" s="231">
        <v>0</v>
      </c>
      <c r="P60" s="231">
        <v>0</v>
      </c>
      <c r="Q60" s="231">
        <v>0</v>
      </c>
      <c r="R60" s="231">
        <v>0</v>
      </c>
      <c r="S60" s="231">
        <v>0</v>
      </c>
      <c r="T60" s="231">
        <v>0</v>
      </c>
      <c r="U60" s="231">
        <v>0</v>
      </c>
      <c r="V60" s="231">
        <v>0</v>
      </c>
      <c r="W60" s="231">
        <v>0</v>
      </c>
      <c r="X60" s="231">
        <v>0</v>
      </c>
      <c r="Y60" s="231">
        <v>0</v>
      </c>
      <c r="Z60" s="231">
        <v>3.9</v>
      </c>
      <c r="AA60" s="231">
        <v>0</v>
      </c>
      <c r="AB60" s="231">
        <v>0</v>
      </c>
      <c r="AC60" s="231">
        <v>0</v>
      </c>
      <c r="AD60" s="231">
        <v>0</v>
      </c>
      <c r="AE60" s="231">
        <v>1</v>
      </c>
      <c r="AF60" s="231">
        <v>0</v>
      </c>
      <c r="AG60" s="231">
        <v>0</v>
      </c>
      <c r="AH60" s="231">
        <v>6.75</v>
      </c>
      <c r="AI60" s="231">
        <v>0</v>
      </c>
      <c r="AJ60" s="231">
        <v>0</v>
      </c>
      <c r="AK60" s="231">
        <v>0</v>
      </c>
      <c r="AL60" s="231">
        <v>0</v>
      </c>
      <c r="AM60" s="231">
        <v>5</v>
      </c>
      <c r="AN60" s="231">
        <v>3</v>
      </c>
    </row>
    <row r="61" spans="3:40" x14ac:dyDescent="0.3">
      <c r="C61" s="231">
        <v>35</v>
      </c>
      <c r="D61" s="231">
        <v>6</v>
      </c>
      <c r="E61" s="231">
        <v>2</v>
      </c>
      <c r="F61" s="231">
        <v>10029.6</v>
      </c>
      <c r="G61" s="231">
        <v>0</v>
      </c>
      <c r="H61" s="231">
        <v>1002.4</v>
      </c>
      <c r="I61" s="231">
        <v>0</v>
      </c>
      <c r="J61" s="231">
        <v>0</v>
      </c>
      <c r="K61" s="231">
        <v>3407.6</v>
      </c>
      <c r="L61" s="231">
        <v>0</v>
      </c>
      <c r="M61" s="231">
        <v>0</v>
      </c>
      <c r="N61" s="231">
        <v>2644</v>
      </c>
      <c r="O61" s="231">
        <v>0</v>
      </c>
      <c r="P61" s="231">
        <v>0</v>
      </c>
      <c r="Q61" s="231">
        <v>0</v>
      </c>
      <c r="R61" s="231">
        <v>0</v>
      </c>
      <c r="S61" s="231">
        <v>0</v>
      </c>
      <c r="T61" s="231">
        <v>0</v>
      </c>
      <c r="U61" s="231">
        <v>0</v>
      </c>
      <c r="V61" s="231">
        <v>0</v>
      </c>
      <c r="W61" s="231">
        <v>0</v>
      </c>
      <c r="X61" s="231">
        <v>0</v>
      </c>
      <c r="Y61" s="231">
        <v>0</v>
      </c>
      <c r="Z61" s="231">
        <v>577.6</v>
      </c>
      <c r="AA61" s="231">
        <v>0</v>
      </c>
      <c r="AB61" s="231">
        <v>0</v>
      </c>
      <c r="AC61" s="231">
        <v>0</v>
      </c>
      <c r="AD61" s="231">
        <v>0</v>
      </c>
      <c r="AE61" s="231">
        <v>160</v>
      </c>
      <c r="AF61" s="231">
        <v>0</v>
      </c>
      <c r="AG61" s="231">
        <v>0</v>
      </c>
      <c r="AH61" s="231">
        <v>998</v>
      </c>
      <c r="AI61" s="231">
        <v>0</v>
      </c>
      <c r="AJ61" s="231">
        <v>0</v>
      </c>
      <c r="AK61" s="231">
        <v>0</v>
      </c>
      <c r="AL61" s="231">
        <v>0</v>
      </c>
      <c r="AM61" s="231">
        <v>776</v>
      </c>
      <c r="AN61" s="231">
        <v>464</v>
      </c>
    </row>
    <row r="62" spans="3:40" x14ac:dyDescent="0.3">
      <c r="C62" s="231">
        <v>35</v>
      </c>
      <c r="D62" s="231">
        <v>6</v>
      </c>
      <c r="E62" s="231">
        <v>3</v>
      </c>
      <c r="F62" s="231">
        <v>0</v>
      </c>
      <c r="G62" s="231">
        <v>0</v>
      </c>
      <c r="H62" s="231">
        <v>0</v>
      </c>
      <c r="I62" s="231">
        <v>0</v>
      </c>
      <c r="J62" s="231">
        <v>0</v>
      </c>
      <c r="K62" s="231">
        <v>0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0</v>
      </c>
      <c r="S62" s="231">
        <v>0</v>
      </c>
      <c r="T62" s="231">
        <v>0</v>
      </c>
      <c r="U62" s="231">
        <v>0</v>
      </c>
      <c r="V62" s="231">
        <v>0</v>
      </c>
      <c r="W62" s="231">
        <v>0</v>
      </c>
      <c r="X62" s="231">
        <v>0</v>
      </c>
      <c r="Y62" s="231">
        <v>0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v>0</v>
      </c>
      <c r="AF62" s="231">
        <v>0</v>
      </c>
      <c r="AG62" s="231">
        <v>0</v>
      </c>
      <c r="AH62" s="231">
        <v>0</v>
      </c>
      <c r="AI62" s="231">
        <v>0</v>
      </c>
      <c r="AJ62" s="231">
        <v>0</v>
      </c>
      <c r="AK62" s="231">
        <v>0</v>
      </c>
      <c r="AL62" s="231">
        <v>0</v>
      </c>
      <c r="AM62" s="231">
        <v>0</v>
      </c>
      <c r="AN62" s="231">
        <v>0</v>
      </c>
    </row>
    <row r="63" spans="3:40" x14ac:dyDescent="0.3">
      <c r="C63" s="231">
        <v>35</v>
      </c>
      <c r="D63" s="231">
        <v>6</v>
      </c>
      <c r="E63" s="231">
        <v>4</v>
      </c>
      <c r="F63" s="231">
        <v>399</v>
      </c>
      <c r="G63" s="231">
        <v>0</v>
      </c>
      <c r="H63" s="231">
        <v>46</v>
      </c>
      <c r="I63" s="231">
        <v>0</v>
      </c>
      <c r="J63" s="231">
        <v>0</v>
      </c>
      <c r="K63" s="231">
        <v>35</v>
      </c>
      <c r="L63" s="231">
        <v>0</v>
      </c>
      <c r="M63" s="231">
        <v>0</v>
      </c>
      <c r="N63" s="231">
        <v>318</v>
      </c>
      <c r="O63" s="231">
        <v>0</v>
      </c>
      <c r="P63" s="231">
        <v>0</v>
      </c>
      <c r="Q63" s="231">
        <v>0</v>
      </c>
      <c r="R63" s="231">
        <v>0</v>
      </c>
      <c r="S63" s="231">
        <v>0</v>
      </c>
      <c r="T63" s="231">
        <v>0</v>
      </c>
      <c r="U63" s="231">
        <v>0</v>
      </c>
      <c r="V63" s="231">
        <v>0</v>
      </c>
      <c r="W63" s="231">
        <v>0</v>
      </c>
      <c r="X63" s="231">
        <v>0</v>
      </c>
      <c r="Y63" s="231">
        <v>0</v>
      </c>
      <c r="Z63" s="231">
        <v>0</v>
      </c>
      <c r="AA63" s="231">
        <v>0</v>
      </c>
      <c r="AB63" s="231">
        <v>0</v>
      </c>
      <c r="AC63" s="231">
        <v>0</v>
      </c>
      <c r="AD63" s="231">
        <v>0</v>
      </c>
      <c r="AE63" s="231">
        <v>0</v>
      </c>
      <c r="AF63" s="231">
        <v>0</v>
      </c>
      <c r="AG63" s="231">
        <v>0</v>
      </c>
      <c r="AH63" s="231">
        <v>0</v>
      </c>
      <c r="AI63" s="231">
        <v>0</v>
      </c>
      <c r="AJ63" s="231">
        <v>0</v>
      </c>
      <c r="AK63" s="231">
        <v>0</v>
      </c>
      <c r="AL63" s="231">
        <v>0</v>
      </c>
      <c r="AM63" s="231">
        <v>0</v>
      </c>
      <c r="AN63" s="231">
        <v>0</v>
      </c>
    </row>
    <row r="64" spans="3:40" x14ac:dyDescent="0.3">
      <c r="C64" s="231">
        <v>35</v>
      </c>
      <c r="D64" s="231">
        <v>6</v>
      </c>
      <c r="E64" s="231">
        <v>5</v>
      </c>
      <c r="F64" s="231">
        <v>17</v>
      </c>
      <c r="G64" s="231">
        <v>17</v>
      </c>
      <c r="H64" s="231">
        <v>0</v>
      </c>
      <c r="I64" s="231">
        <v>0</v>
      </c>
      <c r="J64" s="231">
        <v>0</v>
      </c>
      <c r="K64" s="231">
        <v>0</v>
      </c>
      <c r="L64" s="231">
        <v>0</v>
      </c>
      <c r="M64" s="231">
        <v>0</v>
      </c>
      <c r="N64" s="231">
        <v>0</v>
      </c>
      <c r="O64" s="231">
        <v>0</v>
      </c>
      <c r="P64" s="231">
        <v>0</v>
      </c>
      <c r="Q64" s="231">
        <v>0</v>
      </c>
      <c r="R64" s="231">
        <v>0</v>
      </c>
      <c r="S64" s="231">
        <v>0</v>
      </c>
      <c r="T64" s="231">
        <v>0</v>
      </c>
      <c r="U64" s="231">
        <v>0</v>
      </c>
      <c r="V64" s="231">
        <v>0</v>
      </c>
      <c r="W64" s="231">
        <v>0</v>
      </c>
      <c r="X64" s="231">
        <v>0</v>
      </c>
      <c r="Y64" s="231">
        <v>0</v>
      </c>
      <c r="Z64" s="231">
        <v>0</v>
      </c>
      <c r="AA64" s="231">
        <v>0</v>
      </c>
      <c r="AB64" s="231">
        <v>0</v>
      </c>
      <c r="AC64" s="231">
        <v>0</v>
      </c>
      <c r="AD64" s="231">
        <v>0</v>
      </c>
      <c r="AE64" s="231">
        <v>0</v>
      </c>
      <c r="AF64" s="231">
        <v>0</v>
      </c>
      <c r="AG64" s="231">
        <v>0</v>
      </c>
      <c r="AH64" s="231">
        <v>0</v>
      </c>
      <c r="AI64" s="231">
        <v>0</v>
      </c>
      <c r="AJ64" s="231">
        <v>0</v>
      </c>
      <c r="AK64" s="231">
        <v>0</v>
      </c>
      <c r="AL64" s="231">
        <v>0</v>
      </c>
      <c r="AM64" s="231">
        <v>0</v>
      </c>
      <c r="AN64" s="231">
        <v>0</v>
      </c>
    </row>
    <row r="65" spans="3:40" x14ac:dyDescent="0.3">
      <c r="C65" s="231">
        <v>35</v>
      </c>
      <c r="D65" s="231">
        <v>6</v>
      </c>
      <c r="E65" s="231">
        <v>6</v>
      </c>
      <c r="F65" s="231">
        <v>1867356</v>
      </c>
      <c r="G65" s="231">
        <v>900</v>
      </c>
      <c r="H65" s="231">
        <v>370035</v>
      </c>
      <c r="I65" s="231">
        <v>0</v>
      </c>
      <c r="J65" s="231">
        <v>0</v>
      </c>
      <c r="K65" s="231">
        <v>600469</v>
      </c>
      <c r="L65" s="231">
        <v>0</v>
      </c>
      <c r="M65" s="231">
        <v>0</v>
      </c>
      <c r="N65" s="231">
        <v>533199</v>
      </c>
      <c r="O65" s="231">
        <v>0</v>
      </c>
      <c r="P65" s="231">
        <v>0</v>
      </c>
      <c r="Q65" s="231">
        <v>0</v>
      </c>
      <c r="R65" s="231">
        <v>0</v>
      </c>
      <c r="S65" s="231">
        <v>0</v>
      </c>
      <c r="T65" s="231">
        <v>0</v>
      </c>
      <c r="U65" s="231">
        <v>0</v>
      </c>
      <c r="V65" s="231">
        <v>0</v>
      </c>
      <c r="W65" s="231">
        <v>0</v>
      </c>
      <c r="X65" s="231">
        <v>0</v>
      </c>
      <c r="Y65" s="231">
        <v>0</v>
      </c>
      <c r="Z65" s="231">
        <v>100489</v>
      </c>
      <c r="AA65" s="231">
        <v>0</v>
      </c>
      <c r="AB65" s="231">
        <v>0</v>
      </c>
      <c r="AC65" s="231">
        <v>0</v>
      </c>
      <c r="AD65" s="231">
        <v>0</v>
      </c>
      <c r="AE65" s="231">
        <v>20485</v>
      </c>
      <c r="AF65" s="231">
        <v>0</v>
      </c>
      <c r="AG65" s="231">
        <v>0</v>
      </c>
      <c r="AH65" s="231">
        <v>104326</v>
      </c>
      <c r="AI65" s="231">
        <v>0</v>
      </c>
      <c r="AJ65" s="231">
        <v>0</v>
      </c>
      <c r="AK65" s="231">
        <v>0</v>
      </c>
      <c r="AL65" s="231">
        <v>0</v>
      </c>
      <c r="AM65" s="231">
        <v>100897</v>
      </c>
      <c r="AN65" s="231">
        <v>36556</v>
      </c>
    </row>
    <row r="66" spans="3:40" x14ac:dyDescent="0.3">
      <c r="C66" s="231">
        <v>35</v>
      </c>
      <c r="D66" s="231">
        <v>6</v>
      </c>
      <c r="E66" s="231">
        <v>7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0</v>
      </c>
      <c r="P66" s="231">
        <v>0</v>
      </c>
      <c r="Q66" s="231">
        <v>0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v>0</v>
      </c>
      <c r="AF66" s="231">
        <v>0</v>
      </c>
      <c r="AG66" s="231">
        <v>0</v>
      </c>
      <c r="AH66" s="231">
        <v>0</v>
      </c>
      <c r="AI66" s="231">
        <v>0</v>
      </c>
      <c r="AJ66" s="231">
        <v>0</v>
      </c>
      <c r="AK66" s="231">
        <v>0</v>
      </c>
      <c r="AL66" s="231">
        <v>0</v>
      </c>
      <c r="AM66" s="231">
        <v>0</v>
      </c>
      <c r="AN66" s="231">
        <v>0</v>
      </c>
    </row>
    <row r="67" spans="3:40" x14ac:dyDescent="0.3">
      <c r="C67" s="231">
        <v>35</v>
      </c>
      <c r="D67" s="231">
        <v>6</v>
      </c>
      <c r="E67" s="231">
        <v>8</v>
      </c>
      <c r="F67" s="231">
        <v>0</v>
      </c>
      <c r="G67" s="231">
        <v>0</v>
      </c>
      <c r="H67" s="231">
        <v>0</v>
      </c>
      <c r="I67" s="231">
        <v>0</v>
      </c>
      <c r="J67" s="231">
        <v>0</v>
      </c>
      <c r="K67" s="231">
        <v>0</v>
      </c>
      <c r="L67" s="231">
        <v>0</v>
      </c>
      <c r="M67" s="231">
        <v>0</v>
      </c>
      <c r="N67" s="231">
        <v>0</v>
      </c>
      <c r="O67" s="231">
        <v>0</v>
      </c>
      <c r="P67" s="231">
        <v>0</v>
      </c>
      <c r="Q67" s="231">
        <v>0</v>
      </c>
      <c r="R67" s="231">
        <v>0</v>
      </c>
      <c r="S67" s="231">
        <v>0</v>
      </c>
      <c r="T67" s="231">
        <v>0</v>
      </c>
      <c r="U67" s="231">
        <v>0</v>
      </c>
      <c r="V67" s="231">
        <v>0</v>
      </c>
      <c r="W67" s="231">
        <v>0</v>
      </c>
      <c r="X67" s="231">
        <v>0</v>
      </c>
      <c r="Y67" s="231">
        <v>0</v>
      </c>
      <c r="Z67" s="231">
        <v>0</v>
      </c>
      <c r="AA67" s="231">
        <v>0</v>
      </c>
      <c r="AB67" s="231">
        <v>0</v>
      </c>
      <c r="AC67" s="231">
        <v>0</v>
      </c>
      <c r="AD67" s="231">
        <v>0</v>
      </c>
      <c r="AE67" s="231">
        <v>0</v>
      </c>
      <c r="AF67" s="231">
        <v>0</v>
      </c>
      <c r="AG67" s="231">
        <v>0</v>
      </c>
      <c r="AH67" s="231">
        <v>0</v>
      </c>
      <c r="AI67" s="231">
        <v>0</v>
      </c>
      <c r="AJ67" s="231">
        <v>0</v>
      </c>
      <c r="AK67" s="231">
        <v>0</v>
      </c>
      <c r="AL67" s="231">
        <v>0</v>
      </c>
      <c r="AM67" s="231">
        <v>0</v>
      </c>
      <c r="AN67" s="231">
        <v>0</v>
      </c>
    </row>
    <row r="68" spans="3:40" x14ac:dyDescent="0.3">
      <c r="C68" s="231">
        <v>35</v>
      </c>
      <c r="D68" s="231">
        <v>6</v>
      </c>
      <c r="E68" s="231">
        <v>9</v>
      </c>
      <c r="F68" s="231">
        <v>26922</v>
      </c>
      <c r="G68" s="231">
        <v>0</v>
      </c>
      <c r="H68" s="231">
        <v>0</v>
      </c>
      <c r="I68" s="231">
        <v>0</v>
      </c>
      <c r="J68" s="231">
        <v>0</v>
      </c>
      <c r="K68" s="231">
        <v>5978</v>
      </c>
      <c r="L68" s="231">
        <v>0</v>
      </c>
      <c r="M68" s="231">
        <v>0</v>
      </c>
      <c r="N68" s="231">
        <v>13480</v>
      </c>
      <c r="O68" s="231">
        <v>0</v>
      </c>
      <c r="P68" s="231">
        <v>0</v>
      </c>
      <c r="Q68" s="231">
        <v>0</v>
      </c>
      <c r="R68" s="231">
        <v>0</v>
      </c>
      <c r="S68" s="231">
        <v>0</v>
      </c>
      <c r="T68" s="231">
        <v>0</v>
      </c>
      <c r="U68" s="231">
        <v>0</v>
      </c>
      <c r="V68" s="231">
        <v>0</v>
      </c>
      <c r="W68" s="231">
        <v>0</v>
      </c>
      <c r="X68" s="231">
        <v>0</v>
      </c>
      <c r="Y68" s="231">
        <v>0</v>
      </c>
      <c r="Z68" s="231">
        <v>0</v>
      </c>
      <c r="AA68" s="231">
        <v>0</v>
      </c>
      <c r="AB68" s="231">
        <v>0</v>
      </c>
      <c r="AC68" s="231">
        <v>0</v>
      </c>
      <c r="AD68" s="231">
        <v>0</v>
      </c>
      <c r="AE68" s="231">
        <v>1000</v>
      </c>
      <c r="AF68" s="231">
        <v>0</v>
      </c>
      <c r="AG68" s="231">
        <v>0</v>
      </c>
      <c r="AH68" s="231">
        <v>4864</v>
      </c>
      <c r="AI68" s="231">
        <v>0</v>
      </c>
      <c r="AJ68" s="231">
        <v>0</v>
      </c>
      <c r="AK68" s="231">
        <v>0</v>
      </c>
      <c r="AL68" s="231">
        <v>0</v>
      </c>
      <c r="AM68" s="231">
        <v>0</v>
      </c>
      <c r="AN68" s="231">
        <v>1600</v>
      </c>
    </row>
    <row r="69" spans="3:40" x14ac:dyDescent="0.3">
      <c r="C69" s="231">
        <v>35</v>
      </c>
      <c r="D69" s="231">
        <v>6</v>
      </c>
      <c r="E69" s="231">
        <v>10</v>
      </c>
      <c r="F69" s="231">
        <v>400</v>
      </c>
      <c r="G69" s="231">
        <v>0</v>
      </c>
      <c r="H69" s="231">
        <v>0</v>
      </c>
      <c r="I69" s="231">
        <v>0</v>
      </c>
      <c r="J69" s="231">
        <v>0</v>
      </c>
      <c r="K69" s="231">
        <v>400</v>
      </c>
      <c r="L69" s="231">
        <v>0</v>
      </c>
      <c r="M69" s="231">
        <v>0</v>
      </c>
      <c r="N69" s="231">
        <v>0</v>
      </c>
      <c r="O69" s="231">
        <v>0</v>
      </c>
      <c r="P69" s="231">
        <v>0</v>
      </c>
      <c r="Q69" s="231">
        <v>0</v>
      </c>
      <c r="R69" s="231">
        <v>0</v>
      </c>
      <c r="S69" s="231">
        <v>0</v>
      </c>
      <c r="T69" s="231">
        <v>0</v>
      </c>
      <c r="U69" s="231">
        <v>0</v>
      </c>
      <c r="V69" s="231">
        <v>0</v>
      </c>
      <c r="W69" s="231">
        <v>0</v>
      </c>
      <c r="X69" s="231">
        <v>0</v>
      </c>
      <c r="Y69" s="231">
        <v>0</v>
      </c>
      <c r="Z69" s="231">
        <v>0</v>
      </c>
      <c r="AA69" s="231">
        <v>0</v>
      </c>
      <c r="AB69" s="231">
        <v>0</v>
      </c>
      <c r="AC69" s="231">
        <v>0</v>
      </c>
      <c r="AD69" s="231">
        <v>0</v>
      </c>
      <c r="AE69" s="231">
        <v>0</v>
      </c>
      <c r="AF69" s="231">
        <v>0</v>
      </c>
      <c r="AG69" s="231">
        <v>0</v>
      </c>
      <c r="AH69" s="231">
        <v>0</v>
      </c>
      <c r="AI69" s="231">
        <v>0</v>
      </c>
      <c r="AJ69" s="231">
        <v>0</v>
      </c>
      <c r="AK69" s="231">
        <v>0</v>
      </c>
      <c r="AL69" s="231">
        <v>0</v>
      </c>
      <c r="AM69" s="231">
        <v>0</v>
      </c>
      <c r="AN69" s="231">
        <v>0</v>
      </c>
    </row>
    <row r="70" spans="3:40" x14ac:dyDescent="0.3">
      <c r="C70" s="231">
        <v>35</v>
      </c>
      <c r="D70" s="231">
        <v>6</v>
      </c>
      <c r="E70" s="231">
        <v>11</v>
      </c>
      <c r="F70" s="231">
        <v>5845</v>
      </c>
      <c r="G70" s="231">
        <v>0</v>
      </c>
      <c r="H70" s="231">
        <v>2095</v>
      </c>
      <c r="I70" s="231">
        <v>0</v>
      </c>
      <c r="J70" s="231">
        <v>0</v>
      </c>
      <c r="K70" s="231">
        <v>3750</v>
      </c>
      <c r="L70" s="231">
        <v>0</v>
      </c>
      <c r="M70" s="231">
        <v>0</v>
      </c>
      <c r="N70" s="231">
        <v>0</v>
      </c>
      <c r="O70" s="231">
        <v>0</v>
      </c>
      <c r="P70" s="231">
        <v>0</v>
      </c>
      <c r="Q70" s="231">
        <v>0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v>0</v>
      </c>
      <c r="AF70" s="231">
        <v>0</v>
      </c>
      <c r="AG70" s="231">
        <v>0</v>
      </c>
      <c r="AH70" s="231">
        <v>0</v>
      </c>
      <c r="AI70" s="231">
        <v>0</v>
      </c>
      <c r="AJ70" s="231">
        <v>0</v>
      </c>
      <c r="AK70" s="231">
        <v>0</v>
      </c>
      <c r="AL70" s="231">
        <v>0</v>
      </c>
      <c r="AM70" s="231">
        <v>0</v>
      </c>
      <c r="AN70" s="231">
        <v>0</v>
      </c>
    </row>
    <row r="71" spans="3:40" x14ac:dyDescent="0.3">
      <c r="C71" s="231">
        <v>35</v>
      </c>
      <c r="D71" s="231">
        <v>7</v>
      </c>
      <c r="E71" s="231">
        <v>1</v>
      </c>
      <c r="F71" s="231">
        <v>72.75</v>
      </c>
      <c r="G71" s="231">
        <v>0</v>
      </c>
      <c r="H71" s="231">
        <v>6.7</v>
      </c>
      <c r="I71" s="231">
        <v>0</v>
      </c>
      <c r="J71" s="231">
        <v>0</v>
      </c>
      <c r="K71" s="231">
        <v>24.4</v>
      </c>
      <c r="L71" s="231">
        <v>0</v>
      </c>
      <c r="M71" s="231">
        <v>0</v>
      </c>
      <c r="N71" s="231">
        <v>22</v>
      </c>
      <c r="O71" s="231">
        <v>0</v>
      </c>
      <c r="P71" s="231">
        <v>0</v>
      </c>
      <c r="Q71" s="231">
        <v>0</v>
      </c>
      <c r="R71" s="231">
        <v>0</v>
      </c>
      <c r="S71" s="231">
        <v>0</v>
      </c>
      <c r="T71" s="231">
        <v>0</v>
      </c>
      <c r="U71" s="231">
        <v>0</v>
      </c>
      <c r="V71" s="231">
        <v>0</v>
      </c>
      <c r="W71" s="231">
        <v>0</v>
      </c>
      <c r="X71" s="231">
        <v>0</v>
      </c>
      <c r="Y71" s="231">
        <v>0</v>
      </c>
      <c r="Z71" s="231">
        <v>3.9</v>
      </c>
      <c r="AA71" s="231">
        <v>0</v>
      </c>
      <c r="AB71" s="231">
        <v>0</v>
      </c>
      <c r="AC71" s="231">
        <v>0</v>
      </c>
      <c r="AD71" s="231">
        <v>0</v>
      </c>
      <c r="AE71" s="231">
        <v>1</v>
      </c>
      <c r="AF71" s="231">
        <v>0</v>
      </c>
      <c r="AG71" s="231">
        <v>0</v>
      </c>
      <c r="AH71" s="231">
        <v>6.75</v>
      </c>
      <c r="AI71" s="231">
        <v>0</v>
      </c>
      <c r="AJ71" s="231">
        <v>0</v>
      </c>
      <c r="AK71" s="231">
        <v>0</v>
      </c>
      <c r="AL71" s="231">
        <v>0</v>
      </c>
      <c r="AM71" s="231">
        <v>5</v>
      </c>
      <c r="AN71" s="231">
        <v>3</v>
      </c>
    </row>
    <row r="72" spans="3:40" x14ac:dyDescent="0.3">
      <c r="C72" s="231">
        <v>35</v>
      </c>
      <c r="D72" s="231">
        <v>7</v>
      </c>
      <c r="E72" s="231">
        <v>2</v>
      </c>
      <c r="F72" s="231">
        <v>9788.7999999999993</v>
      </c>
      <c r="G72" s="231">
        <v>0</v>
      </c>
      <c r="H72" s="231">
        <v>924.4</v>
      </c>
      <c r="I72" s="231">
        <v>0</v>
      </c>
      <c r="J72" s="231">
        <v>0</v>
      </c>
      <c r="K72" s="231">
        <v>3188</v>
      </c>
      <c r="L72" s="231">
        <v>0</v>
      </c>
      <c r="M72" s="231">
        <v>0</v>
      </c>
      <c r="N72" s="231">
        <v>3048</v>
      </c>
      <c r="O72" s="231">
        <v>0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0</v>
      </c>
      <c r="V72" s="231">
        <v>0</v>
      </c>
      <c r="W72" s="231">
        <v>0</v>
      </c>
      <c r="X72" s="231">
        <v>0</v>
      </c>
      <c r="Y72" s="231">
        <v>0</v>
      </c>
      <c r="Z72" s="231">
        <v>494.4</v>
      </c>
      <c r="AA72" s="231">
        <v>0</v>
      </c>
      <c r="AB72" s="231">
        <v>0</v>
      </c>
      <c r="AC72" s="231">
        <v>0</v>
      </c>
      <c r="AD72" s="231">
        <v>0</v>
      </c>
      <c r="AE72" s="231">
        <v>144</v>
      </c>
      <c r="AF72" s="231">
        <v>0</v>
      </c>
      <c r="AG72" s="231">
        <v>0</v>
      </c>
      <c r="AH72" s="231">
        <v>918</v>
      </c>
      <c r="AI72" s="231">
        <v>0</v>
      </c>
      <c r="AJ72" s="231">
        <v>0</v>
      </c>
      <c r="AK72" s="231">
        <v>0</v>
      </c>
      <c r="AL72" s="231">
        <v>0</v>
      </c>
      <c r="AM72" s="231">
        <v>640</v>
      </c>
      <c r="AN72" s="231">
        <v>432</v>
      </c>
    </row>
    <row r="73" spans="3:40" x14ac:dyDescent="0.3">
      <c r="C73" s="231">
        <v>35</v>
      </c>
      <c r="D73" s="231">
        <v>7</v>
      </c>
      <c r="E73" s="231">
        <v>3</v>
      </c>
      <c r="F73" s="231">
        <v>0</v>
      </c>
      <c r="G73" s="231">
        <v>0</v>
      </c>
      <c r="H73" s="231">
        <v>0</v>
      </c>
      <c r="I73" s="231">
        <v>0</v>
      </c>
      <c r="J73" s="231">
        <v>0</v>
      </c>
      <c r="K73" s="231">
        <v>0</v>
      </c>
      <c r="L73" s="231">
        <v>0</v>
      </c>
      <c r="M73" s="231">
        <v>0</v>
      </c>
      <c r="N73" s="231">
        <v>0</v>
      </c>
      <c r="O73" s="231">
        <v>0</v>
      </c>
      <c r="P73" s="231">
        <v>0</v>
      </c>
      <c r="Q73" s="231">
        <v>0</v>
      </c>
      <c r="R73" s="231">
        <v>0</v>
      </c>
      <c r="S73" s="231">
        <v>0</v>
      </c>
      <c r="T73" s="231">
        <v>0</v>
      </c>
      <c r="U73" s="231">
        <v>0</v>
      </c>
      <c r="V73" s="231">
        <v>0</v>
      </c>
      <c r="W73" s="231">
        <v>0</v>
      </c>
      <c r="X73" s="231">
        <v>0</v>
      </c>
      <c r="Y73" s="231">
        <v>0</v>
      </c>
      <c r="Z73" s="231">
        <v>0</v>
      </c>
      <c r="AA73" s="231">
        <v>0</v>
      </c>
      <c r="AB73" s="231">
        <v>0</v>
      </c>
      <c r="AC73" s="231">
        <v>0</v>
      </c>
      <c r="AD73" s="231">
        <v>0</v>
      </c>
      <c r="AE73" s="231">
        <v>0</v>
      </c>
      <c r="AF73" s="231">
        <v>0</v>
      </c>
      <c r="AG73" s="231">
        <v>0</v>
      </c>
      <c r="AH73" s="231">
        <v>0</v>
      </c>
      <c r="AI73" s="231">
        <v>0</v>
      </c>
      <c r="AJ73" s="231">
        <v>0</v>
      </c>
      <c r="AK73" s="231">
        <v>0</v>
      </c>
      <c r="AL73" s="231">
        <v>0</v>
      </c>
      <c r="AM73" s="231">
        <v>0</v>
      </c>
      <c r="AN73" s="231">
        <v>0</v>
      </c>
    </row>
    <row r="74" spans="3:40" x14ac:dyDescent="0.3">
      <c r="C74" s="231">
        <v>35</v>
      </c>
      <c r="D74" s="231">
        <v>7</v>
      </c>
      <c r="E74" s="231">
        <v>4</v>
      </c>
      <c r="F74" s="231">
        <v>366</v>
      </c>
      <c r="G74" s="231">
        <v>0</v>
      </c>
      <c r="H74" s="231">
        <v>48</v>
      </c>
      <c r="I74" s="231">
        <v>0</v>
      </c>
      <c r="J74" s="231">
        <v>0</v>
      </c>
      <c r="K74" s="231">
        <v>37</v>
      </c>
      <c r="L74" s="231">
        <v>0</v>
      </c>
      <c r="M74" s="231">
        <v>0</v>
      </c>
      <c r="N74" s="231">
        <v>281</v>
      </c>
      <c r="O74" s="231">
        <v>0</v>
      </c>
      <c r="P74" s="231">
        <v>0</v>
      </c>
      <c r="Q74" s="231">
        <v>0</v>
      </c>
      <c r="R74" s="231">
        <v>0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0</v>
      </c>
      <c r="AC74" s="231">
        <v>0</v>
      </c>
      <c r="AD74" s="231">
        <v>0</v>
      </c>
      <c r="AE74" s="231">
        <v>0</v>
      </c>
      <c r="AF74" s="231">
        <v>0</v>
      </c>
      <c r="AG74" s="231">
        <v>0</v>
      </c>
      <c r="AH74" s="231">
        <v>0</v>
      </c>
      <c r="AI74" s="231">
        <v>0</v>
      </c>
      <c r="AJ74" s="231">
        <v>0</v>
      </c>
      <c r="AK74" s="231">
        <v>0</v>
      </c>
      <c r="AL74" s="231">
        <v>0</v>
      </c>
      <c r="AM74" s="231">
        <v>0</v>
      </c>
      <c r="AN74" s="231">
        <v>0</v>
      </c>
    </row>
    <row r="75" spans="3:40" x14ac:dyDescent="0.3">
      <c r="C75" s="231">
        <v>35</v>
      </c>
      <c r="D75" s="231">
        <v>7</v>
      </c>
      <c r="E75" s="231">
        <v>5</v>
      </c>
      <c r="F75" s="231">
        <v>9</v>
      </c>
      <c r="G75" s="231">
        <v>9</v>
      </c>
      <c r="H75" s="231">
        <v>0</v>
      </c>
      <c r="I75" s="231">
        <v>0</v>
      </c>
      <c r="J75" s="231">
        <v>0</v>
      </c>
      <c r="K75" s="231">
        <v>0</v>
      </c>
      <c r="L75" s="231">
        <v>0</v>
      </c>
      <c r="M75" s="231">
        <v>0</v>
      </c>
      <c r="N75" s="231">
        <v>0</v>
      </c>
      <c r="O75" s="231">
        <v>0</v>
      </c>
      <c r="P75" s="231">
        <v>0</v>
      </c>
      <c r="Q75" s="231">
        <v>0</v>
      </c>
      <c r="R75" s="231">
        <v>0</v>
      </c>
      <c r="S75" s="231">
        <v>0</v>
      </c>
      <c r="T75" s="231">
        <v>0</v>
      </c>
      <c r="U75" s="231">
        <v>0</v>
      </c>
      <c r="V75" s="231">
        <v>0</v>
      </c>
      <c r="W75" s="231">
        <v>0</v>
      </c>
      <c r="X75" s="231">
        <v>0</v>
      </c>
      <c r="Y75" s="231">
        <v>0</v>
      </c>
      <c r="Z75" s="231">
        <v>0</v>
      </c>
      <c r="AA75" s="231">
        <v>0</v>
      </c>
      <c r="AB75" s="231">
        <v>0</v>
      </c>
      <c r="AC75" s="231">
        <v>0</v>
      </c>
      <c r="AD75" s="231">
        <v>0</v>
      </c>
      <c r="AE75" s="231">
        <v>0</v>
      </c>
      <c r="AF75" s="231">
        <v>0</v>
      </c>
      <c r="AG75" s="231">
        <v>0</v>
      </c>
      <c r="AH75" s="231">
        <v>0</v>
      </c>
      <c r="AI75" s="231">
        <v>0</v>
      </c>
      <c r="AJ75" s="231">
        <v>0</v>
      </c>
      <c r="AK75" s="231">
        <v>0</v>
      </c>
      <c r="AL75" s="231">
        <v>0</v>
      </c>
      <c r="AM75" s="231">
        <v>0</v>
      </c>
      <c r="AN75" s="231">
        <v>0</v>
      </c>
    </row>
    <row r="76" spans="3:40" x14ac:dyDescent="0.3">
      <c r="C76" s="231">
        <v>35</v>
      </c>
      <c r="D76" s="231">
        <v>7</v>
      </c>
      <c r="E76" s="231">
        <v>6</v>
      </c>
      <c r="F76" s="231">
        <v>2771505</v>
      </c>
      <c r="G76" s="231">
        <v>500</v>
      </c>
      <c r="H76" s="231">
        <v>607342</v>
      </c>
      <c r="I76" s="231">
        <v>0</v>
      </c>
      <c r="J76" s="231">
        <v>0</v>
      </c>
      <c r="K76" s="231">
        <v>885246</v>
      </c>
      <c r="L76" s="231">
        <v>0</v>
      </c>
      <c r="M76" s="231">
        <v>0</v>
      </c>
      <c r="N76" s="231">
        <v>757724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145059</v>
      </c>
      <c r="AA76" s="231">
        <v>0</v>
      </c>
      <c r="AB76" s="231">
        <v>0</v>
      </c>
      <c r="AC76" s="231">
        <v>0</v>
      </c>
      <c r="AD76" s="231">
        <v>0</v>
      </c>
      <c r="AE76" s="231">
        <v>28071</v>
      </c>
      <c r="AF76" s="231">
        <v>0</v>
      </c>
      <c r="AG76" s="231">
        <v>0</v>
      </c>
      <c r="AH76" s="231">
        <v>155391</v>
      </c>
      <c r="AI76" s="231">
        <v>0</v>
      </c>
      <c r="AJ76" s="231">
        <v>0</v>
      </c>
      <c r="AK76" s="231">
        <v>0</v>
      </c>
      <c r="AL76" s="231">
        <v>0</v>
      </c>
      <c r="AM76" s="231">
        <v>140792</v>
      </c>
      <c r="AN76" s="231">
        <v>51380</v>
      </c>
    </row>
    <row r="77" spans="3:40" x14ac:dyDescent="0.3">
      <c r="C77" s="231">
        <v>35</v>
      </c>
      <c r="D77" s="231">
        <v>7</v>
      </c>
      <c r="E77" s="231">
        <v>7</v>
      </c>
      <c r="F77" s="231">
        <v>0</v>
      </c>
      <c r="G77" s="231">
        <v>0</v>
      </c>
      <c r="H77" s="231">
        <v>0</v>
      </c>
      <c r="I77" s="231">
        <v>0</v>
      </c>
      <c r="J77" s="231">
        <v>0</v>
      </c>
      <c r="K77" s="231">
        <v>0</v>
      </c>
      <c r="L77" s="231">
        <v>0</v>
      </c>
      <c r="M77" s="231">
        <v>0</v>
      </c>
      <c r="N77" s="231">
        <v>0</v>
      </c>
      <c r="O77" s="231">
        <v>0</v>
      </c>
      <c r="P77" s="231">
        <v>0</v>
      </c>
      <c r="Q77" s="231">
        <v>0</v>
      </c>
      <c r="R77" s="231">
        <v>0</v>
      </c>
      <c r="S77" s="231">
        <v>0</v>
      </c>
      <c r="T77" s="231">
        <v>0</v>
      </c>
      <c r="U77" s="231">
        <v>0</v>
      </c>
      <c r="V77" s="231">
        <v>0</v>
      </c>
      <c r="W77" s="231">
        <v>0</v>
      </c>
      <c r="X77" s="231">
        <v>0</v>
      </c>
      <c r="Y77" s="231">
        <v>0</v>
      </c>
      <c r="Z77" s="231">
        <v>0</v>
      </c>
      <c r="AA77" s="231">
        <v>0</v>
      </c>
      <c r="AB77" s="231">
        <v>0</v>
      </c>
      <c r="AC77" s="231">
        <v>0</v>
      </c>
      <c r="AD77" s="231">
        <v>0</v>
      </c>
      <c r="AE77" s="231">
        <v>0</v>
      </c>
      <c r="AF77" s="231">
        <v>0</v>
      </c>
      <c r="AG77" s="231">
        <v>0</v>
      </c>
      <c r="AH77" s="231">
        <v>0</v>
      </c>
      <c r="AI77" s="231">
        <v>0</v>
      </c>
      <c r="AJ77" s="231">
        <v>0</v>
      </c>
      <c r="AK77" s="231">
        <v>0</v>
      </c>
      <c r="AL77" s="231">
        <v>0</v>
      </c>
      <c r="AM77" s="231">
        <v>0</v>
      </c>
      <c r="AN77" s="231">
        <v>0</v>
      </c>
    </row>
    <row r="78" spans="3:40" x14ac:dyDescent="0.3">
      <c r="C78" s="231">
        <v>35</v>
      </c>
      <c r="D78" s="231">
        <v>7</v>
      </c>
      <c r="E78" s="231">
        <v>8</v>
      </c>
      <c r="F78" s="231">
        <v>0</v>
      </c>
      <c r="G78" s="231">
        <v>0</v>
      </c>
      <c r="H78" s="231">
        <v>0</v>
      </c>
      <c r="I78" s="231">
        <v>0</v>
      </c>
      <c r="J78" s="231">
        <v>0</v>
      </c>
      <c r="K78" s="231">
        <v>0</v>
      </c>
      <c r="L78" s="231">
        <v>0</v>
      </c>
      <c r="M78" s="231">
        <v>0</v>
      </c>
      <c r="N78" s="231">
        <v>0</v>
      </c>
      <c r="O78" s="231">
        <v>0</v>
      </c>
      <c r="P78" s="231">
        <v>0</v>
      </c>
      <c r="Q78" s="231">
        <v>0</v>
      </c>
      <c r="R78" s="231">
        <v>0</v>
      </c>
      <c r="S78" s="231">
        <v>0</v>
      </c>
      <c r="T78" s="231">
        <v>0</v>
      </c>
      <c r="U78" s="231">
        <v>0</v>
      </c>
      <c r="V78" s="231">
        <v>0</v>
      </c>
      <c r="W78" s="231">
        <v>0</v>
      </c>
      <c r="X78" s="231">
        <v>0</v>
      </c>
      <c r="Y78" s="231">
        <v>0</v>
      </c>
      <c r="Z78" s="231">
        <v>0</v>
      </c>
      <c r="AA78" s="231">
        <v>0</v>
      </c>
      <c r="AB78" s="231">
        <v>0</v>
      </c>
      <c r="AC78" s="231">
        <v>0</v>
      </c>
      <c r="AD78" s="231">
        <v>0</v>
      </c>
      <c r="AE78" s="231">
        <v>0</v>
      </c>
      <c r="AF78" s="231">
        <v>0</v>
      </c>
      <c r="AG78" s="231">
        <v>0</v>
      </c>
      <c r="AH78" s="231">
        <v>0</v>
      </c>
      <c r="AI78" s="231">
        <v>0</v>
      </c>
      <c r="AJ78" s="231">
        <v>0</v>
      </c>
      <c r="AK78" s="231">
        <v>0</v>
      </c>
      <c r="AL78" s="231">
        <v>0</v>
      </c>
      <c r="AM78" s="231">
        <v>0</v>
      </c>
      <c r="AN78" s="231">
        <v>0</v>
      </c>
    </row>
    <row r="79" spans="3:40" x14ac:dyDescent="0.3">
      <c r="C79" s="231">
        <v>35</v>
      </c>
      <c r="D79" s="231">
        <v>7</v>
      </c>
      <c r="E79" s="231">
        <v>9</v>
      </c>
      <c r="F79" s="231">
        <v>862317</v>
      </c>
      <c r="G79" s="231">
        <v>0</v>
      </c>
      <c r="H79" s="231">
        <v>233141</v>
      </c>
      <c r="I79" s="231">
        <v>0</v>
      </c>
      <c r="J79" s="231">
        <v>0</v>
      </c>
      <c r="K79" s="231">
        <v>288473</v>
      </c>
      <c r="L79" s="231">
        <v>0</v>
      </c>
      <c r="M79" s="231">
        <v>0</v>
      </c>
      <c r="N79" s="231">
        <v>185169</v>
      </c>
      <c r="O79" s="231">
        <v>0</v>
      </c>
      <c r="P79" s="231">
        <v>0</v>
      </c>
      <c r="Q79" s="231">
        <v>0</v>
      </c>
      <c r="R79" s="231">
        <v>0</v>
      </c>
      <c r="S79" s="231">
        <v>0</v>
      </c>
      <c r="T79" s="231">
        <v>0</v>
      </c>
      <c r="U79" s="231">
        <v>0</v>
      </c>
      <c r="V79" s="231">
        <v>0</v>
      </c>
      <c r="W79" s="231">
        <v>0</v>
      </c>
      <c r="X79" s="231">
        <v>0</v>
      </c>
      <c r="Y79" s="231">
        <v>0</v>
      </c>
      <c r="Z79" s="231">
        <v>43779</v>
      </c>
      <c r="AA79" s="231">
        <v>0</v>
      </c>
      <c r="AB79" s="231">
        <v>0</v>
      </c>
      <c r="AC79" s="231">
        <v>0</v>
      </c>
      <c r="AD79" s="231">
        <v>0</v>
      </c>
      <c r="AE79" s="231">
        <v>8328</v>
      </c>
      <c r="AF79" s="231">
        <v>0</v>
      </c>
      <c r="AG79" s="231">
        <v>0</v>
      </c>
      <c r="AH79" s="231">
        <v>51374</v>
      </c>
      <c r="AI79" s="231">
        <v>0</v>
      </c>
      <c r="AJ79" s="231">
        <v>0</v>
      </c>
      <c r="AK79" s="231">
        <v>0</v>
      </c>
      <c r="AL79" s="231">
        <v>0</v>
      </c>
      <c r="AM79" s="231">
        <v>36059</v>
      </c>
      <c r="AN79" s="231">
        <v>15994</v>
      </c>
    </row>
    <row r="80" spans="3:40" x14ac:dyDescent="0.3">
      <c r="C80" s="231">
        <v>35</v>
      </c>
      <c r="D80" s="231">
        <v>7</v>
      </c>
      <c r="E80" s="231">
        <v>10</v>
      </c>
      <c r="F80" s="231">
        <v>10550</v>
      </c>
      <c r="G80" s="231">
        <v>0</v>
      </c>
      <c r="H80" s="231">
        <v>0</v>
      </c>
      <c r="I80" s="231">
        <v>0</v>
      </c>
      <c r="J80" s="231">
        <v>0</v>
      </c>
      <c r="K80" s="231">
        <v>10550</v>
      </c>
      <c r="L80" s="231">
        <v>0</v>
      </c>
      <c r="M80" s="231">
        <v>0</v>
      </c>
      <c r="N80" s="231">
        <v>0</v>
      </c>
      <c r="O80" s="231">
        <v>0</v>
      </c>
      <c r="P80" s="231">
        <v>0</v>
      </c>
      <c r="Q80" s="231">
        <v>0</v>
      </c>
      <c r="R80" s="231">
        <v>0</v>
      </c>
      <c r="S80" s="231">
        <v>0</v>
      </c>
      <c r="T80" s="231">
        <v>0</v>
      </c>
      <c r="U80" s="231">
        <v>0</v>
      </c>
      <c r="V80" s="231">
        <v>0</v>
      </c>
      <c r="W80" s="231">
        <v>0</v>
      </c>
      <c r="X80" s="231">
        <v>0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v>0</v>
      </c>
      <c r="AF80" s="231">
        <v>0</v>
      </c>
      <c r="AG80" s="231">
        <v>0</v>
      </c>
      <c r="AH80" s="231">
        <v>0</v>
      </c>
      <c r="AI80" s="231">
        <v>0</v>
      </c>
      <c r="AJ80" s="231">
        <v>0</v>
      </c>
      <c r="AK80" s="231">
        <v>0</v>
      </c>
      <c r="AL80" s="231">
        <v>0</v>
      </c>
      <c r="AM80" s="231">
        <v>0</v>
      </c>
      <c r="AN80" s="231">
        <v>0</v>
      </c>
    </row>
    <row r="81" spans="3:40" x14ac:dyDescent="0.3">
      <c r="C81" s="231">
        <v>35</v>
      </c>
      <c r="D81" s="231">
        <v>7</v>
      </c>
      <c r="E81" s="231">
        <v>11</v>
      </c>
      <c r="F81" s="231">
        <v>5845</v>
      </c>
      <c r="G81" s="231">
        <v>0</v>
      </c>
      <c r="H81" s="231">
        <v>2095</v>
      </c>
      <c r="I81" s="231">
        <v>0</v>
      </c>
      <c r="J81" s="231">
        <v>0</v>
      </c>
      <c r="K81" s="231">
        <v>3750</v>
      </c>
      <c r="L81" s="231">
        <v>0</v>
      </c>
      <c r="M81" s="231">
        <v>0</v>
      </c>
      <c r="N81" s="231">
        <v>0</v>
      </c>
      <c r="O81" s="231">
        <v>0</v>
      </c>
      <c r="P81" s="231">
        <v>0</v>
      </c>
      <c r="Q81" s="231">
        <v>0</v>
      </c>
      <c r="R81" s="231">
        <v>0</v>
      </c>
      <c r="S81" s="231">
        <v>0</v>
      </c>
      <c r="T81" s="231">
        <v>0</v>
      </c>
      <c r="U81" s="231">
        <v>0</v>
      </c>
      <c r="V81" s="231">
        <v>0</v>
      </c>
      <c r="W81" s="231">
        <v>0</v>
      </c>
      <c r="X81" s="231">
        <v>0</v>
      </c>
      <c r="Y81" s="231">
        <v>0</v>
      </c>
      <c r="Z81" s="231">
        <v>0</v>
      </c>
      <c r="AA81" s="231">
        <v>0</v>
      </c>
      <c r="AB81" s="231">
        <v>0</v>
      </c>
      <c r="AC81" s="231">
        <v>0</v>
      </c>
      <c r="AD81" s="231">
        <v>0</v>
      </c>
      <c r="AE81" s="231">
        <v>0</v>
      </c>
      <c r="AF81" s="231">
        <v>0</v>
      </c>
      <c r="AG81" s="231">
        <v>0</v>
      </c>
      <c r="AH81" s="231">
        <v>0</v>
      </c>
      <c r="AI81" s="231">
        <v>0</v>
      </c>
      <c r="AJ81" s="231">
        <v>0</v>
      </c>
      <c r="AK81" s="231">
        <v>0</v>
      </c>
      <c r="AL81" s="231">
        <v>0</v>
      </c>
      <c r="AM81" s="231">
        <v>0</v>
      </c>
      <c r="AN81" s="231">
        <v>0</v>
      </c>
    </row>
    <row r="82" spans="3:40" x14ac:dyDescent="0.3">
      <c r="C82" s="231">
        <v>35</v>
      </c>
      <c r="D82" s="231">
        <v>8</v>
      </c>
      <c r="E82" s="231">
        <v>1</v>
      </c>
      <c r="F82" s="231">
        <v>72.75</v>
      </c>
      <c r="G82" s="231">
        <v>0</v>
      </c>
      <c r="H82" s="231">
        <v>6.7</v>
      </c>
      <c r="I82" s="231">
        <v>0</v>
      </c>
      <c r="J82" s="231">
        <v>0</v>
      </c>
      <c r="K82" s="231">
        <v>24.4</v>
      </c>
      <c r="L82" s="231">
        <v>0</v>
      </c>
      <c r="M82" s="231">
        <v>0</v>
      </c>
      <c r="N82" s="231">
        <v>22</v>
      </c>
      <c r="O82" s="231">
        <v>0</v>
      </c>
      <c r="P82" s="231">
        <v>0</v>
      </c>
      <c r="Q82" s="231">
        <v>0</v>
      </c>
      <c r="R82" s="231">
        <v>0</v>
      </c>
      <c r="S82" s="231">
        <v>0</v>
      </c>
      <c r="T82" s="231">
        <v>0</v>
      </c>
      <c r="U82" s="231">
        <v>0</v>
      </c>
      <c r="V82" s="231">
        <v>0</v>
      </c>
      <c r="W82" s="231">
        <v>0</v>
      </c>
      <c r="X82" s="231">
        <v>0</v>
      </c>
      <c r="Y82" s="231">
        <v>0</v>
      </c>
      <c r="Z82" s="231">
        <v>3.9</v>
      </c>
      <c r="AA82" s="231">
        <v>0</v>
      </c>
      <c r="AB82" s="231">
        <v>0</v>
      </c>
      <c r="AC82" s="231">
        <v>0</v>
      </c>
      <c r="AD82" s="231">
        <v>0</v>
      </c>
      <c r="AE82" s="231">
        <v>1</v>
      </c>
      <c r="AF82" s="231">
        <v>0</v>
      </c>
      <c r="AG82" s="231">
        <v>0</v>
      </c>
      <c r="AH82" s="231">
        <v>6.75</v>
      </c>
      <c r="AI82" s="231">
        <v>0</v>
      </c>
      <c r="AJ82" s="231">
        <v>0</v>
      </c>
      <c r="AK82" s="231">
        <v>0</v>
      </c>
      <c r="AL82" s="231">
        <v>0</v>
      </c>
      <c r="AM82" s="231">
        <v>5</v>
      </c>
      <c r="AN82" s="231">
        <v>3</v>
      </c>
    </row>
    <row r="83" spans="3:40" x14ac:dyDescent="0.3">
      <c r="C83" s="231">
        <v>35</v>
      </c>
      <c r="D83" s="231">
        <v>8</v>
      </c>
      <c r="E83" s="231">
        <v>2</v>
      </c>
      <c r="F83" s="231">
        <v>8924</v>
      </c>
      <c r="G83" s="231">
        <v>0</v>
      </c>
      <c r="H83" s="231">
        <v>765.6</v>
      </c>
      <c r="I83" s="231">
        <v>0</v>
      </c>
      <c r="J83" s="231">
        <v>0</v>
      </c>
      <c r="K83" s="231">
        <v>2955.2</v>
      </c>
      <c r="L83" s="231">
        <v>0</v>
      </c>
      <c r="M83" s="231">
        <v>0</v>
      </c>
      <c r="N83" s="231">
        <v>2736</v>
      </c>
      <c r="O83" s="231">
        <v>0</v>
      </c>
      <c r="P83" s="231">
        <v>0</v>
      </c>
      <c r="Q83" s="231">
        <v>0</v>
      </c>
      <c r="R83" s="231">
        <v>0</v>
      </c>
      <c r="S83" s="231">
        <v>0</v>
      </c>
      <c r="T83" s="231">
        <v>0</v>
      </c>
      <c r="U83" s="231">
        <v>0</v>
      </c>
      <c r="V83" s="231">
        <v>0</v>
      </c>
      <c r="W83" s="231">
        <v>0</v>
      </c>
      <c r="X83" s="231">
        <v>0</v>
      </c>
      <c r="Y83" s="231">
        <v>0</v>
      </c>
      <c r="Z83" s="231">
        <v>511.2</v>
      </c>
      <c r="AA83" s="231">
        <v>0</v>
      </c>
      <c r="AB83" s="231">
        <v>0</v>
      </c>
      <c r="AC83" s="231">
        <v>0</v>
      </c>
      <c r="AD83" s="231">
        <v>0</v>
      </c>
      <c r="AE83" s="231">
        <v>88</v>
      </c>
      <c r="AF83" s="231">
        <v>0</v>
      </c>
      <c r="AG83" s="231">
        <v>0</v>
      </c>
      <c r="AH83" s="231">
        <v>876</v>
      </c>
      <c r="AI83" s="231">
        <v>0</v>
      </c>
      <c r="AJ83" s="231">
        <v>0</v>
      </c>
      <c r="AK83" s="231">
        <v>0</v>
      </c>
      <c r="AL83" s="231">
        <v>0</v>
      </c>
      <c r="AM83" s="231">
        <v>656</v>
      </c>
      <c r="AN83" s="231">
        <v>336</v>
      </c>
    </row>
    <row r="84" spans="3:40" x14ac:dyDescent="0.3">
      <c r="C84" s="231">
        <v>35</v>
      </c>
      <c r="D84" s="231">
        <v>8</v>
      </c>
      <c r="E84" s="231">
        <v>3</v>
      </c>
      <c r="F84" s="231">
        <v>0</v>
      </c>
      <c r="G84" s="231">
        <v>0</v>
      </c>
      <c r="H84" s="231">
        <v>0</v>
      </c>
      <c r="I84" s="231">
        <v>0</v>
      </c>
      <c r="J84" s="231">
        <v>0</v>
      </c>
      <c r="K84" s="231">
        <v>0</v>
      </c>
      <c r="L84" s="231">
        <v>0</v>
      </c>
      <c r="M84" s="231">
        <v>0</v>
      </c>
      <c r="N84" s="231">
        <v>0</v>
      </c>
      <c r="O84" s="231">
        <v>0</v>
      </c>
      <c r="P84" s="231">
        <v>0</v>
      </c>
      <c r="Q84" s="231">
        <v>0</v>
      </c>
      <c r="R84" s="231">
        <v>0</v>
      </c>
      <c r="S84" s="231">
        <v>0</v>
      </c>
      <c r="T84" s="231">
        <v>0</v>
      </c>
      <c r="U84" s="231">
        <v>0</v>
      </c>
      <c r="V84" s="231">
        <v>0</v>
      </c>
      <c r="W84" s="231">
        <v>0</v>
      </c>
      <c r="X84" s="231">
        <v>0</v>
      </c>
      <c r="Y84" s="231">
        <v>0</v>
      </c>
      <c r="Z84" s="231">
        <v>0</v>
      </c>
      <c r="AA84" s="231">
        <v>0</v>
      </c>
      <c r="AB84" s="231">
        <v>0</v>
      </c>
      <c r="AC84" s="231">
        <v>0</v>
      </c>
      <c r="AD84" s="231">
        <v>0</v>
      </c>
      <c r="AE84" s="231">
        <v>0</v>
      </c>
      <c r="AF84" s="231">
        <v>0</v>
      </c>
      <c r="AG84" s="231">
        <v>0</v>
      </c>
      <c r="AH84" s="231">
        <v>0</v>
      </c>
      <c r="AI84" s="231">
        <v>0</v>
      </c>
      <c r="AJ84" s="231">
        <v>0</v>
      </c>
      <c r="AK84" s="231">
        <v>0</v>
      </c>
      <c r="AL84" s="231">
        <v>0</v>
      </c>
      <c r="AM84" s="231">
        <v>0</v>
      </c>
      <c r="AN84" s="231">
        <v>0</v>
      </c>
    </row>
    <row r="85" spans="3:40" x14ac:dyDescent="0.3">
      <c r="C85" s="231">
        <v>35</v>
      </c>
      <c r="D85" s="231">
        <v>8</v>
      </c>
      <c r="E85" s="231">
        <v>4</v>
      </c>
      <c r="F85" s="231">
        <v>454</v>
      </c>
      <c r="G85" s="231">
        <v>0</v>
      </c>
      <c r="H85" s="231">
        <v>51</v>
      </c>
      <c r="I85" s="231">
        <v>0</v>
      </c>
      <c r="J85" s="231">
        <v>0</v>
      </c>
      <c r="K85" s="231">
        <v>45</v>
      </c>
      <c r="L85" s="231">
        <v>0</v>
      </c>
      <c r="M85" s="231">
        <v>0</v>
      </c>
      <c r="N85" s="231">
        <v>358</v>
      </c>
      <c r="O85" s="231">
        <v>0</v>
      </c>
      <c r="P85" s="231">
        <v>0</v>
      </c>
      <c r="Q85" s="231">
        <v>0</v>
      </c>
      <c r="R85" s="231">
        <v>0</v>
      </c>
      <c r="S85" s="231">
        <v>0</v>
      </c>
      <c r="T85" s="231">
        <v>0</v>
      </c>
      <c r="U85" s="231">
        <v>0</v>
      </c>
      <c r="V85" s="231">
        <v>0</v>
      </c>
      <c r="W85" s="231">
        <v>0</v>
      </c>
      <c r="X85" s="231">
        <v>0</v>
      </c>
      <c r="Y85" s="231">
        <v>0</v>
      </c>
      <c r="Z85" s="231">
        <v>0</v>
      </c>
      <c r="AA85" s="231">
        <v>0</v>
      </c>
      <c r="AB85" s="231">
        <v>0</v>
      </c>
      <c r="AC85" s="231">
        <v>0</v>
      </c>
      <c r="AD85" s="231">
        <v>0</v>
      </c>
      <c r="AE85" s="231">
        <v>0</v>
      </c>
      <c r="AF85" s="231">
        <v>0</v>
      </c>
      <c r="AG85" s="231">
        <v>0</v>
      </c>
      <c r="AH85" s="231">
        <v>0</v>
      </c>
      <c r="AI85" s="231">
        <v>0</v>
      </c>
      <c r="AJ85" s="231">
        <v>0</v>
      </c>
      <c r="AK85" s="231">
        <v>0</v>
      </c>
      <c r="AL85" s="231">
        <v>0</v>
      </c>
      <c r="AM85" s="231">
        <v>0</v>
      </c>
      <c r="AN85" s="231">
        <v>0</v>
      </c>
    </row>
    <row r="86" spans="3:40" x14ac:dyDescent="0.3">
      <c r="C86" s="231">
        <v>35</v>
      </c>
      <c r="D86" s="231">
        <v>8</v>
      </c>
      <c r="E86" s="231">
        <v>5</v>
      </c>
      <c r="F86" s="231">
        <v>9</v>
      </c>
      <c r="G86" s="231">
        <v>9</v>
      </c>
      <c r="H86" s="231">
        <v>0</v>
      </c>
      <c r="I86" s="231">
        <v>0</v>
      </c>
      <c r="J86" s="231">
        <v>0</v>
      </c>
      <c r="K86" s="231">
        <v>0</v>
      </c>
      <c r="L86" s="231">
        <v>0</v>
      </c>
      <c r="M86" s="231">
        <v>0</v>
      </c>
      <c r="N86" s="231">
        <v>0</v>
      </c>
      <c r="O86" s="231">
        <v>0</v>
      </c>
      <c r="P86" s="231">
        <v>0</v>
      </c>
      <c r="Q86" s="231">
        <v>0</v>
      </c>
      <c r="R86" s="231">
        <v>0</v>
      </c>
      <c r="S86" s="231">
        <v>0</v>
      </c>
      <c r="T86" s="231">
        <v>0</v>
      </c>
      <c r="U86" s="231">
        <v>0</v>
      </c>
      <c r="V86" s="231">
        <v>0</v>
      </c>
      <c r="W86" s="231">
        <v>0</v>
      </c>
      <c r="X86" s="231">
        <v>0</v>
      </c>
      <c r="Y86" s="231">
        <v>0</v>
      </c>
      <c r="Z86" s="231">
        <v>0</v>
      </c>
      <c r="AA86" s="231">
        <v>0</v>
      </c>
      <c r="AB86" s="231">
        <v>0</v>
      </c>
      <c r="AC86" s="231">
        <v>0</v>
      </c>
      <c r="AD86" s="231">
        <v>0</v>
      </c>
      <c r="AE86" s="231">
        <v>0</v>
      </c>
      <c r="AF86" s="231">
        <v>0</v>
      </c>
      <c r="AG86" s="231">
        <v>0</v>
      </c>
      <c r="AH86" s="231">
        <v>0</v>
      </c>
      <c r="AI86" s="231">
        <v>0</v>
      </c>
      <c r="AJ86" s="231">
        <v>0</v>
      </c>
      <c r="AK86" s="231">
        <v>0</v>
      </c>
      <c r="AL86" s="231">
        <v>0</v>
      </c>
      <c r="AM86" s="231">
        <v>0</v>
      </c>
      <c r="AN86" s="231">
        <v>0</v>
      </c>
    </row>
    <row r="87" spans="3:40" x14ac:dyDescent="0.3">
      <c r="C87" s="231">
        <v>35</v>
      </c>
      <c r="D87" s="231">
        <v>8</v>
      </c>
      <c r="E87" s="231">
        <v>6</v>
      </c>
      <c r="F87" s="231">
        <v>1911104</v>
      </c>
      <c r="G87" s="231">
        <v>900</v>
      </c>
      <c r="H87" s="231">
        <v>370832</v>
      </c>
      <c r="I87" s="231">
        <v>0</v>
      </c>
      <c r="J87" s="231">
        <v>0</v>
      </c>
      <c r="K87" s="231">
        <v>596409</v>
      </c>
      <c r="L87" s="231">
        <v>0</v>
      </c>
      <c r="M87" s="231">
        <v>0</v>
      </c>
      <c r="N87" s="231">
        <v>582105</v>
      </c>
      <c r="O87" s="231">
        <v>0</v>
      </c>
      <c r="P87" s="231">
        <v>0</v>
      </c>
      <c r="Q87" s="231">
        <v>0</v>
      </c>
      <c r="R87" s="231">
        <v>0</v>
      </c>
      <c r="S87" s="231">
        <v>0</v>
      </c>
      <c r="T87" s="231">
        <v>0</v>
      </c>
      <c r="U87" s="231">
        <v>0</v>
      </c>
      <c r="V87" s="231">
        <v>0</v>
      </c>
      <c r="W87" s="231">
        <v>0</v>
      </c>
      <c r="X87" s="231">
        <v>0</v>
      </c>
      <c r="Y87" s="231">
        <v>0</v>
      </c>
      <c r="Z87" s="231">
        <v>98953</v>
      </c>
      <c r="AA87" s="231">
        <v>0</v>
      </c>
      <c r="AB87" s="231">
        <v>0</v>
      </c>
      <c r="AC87" s="231">
        <v>0</v>
      </c>
      <c r="AD87" s="231">
        <v>0</v>
      </c>
      <c r="AE87" s="231">
        <v>19282</v>
      </c>
      <c r="AF87" s="231">
        <v>0</v>
      </c>
      <c r="AG87" s="231">
        <v>0</v>
      </c>
      <c r="AH87" s="231">
        <v>104269</v>
      </c>
      <c r="AI87" s="231">
        <v>0</v>
      </c>
      <c r="AJ87" s="231">
        <v>0</v>
      </c>
      <c r="AK87" s="231">
        <v>0</v>
      </c>
      <c r="AL87" s="231">
        <v>0</v>
      </c>
      <c r="AM87" s="231">
        <v>101841</v>
      </c>
      <c r="AN87" s="231">
        <v>36513</v>
      </c>
    </row>
    <row r="88" spans="3:40" x14ac:dyDescent="0.3">
      <c r="C88" s="231">
        <v>35</v>
      </c>
      <c r="D88" s="231">
        <v>8</v>
      </c>
      <c r="E88" s="231">
        <v>7</v>
      </c>
      <c r="F88" s="231">
        <v>0</v>
      </c>
      <c r="G88" s="231">
        <v>0</v>
      </c>
      <c r="H88" s="231">
        <v>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v>0</v>
      </c>
      <c r="AF88" s="231">
        <v>0</v>
      </c>
      <c r="AG88" s="231">
        <v>0</v>
      </c>
      <c r="AH88" s="231">
        <v>0</v>
      </c>
      <c r="AI88" s="231">
        <v>0</v>
      </c>
      <c r="AJ88" s="231">
        <v>0</v>
      </c>
      <c r="AK88" s="231">
        <v>0</v>
      </c>
      <c r="AL88" s="231">
        <v>0</v>
      </c>
      <c r="AM88" s="231">
        <v>0</v>
      </c>
      <c r="AN88" s="231">
        <v>0</v>
      </c>
    </row>
    <row r="89" spans="3:40" x14ac:dyDescent="0.3">
      <c r="C89" s="231">
        <v>35</v>
      </c>
      <c r="D89" s="231">
        <v>8</v>
      </c>
      <c r="E89" s="231">
        <v>8</v>
      </c>
      <c r="F89" s="231">
        <v>0</v>
      </c>
      <c r="G89" s="231">
        <v>0</v>
      </c>
      <c r="H89" s="231">
        <v>0</v>
      </c>
      <c r="I89" s="231">
        <v>0</v>
      </c>
      <c r="J89" s="231">
        <v>0</v>
      </c>
      <c r="K89" s="231">
        <v>0</v>
      </c>
      <c r="L89" s="231">
        <v>0</v>
      </c>
      <c r="M89" s="231">
        <v>0</v>
      </c>
      <c r="N89" s="231">
        <v>0</v>
      </c>
      <c r="O89" s="231">
        <v>0</v>
      </c>
      <c r="P89" s="231">
        <v>0</v>
      </c>
      <c r="Q89" s="231">
        <v>0</v>
      </c>
      <c r="R89" s="231">
        <v>0</v>
      </c>
      <c r="S89" s="231">
        <v>0</v>
      </c>
      <c r="T89" s="231">
        <v>0</v>
      </c>
      <c r="U89" s="231">
        <v>0</v>
      </c>
      <c r="V89" s="231">
        <v>0</v>
      </c>
      <c r="W89" s="231">
        <v>0</v>
      </c>
      <c r="X89" s="231">
        <v>0</v>
      </c>
      <c r="Y89" s="231">
        <v>0</v>
      </c>
      <c r="Z89" s="231">
        <v>0</v>
      </c>
      <c r="AA89" s="231">
        <v>0</v>
      </c>
      <c r="AB89" s="231">
        <v>0</v>
      </c>
      <c r="AC89" s="231">
        <v>0</v>
      </c>
      <c r="AD89" s="231">
        <v>0</v>
      </c>
      <c r="AE89" s="231">
        <v>0</v>
      </c>
      <c r="AF89" s="231">
        <v>0</v>
      </c>
      <c r="AG89" s="231">
        <v>0</v>
      </c>
      <c r="AH89" s="231">
        <v>0</v>
      </c>
      <c r="AI89" s="231">
        <v>0</v>
      </c>
      <c r="AJ89" s="231">
        <v>0</v>
      </c>
      <c r="AK89" s="231">
        <v>0</v>
      </c>
      <c r="AL89" s="231">
        <v>0</v>
      </c>
      <c r="AM89" s="231">
        <v>0</v>
      </c>
      <c r="AN89" s="231">
        <v>0</v>
      </c>
    </row>
    <row r="90" spans="3:40" x14ac:dyDescent="0.3">
      <c r="C90" s="231">
        <v>35</v>
      </c>
      <c r="D90" s="231">
        <v>8</v>
      </c>
      <c r="E90" s="231">
        <v>9</v>
      </c>
      <c r="F90" s="231">
        <v>8210</v>
      </c>
      <c r="G90" s="231">
        <v>0</v>
      </c>
      <c r="H90" s="231">
        <v>0</v>
      </c>
      <c r="I90" s="231">
        <v>0</v>
      </c>
      <c r="J90" s="231">
        <v>0</v>
      </c>
      <c r="K90" s="231">
        <v>3500</v>
      </c>
      <c r="L90" s="231">
        <v>0</v>
      </c>
      <c r="M90" s="231">
        <v>0</v>
      </c>
      <c r="N90" s="231">
        <v>1500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v>0</v>
      </c>
      <c r="AF90" s="231">
        <v>0</v>
      </c>
      <c r="AG90" s="231">
        <v>0</v>
      </c>
      <c r="AH90" s="231">
        <v>2210</v>
      </c>
      <c r="AI90" s="231">
        <v>0</v>
      </c>
      <c r="AJ90" s="231">
        <v>0</v>
      </c>
      <c r="AK90" s="231">
        <v>0</v>
      </c>
      <c r="AL90" s="231">
        <v>0</v>
      </c>
      <c r="AM90" s="231">
        <v>0</v>
      </c>
      <c r="AN90" s="231">
        <v>1000</v>
      </c>
    </row>
    <row r="91" spans="3:40" x14ac:dyDescent="0.3">
      <c r="C91" s="231">
        <v>35</v>
      </c>
      <c r="D91" s="231">
        <v>8</v>
      </c>
      <c r="E91" s="231">
        <v>10</v>
      </c>
      <c r="F91" s="231">
        <v>0</v>
      </c>
      <c r="G91" s="231">
        <v>0</v>
      </c>
      <c r="H91" s="231">
        <v>0</v>
      </c>
      <c r="I91" s="231">
        <v>0</v>
      </c>
      <c r="J91" s="231">
        <v>0</v>
      </c>
      <c r="K91" s="231">
        <v>0</v>
      </c>
      <c r="L91" s="231">
        <v>0</v>
      </c>
      <c r="M91" s="231">
        <v>0</v>
      </c>
      <c r="N91" s="231">
        <v>0</v>
      </c>
      <c r="O91" s="231">
        <v>0</v>
      </c>
      <c r="P91" s="231">
        <v>0</v>
      </c>
      <c r="Q91" s="231">
        <v>0</v>
      </c>
      <c r="R91" s="231">
        <v>0</v>
      </c>
      <c r="S91" s="231">
        <v>0</v>
      </c>
      <c r="T91" s="231">
        <v>0</v>
      </c>
      <c r="U91" s="231">
        <v>0</v>
      </c>
      <c r="V91" s="231">
        <v>0</v>
      </c>
      <c r="W91" s="231">
        <v>0</v>
      </c>
      <c r="X91" s="231">
        <v>0</v>
      </c>
      <c r="Y91" s="231">
        <v>0</v>
      </c>
      <c r="Z91" s="231">
        <v>0</v>
      </c>
      <c r="AA91" s="231">
        <v>0</v>
      </c>
      <c r="AB91" s="231">
        <v>0</v>
      </c>
      <c r="AC91" s="231">
        <v>0</v>
      </c>
      <c r="AD91" s="231">
        <v>0</v>
      </c>
      <c r="AE91" s="231">
        <v>0</v>
      </c>
      <c r="AF91" s="231">
        <v>0</v>
      </c>
      <c r="AG91" s="231">
        <v>0</v>
      </c>
      <c r="AH91" s="231">
        <v>0</v>
      </c>
      <c r="AI91" s="231">
        <v>0</v>
      </c>
      <c r="AJ91" s="231">
        <v>0</v>
      </c>
      <c r="AK91" s="231">
        <v>0</v>
      </c>
      <c r="AL91" s="231">
        <v>0</v>
      </c>
      <c r="AM91" s="231">
        <v>0</v>
      </c>
      <c r="AN91" s="231">
        <v>0</v>
      </c>
    </row>
    <row r="92" spans="3:40" x14ac:dyDescent="0.3">
      <c r="C92" s="231">
        <v>35</v>
      </c>
      <c r="D92" s="231">
        <v>8</v>
      </c>
      <c r="E92" s="231">
        <v>11</v>
      </c>
      <c r="F92" s="231">
        <v>5845</v>
      </c>
      <c r="G92" s="231">
        <v>0</v>
      </c>
      <c r="H92" s="231">
        <v>2095</v>
      </c>
      <c r="I92" s="231">
        <v>0</v>
      </c>
      <c r="J92" s="231">
        <v>0</v>
      </c>
      <c r="K92" s="231">
        <v>3750</v>
      </c>
      <c r="L92" s="231">
        <v>0</v>
      </c>
      <c r="M92" s="231">
        <v>0</v>
      </c>
      <c r="N92" s="231">
        <v>0</v>
      </c>
      <c r="O92" s="231">
        <v>0</v>
      </c>
      <c r="P92" s="231">
        <v>0</v>
      </c>
      <c r="Q92" s="231">
        <v>0</v>
      </c>
      <c r="R92" s="231">
        <v>0</v>
      </c>
      <c r="S92" s="231">
        <v>0</v>
      </c>
      <c r="T92" s="231">
        <v>0</v>
      </c>
      <c r="U92" s="231">
        <v>0</v>
      </c>
      <c r="V92" s="231">
        <v>0</v>
      </c>
      <c r="W92" s="231">
        <v>0</v>
      </c>
      <c r="X92" s="231">
        <v>0</v>
      </c>
      <c r="Y92" s="231">
        <v>0</v>
      </c>
      <c r="Z92" s="231">
        <v>0</v>
      </c>
      <c r="AA92" s="231">
        <v>0</v>
      </c>
      <c r="AB92" s="231">
        <v>0</v>
      </c>
      <c r="AC92" s="231">
        <v>0</v>
      </c>
      <c r="AD92" s="231">
        <v>0</v>
      </c>
      <c r="AE92" s="231">
        <v>0</v>
      </c>
      <c r="AF92" s="231">
        <v>0</v>
      </c>
      <c r="AG92" s="231">
        <v>0</v>
      </c>
      <c r="AH92" s="231">
        <v>0</v>
      </c>
      <c r="AI92" s="231">
        <v>0</v>
      </c>
      <c r="AJ92" s="231">
        <v>0</v>
      </c>
      <c r="AK92" s="231">
        <v>0</v>
      </c>
      <c r="AL92" s="231">
        <v>0</v>
      </c>
      <c r="AM92" s="231">
        <v>0</v>
      </c>
      <c r="AN92" s="231">
        <v>0</v>
      </c>
    </row>
    <row r="93" spans="3:40" x14ac:dyDescent="0.3">
      <c r="C93" s="231">
        <v>35</v>
      </c>
      <c r="D93" s="231">
        <v>9</v>
      </c>
      <c r="E93" s="231">
        <v>1</v>
      </c>
      <c r="F93" s="231">
        <v>73.75</v>
      </c>
      <c r="G93" s="231">
        <v>0</v>
      </c>
      <c r="H93" s="231">
        <v>6.7</v>
      </c>
      <c r="I93" s="231">
        <v>0</v>
      </c>
      <c r="J93" s="231">
        <v>0</v>
      </c>
      <c r="K93" s="231">
        <v>25.4</v>
      </c>
      <c r="L93" s="231">
        <v>0</v>
      </c>
      <c r="M93" s="231">
        <v>0</v>
      </c>
      <c r="N93" s="231">
        <v>22</v>
      </c>
      <c r="O93" s="231">
        <v>0</v>
      </c>
      <c r="P93" s="231">
        <v>0</v>
      </c>
      <c r="Q93" s="231">
        <v>0</v>
      </c>
      <c r="R93" s="231">
        <v>0</v>
      </c>
      <c r="S93" s="231">
        <v>0</v>
      </c>
      <c r="T93" s="231">
        <v>0</v>
      </c>
      <c r="U93" s="231">
        <v>0</v>
      </c>
      <c r="V93" s="231">
        <v>0</v>
      </c>
      <c r="W93" s="231">
        <v>0</v>
      </c>
      <c r="X93" s="231">
        <v>0</v>
      </c>
      <c r="Y93" s="231">
        <v>0</v>
      </c>
      <c r="Z93" s="231">
        <v>3.9</v>
      </c>
      <c r="AA93" s="231">
        <v>0</v>
      </c>
      <c r="AB93" s="231">
        <v>0</v>
      </c>
      <c r="AC93" s="231">
        <v>0</v>
      </c>
      <c r="AD93" s="231">
        <v>0</v>
      </c>
      <c r="AE93" s="231">
        <v>1</v>
      </c>
      <c r="AF93" s="231">
        <v>0</v>
      </c>
      <c r="AG93" s="231">
        <v>0</v>
      </c>
      <c r="AH93" s="231">
        <v>6.75</v>
      </c>
      <c r="AI93" s="231">
        <v>0</v>
      </c>
      <c r="AJ93" s="231">
        <v>0</v>
      </c>
      <c r="AK93" s="231">
        <v>0</v>
      </c>
      <c r="AL93" s="231">
        <v>0</v>
      </c>
      <c r="AM93" s="231">
        <v>5</v>
      </c>
      <c r="AN93" s="231">
        <v>3</v>
      </c>
    </row>
    <row r="94" spans="3:40" x14ac:dyDescent="0.3">
      <c r="C94" s="231">
        <v>35</v>
      </c>
      <c r="D94" s="231">
        <v>9</v>
      </c>
      <c r="E94" s="231">
        <v>2</v>
      </c>
      <c r="F94" s="231">
        <v>11249.07</v>
      </c>
      <c r="G94" s="231">
        <v>0</v>
      </c>
      <c r="H94" s="231">
        <v>1079.8699999999999</v>
      </c>
      <c r="I94" s="231">
        <v>0</v>
      </c>
      <c r="J94" s="231">
        <v>0</v>
      </c>
      <c r="K94" s="231">
        <v>3747.2</v>
      </c>
      <c r="L94" s="231">
        <v>0</v>
      </c>
      <c r="M94" s="231">
        <v>0</v>
      </c>
      <c r="N94" s="231">
        <v>3268</v>
      </c>
      <c r="O94" s="231">
        <v>0</v>
      </c>
      <c r="P94" s="231">
        <v>0</v>
      </c>
      <c r="Q94" s="231">
        <v>0</v>
      </c>
      <c r="R94" s="231">
        <v>0</v>
      </c>
      <c r="S94" s="231">
        <v>0</v>
      </c>
      <c r="T94" s="231">
        <v>0</v>
      </c>
      <c r="U94" s="231">
        <v>0</v>
      </c>
      <c r="V94" s="231">
        <v>0</v>
      </c>
      <c r="W94" s="231">
        <v>0</v>
      </c>
      <c r="X94" s="231">
        <v>0</v>
      </c>
      <c r="Y94" s="231">
        <v>0</v>
      </c>
      <c r="Z94" s="231">
        <v>620</v>
      </c>
      <c r="AA94" s="231">
        <v>0</v>
      </c>
      <c r="AB94" s="231">
        <v>0</v>
      </c>
      <c r="AC94" s="231">
        <v>0</v>
      </c>
      <c r="AD94" s="231">
        <v>0</v>
      </c>
      <c r="AE94" s="231">
        <v>176</v>
      </c>
      <c r="AF94" s="231">
        <v>0</v>
      </c>
      <c r="AG94" s="231">
        <v>0</v>
      </c>
      <c r="AH94" s="231">
        <v>1038</v>
      </c>
      <c r="AI94" s="231">
        <v>0</v>
      </c>
      <c r="AJ94" s="231">
        <v>0</v>
      </c>
      <c r="AK94" s="231">
        <v>0</v>
      </c>
      <c r="AL94" s="231">
        <v>0</v>
      </c>
      <c r="AM94" s="231">
        <v>832</v>
      </c>
      <c r="AN94" s="231">
        <v>488</v>
      </c>
    </row>
    <row r="95" spans="3:40" x14ac:dyDescent="0.3">
      <c r="C95" s="231">
        <v>35</v>
      </c>
      <c r="D95" s="231">
        <v>9</v>
      </c>
      <c r="E95" s="231">
        <v>3</v>
      </c>
      <c r="F95" s="231">
        <v>0</v>
      </c>
      <c r="G95" s="231">
        <v>0</v>
      </c>
      <c r="H95" s="231">
        <v>0</v>
      </c>
      <c r="I95" s="231">
        <v>0</v>
      </c>
      <c r="J95" s="231">
        <v>0</v>
      </c>
      <c r="K95" s="231">
        <v>0</v>
      </c>
      <c r="L95" s="231">
        <v>0</v>
      </c>
      <c r="M95" s="231">
        <v>0</v>
      </c>
      <c r="N95" s="231">
        <v>0</v>
      </c>
      <c r="O95" s="231">
        <v>0</v>
      </c>
      <c r="P95" s="231">
        <v>0</v>
      </c>
      <c r="Q95" s="231">
        <v>0</v>
      </c>
      <c r="R95" s="231">
        <v>0</v>
      </c>
      <c r="S95" s="231">
        <v>0</v>
      </c>
      <c r="T95" s="231">
        <v>0</v>
      </c>
      <c r="U95" s="231">
        <v>0</v>
      </c>
      <c r="V95" s="231">
        <v>0</v>
      </c>
      <c r="W95" s="231">
        <v>0</v>
      </c>
      <c r="X95" s="231">
        <v>0</v>
      </c>
      <c r="Y95" s="231">
        <v>0</v>
      </c>
      <c r="Z95" s="231">
        <v>0</v>
      </c>
      <c r="AA95" s="231">
        <v>0</v>
      </c>
      <c r="AB95" s="231">
        <v>0</v>
      </c>
      <c r="AC95" s="231">
        <v>0</v>
      </c>
      <c r="AD95" s="231">
        <v>0</v>
      </c>
      <c r="AE95" s="231">
        <v>0</v>
      </c>
      <c r="AF95" s="231">
        <v>0</v>
      </c>
      <c r="AG95" s="231">
        <v>0</v>
      </c>
      <c r="AH95" s="231">
        <v>0</v>
      </c>
      <c r="AI95" s="231">
        <v>0</v>
      </c>
      <c r="AJ95" s="231">
        <v>0</v>
      </c>
      <c r="AK95" s="231">
        <v>0</v>
      </c>
      <c r="AL95" s="231">
        <v>0</v>
      </c>
      <c r="AM95" s="231">
        <v>0</v>
      </c>
      <c r="AN95" s="231">
        <v>0</v>
      </c>
    </row>
    <row r="96" spans="3:40" x14ac:dyDescent="0.3">
      <c r="C96" s="231">
        <v>35</v>
      </c>
      <c r="D96" s="231">
        <v>9</v>
      </c>
      <c r="E96" s="231">
        <v>4</v>
      </c>
      <c r="F96" s="231">
        <v>360</v>
      </c>
      <c r="G96" s="231">
        <v>0</v>
      </c>
      <c r="H96" s="231">
        <v>43</v>
      </c>
      <c r="I96" s="231">
        <v>0</v>
      </c>
      <c r="J96" s="231">
        <v>0</v>
      </c>
      <c r="K96" s="231">
        <v>34</v>
      </c>
      <c r="L96" s="231">
        <v>0</v>
      </c>
      <c r="M96" s="231">
        <v>0</v>
      </c>
      <c r="N96" s="231">
        <v>283</v>
      </c>
      <c r="O96" s="231">
        <v>0</v>
      </c>
      <c r="P96" s="231">
        <v>0</v>
      </c>
      <c r="Q96" s="231">
        <v>0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v>0</v>
      </c>
      <c r="AF96" s="231">
        <v>0</v>
      </c>
      <c r="AG96" s="231">
        <v>0</v>
      </c>
      <c r="AH96" s="231">
        <v>0</v>
      </c>
      <c r="AI96" s="231">
        <v>0</v>
      </c>
      <c r="AJ96" s="231">
        <v>0</v>
      </c>
      <c r="AK96" s="231">
        <v>0</v>
      </c>
      <c r="AL96" s="231">
        <v>0</v>
      </c>
      <c r="AM96" s="231">
        <v>0</v>
      </c>
      <c r="AN96" s="231">
        <v>0</v>
      </c>
    </row>
    <row r="97" spans="3:40" x14ac:dyDescent="0.3">
      <c r="C97" s="231">
        <v>35</v>
      </c>
      <c r="D97" s="231">
        <v>9</v>
      </c>
      <c r="E97" s="231">
        <v>5</v>
      </c>
      <c r="F97" s="231">
        <v>13</v>
      </c>
      <c r="G97" s="231">
        <v>13</v>
      </c>
      <c r="H97" s="231">
        <v>0</v>
      </c>
      <c r="I97" s="231">
        <v>0</v>
      </c>
      <c r="J97" s="231">
        <v>0</v>
      </c>
      <c r="K97" s="231">
        <v>0</v>
      </c>
      <c r="L97" s="231">
        <v>0</v>
      </c>
      <c r="M97" s="231">
        <v>0</v>
      </c>
      <c r="N97" s="231">
        <v>0</v>
      </c>
      <c r="O97" s="231">
        <v>0</v>
      </c>
      <c r="P97" s="231">
        <v>0</v>
      </c>
      <c r="Q97" s="231">
        <v>0</v>
      </c>
      <c r="R97" s="231">
        <v>0</v>
      </c>
      <c r="S97" s="231">
        <v>0</v>
      </c>
      <c r="T97" s="231">
        <v>0</v>
      </c>
      <c r="U97" s="231">
        <v>0</v>
      </c>
      <c r="V97" s="231">
        <v>0</v>
      </c>
      <c r="W97" s="231">
        <v>0</v>
      </c>
      <c r="X97" s="231">
        <v>0</v>
      </c>
      <c r="Y97" s="231">
        <v>0</v>
      </c>
      <c r="Z97" s="231">
        <v>0</v>
      </c>
      <c r="AA97" s="231">
        <v>0</v>
      </c>
      <c r="AB97" s="231">
        <v>0</v>
      </c>
      <c r="AC97" s="231">
        <v>0</v>
      </c>
      <c r="AD97" s="231">
        <v>0</v>
      </c>
      <c r="AE97" s="231">
        <v>0</v>
      </c>
      <c r="AF97" s="231">
        <v>0</v>
      </c>
      <c r="AG97" s="231">
        <v>0</v>
      </c>
      <c r="AH97" s="231">
        <v>0</v>
      </c>
      <c r="AI97" s="231">
        <v>0</v>
      </c>
      <c r="AJ97" s="231">
        <v>0</v>
      </c>
      <c r="AK97" s="231">
        <v>0</v>
      </c>
      <c r="AL97" s="231">
        <v>0</v>
      </c>
      <c r="AM97" s="231">
        <v>0</v>
      </c>
      <c r="AN97" s="231">
        <v>0</v>
      </c>
    </row>
    <row r="98" spans="3:40" x14ac:dyDescent="0.3">
      <c r="C98" s="231">
        <v>35</v>
      </c>
      <c r="D98" s="231">
        <v>9</v>
      </c>
      <c r="E98" s="231">
        <v>6</v>
      </c>
      <c r="F98" s="231">
        <v>1910775</v>
      </c>
      <c r="G98" s="231">
        <v>1000</v>
      </c>
      <c r="H98" s="231">
        <v>364136</v>
      </c>
      <c r="I98" s="231">
        <v>0</v>
      </c>
      <c r="J98" s="231">
        <v>0</v>
      </c>
      <c r="K98" s="231">
        <v>615306</v>
      </c>
      <c r="L98" s="231">
        <v>0</v>
      </c>
      <c r="M98" s="231">
        <v>0</v>
      </c>
      <c r="N98" s="231">
        <v>569658</v>
      </c>
      <c r="O98" s="231">
        <v>0</v>
      </c>
      <c r="P98" s="231">
        <v>0</v>
      </c>
      <c r="Q98" s="231">
        <v>0</v>
      </c>
      <c r="R98" s="231">
        <v>0</v>
      </c>
      <c r="S98" s="231">
        <v>0</v>
      </c>
      <c r="T98" s="231">
        <v>0</v>
      </c>
      <c r="U98" s="231">
        <v>0</v>
      </c>
      <c r="V98" s="231">
        <v>0</v>
      </c>
      <c r="W98" s="231">
        <v>0</v>
      </c>
      <c r="X98" s="231">
        <v>0</v>
      </c>
      <c r="Y98" s="231">
        <v>0</v>
      </c>
      <c r="Z98" s="231">
        <v>99702</v>
      </c>
      <c r="AA98" s="231">
        <v>0</v>
      </c>
      <c r="AB98" s="231">
        <v>0</v>
      </c>
      <c r="AC98" s="231">
        <v>0</v>
      </c>
      <c r="AD98" s="231">
        <v>0</v>
      </c>
      <c r="AE98" s="231">
        <v>19400</v>
      </c>
      <c r="AF98" s="231">
        <v>0</v>
      </c>
      <c r="AG98" s="231">
        <v>0</v>
      </c>
      <c r="AH98" s="231">
        <v>104023</v>
      </c>
      <c r="AI98" s="231">
        <v>0</v>
      </c>
      <c r="AJ98" s="231">
        <v>0</v>
      </c>
      <c r="AK98" s="231">
        <v>0</v>
      </c>
      <c r="AL98" s="231">
        <v>0</v>
      </c>
      <c r="AM98" s="231">
        <v>101804</v>
      </c>
      <c r="AN98" s="231">
        <v>35746</v>
      </c>
    </row>
    <row r="99" spans="3:40" x14ac:dyDescent="0.3">
      <c r="C99" s="231">
        <v>35</v>
      </c>
      <c r="D99" s="231">
        <v>9</v>
      </c>
      <c r="E99" s="231">
        <v>7</v>
      </c>
      <c r="F99" s="231">
        <v>0</v>
      </c>
      <c r="G99" s="231">
        <v>0</v>
      </c>
      <c r="H99" s="231">
        <v>0</v>
      </c>
      <c r="I99" s="231">
        <v>0</v>
      </c>
      <c r="J99" s="231">
        <v>0</v>
      </c>
      <c r="K99" s="231">
        <v>0</v>
      </c>
      <c r="L99" s="231">
        <v>0</v>
      </c>
      <c r="M99" s="231">
        <v>0</v>
      </c>
      <c r="N99" s="231">
        <v>0</v>
      </c>
      <c r="O99" s="231">
        <v>0</v>
      </c>
      <c r="P99" s="231">
        <v>0</v>
      </c>
      <c r="Q99" s="231">
        <v>0</v>
      </c>
      <c r="R99" s="231">
        <v>0</v>
      </c>
      <c r="S99" s="231">
        <v>0</v>
      </c>
      <c r="T99" s="231">
        <v>0</v>
      </c>
      <c r="U99" s="231">
        <v>0</v>
      </c>
      <c r="V99" s="231">
        <v>0</v>
      </c>
      <c r="W99" s="231">
        <v>0</v>
      </c>
      <c r="X99" s="231">
        <v>0</v>
      </c>
      <c r="Y99" s="231">
        <v>0</v>
      </c>
      <c r="Z99" s="231">
        <v>0</v>
      </c>
      <c r="AA99" s="231">
        <v>0</v>
      </c>
      <c r="AB99" s="231">
        <v>0</v>
      </c>
      <c r="AC99" s="231">
        <v>0</v>
      </c>
      <c r="AD99" s="231">
        <v>0</v>
      </c>
      <c r="AE99" s="231">
        <v>0</v>
      </c>
      <c r="AF99" s="231">
        <v>0</v>
      </c>
      <c r="AG99" s="231">
        <v>0</v>
      </c>
      <c r="AH99" s="231">
        <v>0</v>
      </c>
      <c r="AI99" s="231">
        <v>0</v>
      </c>
      <c r="AJ99" s="231">
        <v>0</v>
      </c>
      <c r="AK99" s="231">
        <v>0</v>
      </c>
      <c r="AL99" s="231">
        <v>0</v>
      </c>
      <c r="AM99" s="231">
        <v>0</v>
      </c>
      <c r="AN99" s="231">
        <v>0</v>
      </c>
    </row>
    <row r="100" spans="3:40" x14ac:dyDescent="0.3">
      <c r="C100" s="231">
        <v>35</v>
      </c>
      <c r="D100" s="231">
        <v>9</v>
      </c>
      <c r="E100" s="231">
        <v>8</v>
      </c>
      <c r="F100" s="231">
        <v>0</v>
      </c>
      <c r="G100" s="231">
        <v>0</v>
      </c>
      <c r="H100" s="231">
        <v>0</v>
      </c>
      <c r="I100" s="231">
        <v>0</v>
      </c>
      <c r="J100" s="231">
        <v>0</v>
      </c>
      <c r="K100" s="231">
        <v>0</v>
      </c>
      <c r="L100" s="231">
        <v>0</v>
      </c>
      <c r="M100" s="231">
        <v>0</v>
      </c>
      <c r="N100" s="231">
        <v>0</v>
      </c>
      <c r="O100" s="231">
        <v>0</v>
      </c>
      <c r="P100" s="231">
        <v>0</v>
      </c>
      <c r="Q100" s="231">
        <v>0</v>
      </c>
      <c r="R100" s="231">
        <v>0</v>
      </c>
      <c r="S100" s="231">
        <v>0</v>
      </c>
      <c r="T100" s="231">
        <v>0</v>
      </c>
      <c r="U100" s="231">
        <v>0</v>
      </c>
      <c r="V100" s="231">
        <v>0</v>
      </c>
      <c r="W100" s="231">
        <v>0</v>
      </c>
      <c r="X100" s="231">
        <v>0</v>
      </c>
      <c r="Y100" s="231">
        <v>0</v>
      </c>
      <c r="Z100" s="231">
        <v>0</v>
      </c>
      <c r="AA100" s="231">
        <v>0</v>
      </c>
      <c r="AB100" s="231">
        <v>0</v>
      </c>
      <c r="AC100" s="231">
        <v>0</v>
      </c>
      <c r="AD100" s="231">
        <v>0</v>
      </c>
      <c r="AE100" s="231">
        <v>0</v>
      </c>
      <c r="AF100" s="231">
        <v>0</v>
      </c>
      <c r="AG100" s="231">
        <v>0</v>
      </c>
      <c r="AH100" s="231">
        <v>0</v>
      </c>
      <c r="AI100" s="231">
        <v>0</v>
      </c>
      <c r="AJ100" s="231">
        <v>0</v>
      </c>
      <c r="AK100" s="231">
        <v>0</v>
      </c>
      <c r="AL100" s="231">
        <v>0</v>
      </c>
      <c r="AM100" s="231">
        <v>0</v>
      </c>
      <c r="AN100" s="231">
        <v>0</v>
      </c>
    </row>
    <row r="101" spans="3:40" x14ac:dyDescent="0.3">
      <c r="C101" s="231">
        <v>35</v>
      </c>
      <c r="D101" s="231">
        <v>9</v>
      </c>
      <c r="E101" s="231">
        <v>9</v>
      </c>
      <c r="F101" s="231">
        <v>11500</v>
      </c>
      <c r="G101" s="231">
        <v>0</v>
      </c>
      <c r="H101" s="231">
        <v>0</v>
      </c>
      <c r="I101" s="231">
        <v>0</v>
      </c>
      <c r="J101" s="231">
        <v>0</v>
      </c>
      <c r="K101" s="231">
        <v>5500</v>
      </c>
      <c r="L101" s="231">
        <v>0</v>
      </c>
      <c r="M101" s="231">
        <v>0</v>
      </c>
      <c r="N101" s="231">
        <v>4500</v>
      </c>
      <c r="O101" s="231">
        <v>0</v>
      </c>
      <c r="P101" s="231">
        <v>0</v>
      </c>
      <c r="Q101" s="231">
        <v>0</v>
      </c>
      <c r="R101" s="231">
        <v>0</v>
      </c>
      <c r="S101" s="231">
        <v>0</v>
      </c>
      <c r="T101" s="231">
        <v>0</v>
      </c>
      <c r="U101" s="231">
        <v>0</v>
      </c>
      <c r="V101" s="231">
        <v>0</v>
      </c>
      <c r="W101" s="231">
        <v>0</v>
      </c>
      <c r="X101" s="231">
        <v>0</v>
      </c>
      <c r="Y101" s="231">
        <v>0</v>
      </c>
      <c r="Z101" s="231">
        <v>0</v>
      </c>
      <c r="AA101" s="231">
        <v>0</v>
      </c>
      <c r="AB101" s="231">
        <v>0</v>
      </c>
      <c r="AC101" s="231">
        <v>0</v>
      </c>
      <c r="AD101" s="231">
        <v>0</v>
      </c>
      <c r="AE101" s="231">
        <v>0</v>
      </c>
      <c r="AF101" s="231">
        <v>0</v>
      </c>
      <c r="AG101" s="231">
        <v>0</v>
      </c>
      <c r="AH101" s="231">
        <v>1500</v>
      </c>
      <c r="AI101" s="231">
        <v>0</v>
      </c>
      <c r="AJ101" s="231">
        <v>0</v>
      </c>
      <c r="AK101" s="231">
        <v>0</v>
      </c>
      <c r="AL101" s="231">
        <v>0</v>
      </c>
      <c r="AM101" s="231">
        <v>0</v>
      </c>
      <c r="AN101" s="231">
        <v>0</v>
      </c>
    </row>
    <row r="102" spans="3:40" x14ac:dyDescent="0.3">
      <c r="C102" s="231">
        <v>35</v>
      </c>
      <c r="D102" s="231">
        <v>9</v>
      </c>
      <c r="E102" s="231">
        <v>10</v>
      </c>
      <c r="F102" s="231">
        <v>0</v>
      </c>
      <c r="G102" s="231">
        <v>0</v>
      </c>
      <c r="H102" s="231">
        <v>0</v>
      </c>
      <c r="I102" s="231">
        <v>0</v>
      </c>
      <c r="J102" s="231">
        <v>0</v>
      </c>
      <c r="K102" s="231">
        <v>0</v>
      </c>
      <c r="L102" s="231">
        <v>0</v>
      </c>
      <c r="M102" s="231">
        <v>0</v>
      </c>
      <c r="N102" s="231">
        <v>0</v>
      </c>
      <c r="O102" s="231">
        <v>0</v>
      </c>
      <c r="P102" s="231">
        <v>0</v>
      </c>
      <c r="Q102" s="231">
        <v>0</v>
      </c>
      <c r="R102" s="231">
        <v>0</v>
      </c>
      <c r="S102" s="231">
        <v>0</v>
      </c>
      <c r="T102" s="231">
        <v>0</v>
      </c>
      <c r="U102" s="231">
        <v>0</v>
      </c>
      <c r="V102" s="231">
        <v>0</v>
      </c>
      <c r="W102" s="231">
        <v>0</v>
      </c>
      <c r="X102" s="231">
        <v>0</v>
      </c>
      <c r="Y102" s="231">
        <v>0</v>
      </c>
      <c r="Z102" s="231">
        <v>0</v>
      </c>
      <c r="AA102" s="231">
        <v>0</v>
      </c>
      <c r="AB102" s="231">
        <v>0</v>
      </c>
      <c r="AC102" s="231">
        <v>0</v>
      </c>
      <c r="AD102" s="231">
        <v>0</v>
      </c>
      <c r="AE102" s="231">
        <v>0</v>
      </c>
      <c r="AF102" s="231">
        <v>0</v>
      </c>
      <c r="AG102" s="231">
        <v>0</v>
      </c>
      <c r="AH102" s="231">
        <v>0</v>
      </c>
      <c r="AI102" s="231">
        <v>0</v>
      </c>
      <c r="AJ102" s="231">
        <v>0</v>
      </c>
      <c r="AK102" s="231">
        <v>0</v>
      </c>
      <c r="AL102" s="231">
        <v>0</v>
      </c>
      <c r="AM102" s="231">
        <v>0</v>
      </c>
      <c r="AN102" s="231">
        <v>0</v>
      </c>
    </row>
    <row r="103" spans="3:40" x14ac:dyDescent="0.3">
      <c r="C103" s="231">
        <v>35</v>
      </c>
      <c r="D103" s="231">
        <v>9</v>
      </c>
      <c r="E103" s="231">
        <v>11</v>
      </c>
      <c r="F103" s="231">
        <v>5845</v>
      </c>
      <c r="G103" s="231">
        <v>0</v>
      </c>
      <c r="H103" s="231">
        <v>2095</v>
      </c>
      <c r="I103" s="231">
        <v>0</v>
      </c>
      <c r="J103" s="231">
        <v>0</v>
      </c>
      <c r="K103" s="231">
        <v>3750</v>
      </c>
      <c r="L103" s="231">
        <v>0</v>
      </c>
      <c r="M103" s="231">
        <v>0</v>
      </c>
      <c r="N103" s="231">
        <v>0</v>
      </c>
      <c r="O103" s="231">
        <v>0</v>
      </c>
      <c r="P103" s="231">
        <v>0</v>
      </c>
      <c r="Q103" s="231">
        <v>0</v>
      </c>
      <c r="R103" s="231">
        <v>0</v>
      </c>
      <c r="S103" s="231">
        <v>0</v>
      </c>
      <c r="T103" s="231">
        <v>0</v>
      </c>
      <c r="U103" s="231">
        <v>0</v>
      </c>
      <c r="V103" s="231">
        <v>0</v>
      </c>
      <c r="W103" s="231">
        <v>0</v>
      </c>
      <c r="X103" s="231">
        <v>0</v>
      </c>
      <c r="Y103" s="231">
        <v>0</v>
      </c>
      <c r="Z103" s="231">
        <v>0</v>
      </c>
      <c r="AA103" s="231">
        <v>0</v>
      </c>
      <c r="AB103" s="231">
        <v>0</v>
      </c>
      <c r="AC103" s="231">
        <v>0</v>
      </c>
      <c r="AD103" s="231">
        <v>0</v>
      </c>
      <c r="AE103" s="231">
        <v>0</v>
      </c>
      <c r="AF103" s="231">
        <v>0</v>
      </c>
      <c r="AG103" s="231">
        <v>0</v>
      </c>
      <c r="AH103" s="231">
        <v>0</v>
      </c>
      <c r="AI103" s="231">
        <v>0</v>
      </c>
      <c r="AJ103" s="231">
        <v>0</v>
      </c>
      <c r="AK103" s="231">
        <v>0</v>
      </c>
      <c r="AL103" s="231">
        <v>0</v>
      </c>
      <c r="AM103" s="231">
        <v>0</v>
      </c>
      <c r="AN103" s="231">
        <v>0</v>
      </c>
    </row>
    <row r="104" spans="3:40" x14ac:dyDescent="0.3">
      <c r="C104" s="231">
        <v>35</v>
      </c>
      <c r="D104" s="231">
        <v>10</v>
      </c>
      <c r="E104" s="231">
        <v>1</v>
      </c>
      <c r="F104" s="231">
        <v>76</v>
      </c>
      <c r="G104" s="231">
        <v>0</v>
      </c>
      <c r="H104" s="231">
        <v>6.7</v>
      </c>
      <c r="I104" s="231">
        <v>0</v>
      </c>
      <c r="J104" s="231">
        <v>0</v>
      </c>
      <c r="K104" s="231">
        <v>26.4</v>
      </c>
      <c r="L104" s="231">
        <v>0</v>
      </c>
      <c r="M104" s="231">
        <v>0</v>
      </c>
      <c r="N104" s="231">
        <v>22</v>
      </c>
      <c r="O104" s="231">
        <v>0</v>
      </c>
      <c r="P104" s="231">
        <v>0</v>
      </c>
      <c r="Q104" s="231">
        <v>0</v>
      </c>
      <c r="R104" s="231">
        <v>0</v>
      </c>
      <c r="S104" s="231">
        <v>0</v>
      </c>
      <c r="T104" s="231">
        <v>0</v>
      </c>
      <c r="U104" s="231">
        <v>0</v>
      </c>
      <c r="V104" s="231">
        <v>0</v>
      </c>
      <c r="W104" s="231">
        <v>0</v>
      </c>
      <c r="X104" s="231">
        <v>0</v>
      </c>
      <c r="Y104" s="231">
        <v>0</v>
      </c>
      <c r="Z104" s="231">
        <v>3.9</v>
      </c>
      <c r="AA104" s="231">
        <v>0</v>
      </c>
      <c r="AB104" s="231">
        <v>0</v>
      </c>
      <c r="AC104" s="231">
        <v>1</v>
      </c>
      <c r="AD104" s="231">
        <v>0</v>
      </c>
      <c r="AE104" s="231">
        <v>1</v>
      </c>
      <c r="AF104" s="231">
        <v>0</v>
      </c>
      <c r="AG104" s="231">
        <v>0</v>
      </c>
      <c r="AH104" s="231">
        <v>7</v>
      </c>
      <c r="AI104" s="231">
        <v>0</v>
      </c>
      <c r="AJ104" s="231">
        <v>0</v>
      </c>
      <c r="AK104" s="231">
        <v>0</v>
      </c>
      <c r="AL104" s="231">
        <v>0</v>
      </c>
      <c r="AM104" s="231">
        <v>5</v>
      </c>
      <c r="AN104" s="231">
        <v>3</v>
      </c>
    </row>
    <row r="105" spans="3:40" x14ac:dyDescent="0.3">
      <c r="C105" s="231">
        <v>35</v>
      </c>
      <c r="D105" s="231">
        <v>10</v>
      </c>
      <c r="E105" s="231">
        <v>2</v>
      </c>
      <c r="F105" s="231">
        <v>12069.6</v>
      </c>
      <c r="G105" s="231">
        <v>0</v>
      </c>
      <c r="H105" s="231">
        <v>1148.8</v>
      </c>
      <c r="I105" s="231">
        <v>0</v>
      </c>
      <c r="J105" s="231">
        <v>0</v>
      </c>
      <c r="K105" s="231">
        <v>4007.2</v>
      </c>
      <c r="L105" s="231">
        <v>0</v>
      </c>
      <c r="M105" s="231">
        <v>0</v>
      </c>
      <c r="N105" s="231">
        <v>3412</v>
      </c>
      <c r="O105" s="231">
        <v>0</v>
      </c>
      <c r="P105" s="231">
        <v>0</v>
      </c>
      <c r="Q105" s="231">
        <v>0</v>
      </c>
      <c r="R105" s="231">
        <v>0</v>
      </c>
      <c r="S105" s="231">
        <v>0</v>
      </c>
      <c r="T105" s="231">
        <v>0</v>
      </c>
      <c r="U105" s="231">
        <v>0</v>
      </c>
      <c r="V105" s="231">
        <v>0</v>
      </c>
      <c r="W105" s="231">
        <v>0</v>
      </c>
      <c r="X105" s="231">
        <v>0</v>
      </c>
      <c r="Y105" s="231">
        <v>0</v>
      </c>
      <c r="Z105" s="231">
        <v>653.6</v>
      </c>
      <c r="AA105" s="231">
        <v>0</v>
      </c>
      <c r="AB105" s="231">
        <v>0</v>
      </c>
      <c r="AC105" s="231">
        <v>184</v>
      </c>
      <c r="AD105" s="231">
        <v>0</v>
      </c>
      <c r="AE105" s="231">
        <v>160</v>
      </c>
      <c r="AF105" s="231">
        <v>0</v>
      </c>
      <c r="AG105" s="231">
        <v>0</v>
      </c>
      <c r="AH105" s="231">
        <v>1192</v>
      </c>
      <c r="AI105" s="231">
        <v>0</v>
      </c>
      <c r="AJ105" s="231">
        <v>0</v>
      </c>
      <c r="AK105" s="231">
        <v>0</v>
      </c>
      <c r="AL105" s="231">
        <v>0</v>
      </c>
      <c r="AM105" s="231">
        <v>864</v>
      </c>
      <c r="AN105" s="231">
        <v>448</v>
      </c>
    </row>
    <row r="106" spans="3:40" x14ac:dyDescent="0.3">
      <c r="C106" s="231">
        <v>35</v>
      </c>
      <c r="D106" s="231">
        <v>10</v>
      </c>
      <c r="E106" s="231">
        <v>3</v>
      </c>
      <c r="F106" s="231">
        <v>0</v>
      </c>
      <c r="G106" s="231">
        <v>0</v>
      </c>
      <c r="H106" s="231">
        <v>0</v>
      </c>
      <c r="I106" s="231">
        <v>0</v>
      </c>
      <c r="J106" s="231">
        <v>0</v>
      </c>
      <c r="K106" s="231">
        <v>0</v>
      </c>
      <c r="L106" s="231">
        <v>0</v>
      </c>
      <c r="M106" s="231">
        <v>0</v>
      </c>
      <c r="N106" s="231">
        <v>0</v>
      </c>
      <c r="O106" s="231">
        <v>0</v>
      </c>
      <c r="P106" s="231">
        <v>0</v>
      </c>
      <c r="Q106" s="231">
        <v>0</v>
      </c>
      <c r="R106" s="231">
        <v>0</v>
      </c>
      <c r="S106" s="231">
        <v>0</v>
      </c>
      <c r="T106" s="231">
        <v>0</v>
      </c>
      <c r="U106" s="231">
        <v>0</v>
      </c>
      <c r="V106" s="231">
        <v>0</v>
      </c>
      <c r="W106" s="231">
        <v>0</v>
      </c>
      <c r="X106" s="231">
        <v>0</v>
      </c>
      <c r="Y106" s="231">
        <v>0</v>
      </c>
      <c r="Z106" s="231">
        <v>0</v>
      </c>
      <c r="AA106" s="231">
        <v>0</v>
      </c>
      <c r="AB106" s="231">
        <v>0</v>
      </c>
      <c r="AC106" s="231">
        <v>0</v>
      </c>
      <c r="AD106" s="231">
        <v>0</v>
      </c>
      <c r="AE106" s="231">
        <v>0</v>
      </c>
      <c r="AF106" s="231">
        <v>0</v>
      </c>
      <c r="AG106" s="231">
        <v>0</v>
      </c>
      <c r="AH106" s="231">
        <v>0</v>
      </c>
      <c r="AI106" s="231">
        <v>0</v>
      </c>
      <c r="AJ106" s="231">
        <v>0</v>
      </c>
      <c r="AK106" s="231">
        <v>0</v>
      </c>
      <c r="AL106" s="231">
        <v>0</v>
      </c>
      <c r="AM106" s="231">
        <v>0</v>
      </c>
      <c r="AN106" s="231">
        <v>0</v>
      </c>
    </row>
    <row r="107" spans="3:40" x14ac:dyDescent="0.3">
      <c r="C107" s="231">
        <v>35</v>
      </c>
      <c r="D107" s="231">
        <v>10</v>
      </c>
      <c r="E107" s="231">
        <v>4</v>
      </c>
      <c r="F107" s="231">
        <v>381</v>
      </c>
      <c r="G107" s="231">
        <v>0</v>
      </c>
      <c r="H107" s="231">
        <v>44</v>
      </c>
      <c r="I107" s="231">
        <v>0</v>
      </c>
      <c r="J107" s="231">
        <v>0</v>
      </c>
      <c r="K107" s="231">
        <v>32</v>
      </c>
      <c r="L107" s="231">
        <v>0</v>
      </c>
      <c r="M107" s="231">
        <v>0</v>
      </c>
      <c r="N107" s="231">
        <v>305</v>
      </c>
      <c r="O107" s="231">
        <v>0</v>
      </c>
      <c r="P107" s="231">
        <v>0</v>
      </c>
      <c r="Q107" s="231">
        <v>0</v>
      </c>
      <c r="R107" s="231">
        <v>0</v>
      </c>
      <c r="S107" s="231">
        <v>0</v>
      </c>
      <c r="T107" s="231">
        <v>0</v>
      </c>
      <c r="U107" s="231">
        <v>0</v>
      </c>
      <c r="V107" s="231">
        <v>0</v>
      </c>
      <c r="W107" s="231">
        <v>0</v>
      </c>
      <c r="X107" s="231">
        <v>0</v>
      </c>
      <c r="Y107" s="231">
        <v>0</v>
      </c>
      <c r="Z107" s="231">
        <v>0</v>
      </c>
      <c r="AA107" s="231">
        <v>0</v>
      </c>
      <c r="AB107" s="231">
        <v>0</v>
      </c>
      <c r="AC107" s="231">
        <v>0</v>
      </c>
      <c r="AD107" s="231">
        <v>0</v>
      </c>
      <c r="AE107" s="231">
        <v>0</v>
      </c>
      <c r="AF107" s="231">
        <v>0</v>
      </c>
      <c r="AG107" s="231">
        <v>0</v>
      </c>
      <c r="AH107" s="231">
        <v>0</v>
      </c>
      <c r="AI107" s="231">
        <v>0</v>
      </c>
      <c r="AJ107" s="231">
        <v>0</v>
      </c>
      <c r="AK107" s="231">
        <v>0</v>
      </c>
      <c r="AL107" s="231">
        <v>0</v>
      </c>
      <c r="AM107" s="231">
        <v>0</v>
      </c>
      <c r="AN107" s="231">
        <v>0</v>
      </c>
    </row>
    <row r="108" spans="3:40" x14ac:dyDescent="0.3">
      <c r="C108" s="231">
        <v>35</v>
      </c>
      <c r="D108" s="231">
        <v>10</v>
      </c>
      <c r="E108" s="231">
        <v>5</v>
      </c>
      <c r="F108" s="231">
        <v>13.5</v>
      </c>
      <c r="G108" s="231">
        <v>13.5</v>
      </c>
      <c r="H108" s="231">
        <v>0</v>
      </c>
      <c r="I108" s="231">
        <v>0</v>
      </c>
      <c r="J108" s="231">
        <v>0</v>
      </c>
      <c r="K108" s="231">
        <v>0</v>
      </c>
      <c r="L108" s="231">
        <v>0</v>
      </c>
      <c r="M108" s="231">
        <v>0</v>
      </c>
      <c r="N108" s="231">
        <v>0</v>
      </c>
      <c r="O108" s="231">
        <v>0</v>
      </c>
      <c r="P108" s="231">
        <v>0</v>
      </c>
      <c r="Q108" s="231">
        <v>0</v>
      </c>
      <c r="R108" s="231">
        <v>0</v>
      </c>
      <c r="S108" s="231">
        <v>0</v>
      </c>
      <c r="T108" s="231">
        <v>0</v>
      </c>
      <c r="U108" s="231">
        <v>0</v>
      </c>
      <c r="V108" s="231">
        <v>0</v>
      </c>
      <c r="W108" s="231">
        <v>0</v>
      </c>
      <c r="X108" s="231">
        <v>0</v>
      </c>
      <c r="Y108" s="231">
        <v>0</v>
      </c>
      <c r="Z108" s="231">
        <v>0</v>
      </c>
      <c r="AA108" s="231">
        <v>0</v>
      </c>
      <c r="AB108" s="231">
        <v>0</v>
      </c>
      <c r="AC108" s="231">
        <v>0</v>
      </c>
      <c r="AD108" s="231">
        <v>0</v>
      </c>
      <c r="AE108" s="231">
        <v>0</v>
      </c>
      <c r="AF108" s="231">
        <v>0</v>
      </c>
      <c r="AG108" s="231">
        <v>0</v>
      </c>
      <c r="AH108" s="231">
        <v>0</v>
      </c>
      <c r="AI108" s="231">
        <v>0</v>
      </c>
      <c r="AJ108" s="231">
        <v>0</v>
      </c>
      <c r="AK108" s="231">
        <v>0</v>
      </c>
      <c r="AL108" s="231">
        <v>0</v>
      </c>
      <c r="AM108" s="231">
        <v>0</v>
      </c>
      <c r="AN108" s="231">
        <v>0</v>
      </c>
    </row>
    <row r="109" spans="3:40" x14ac:dyDescent="0.3">
      <c r="C109" s="231">
        <v>35</v>
      </c>
      <c r="D109" s="231">
        <v>10</v>
      </c>
      <c r="E109" s="231">
        <v>6</v>
      </c>
      <c r="F109" s="231">
        <v>2110848</v>
      </c>
      <c r="G109" s="231">
        <v>400</v>
      </c>
      <c r="H109" s="231">
        <v>384833</v>
      </c>
      <c r="I109" s="231">
        <v>0</v>
      </c>
      <c r="J109" s="231">
        <v>0</v>
      </c>
      <c r="K109" s="231">
        <v>783488</v>
      </c>
      <c r="L109" s="231">
        <v>0</v>
      </c>
      <c r="M109" s="231">
        <v>0</v>
      </c>
      <c r="N109" s="231">
        <v>559430</v>
      </c>
      <c r="O109" s="231">
        <v>0</v>
      </c>
      <c r="P109" s="231">
        <v>0</v>
      </c>
      <c r="Q109" s="231">
        <v>0</v>
      </c>
      <c r="R109" s="231">
        <v>0</v>
      </c>
      <c r="S109" s="231">
        <v>0</v>
      </c>
      <c r="T109" s="231">
        <v>0</v>
      </c>
      <c r="U109" s="231">
        <v>0</v>
      </c>
      <c r="V109" s="231">
        <v>0</v>
      </c>
      <c r="W109" s="231">
        <v>0</v>
      </c>
      <c r="X109" s="231">
        <v>0</v>
      </c>
      <c r="Y109" s="231">
        <v>0</v>
      </c>
      <c r="Z109" s="231">
        <v>100771</v>
      </c>
      <c r="AA109" s="231">
        <v>0</v>
      </c>
      <c r="AB109" s="231">
        <v>0</v>
      </c>
      <c r="AC109" s="231">
        <v>12500</v>
      </c>
      <c r="AD109" s="231">
        <v>0</v>
      </c>
      <c r="AE109" s="231">
        <v>20691</v>
      </c>
      <c r="AF109" s="231">
        <v>0</v>
      </c>
      <c r="AG109" s="231">
        <v>0</v>
      </c>
      <c r="AH109" s="231">
        <v>109835</v>
      </c>
      <c r="AI109" s="231">
        <v>0</v>
      </c>
      <c r="AJ109" s="231">
        <v>0</v>
      </c>
      <c r="AK109" s="231">
        <v>0</v>
      </c>
      <c r="AL109" s="231">
        <v>0</v>
      </c>
      <c r="AM109" s="231">
        <v>102311</v>
      </c>
      <c r="AN109" s="231">
        <v>36589</v>
      </c>
    </row>
    <row r="110" spans="3:40" x14ac:dyDescent="0.3">
      <c r="C110" s="231">
        <v>35</v>
      </c>
      <c r="D110" s="231">
        <v>10</v>
      </c>
      <c r="E110" s="231">
        <v>7</v>
      </c>
      <c r="F110" s="231">
        <v>0</v>
      </c>
      <c r="G110" s="231">
        <v>0</v>
      </c>
      <c r="H110" s="231">
        <v>0</v>
      </c>
      <c r="I110" s="231">
        <v>0</v>
      </c>
      <c r="J110" s="231">
        <v>0</v>
      </c>
      <c r="K110" s="231">
        <v>0</v>
      </c>
      <c r="L110" s="231">
        <v>0</v>
      </c>
      <c r="M110" s="231">
        <v>0</v>
      </c>
      <c r="N110" s="231">
        <v>0</v>
      </c>
      <c r="O110" s="231">
        <v>0</v>
      </c>
      <c r="P110" s="231">
        <v>0</v>
      </c>
      <c r="Q110" s="231">
        <v>0</v>
      </c>
      <c r="R110" s="231">
        <v>0</v>
      </c>
      <c r="S110" s="231">
        <v>0</v>
      </c>
      <c r="T110" s="231">
        <v>0</v>
      </c>
      <c r="U110" s="231">
        <v>0</v>
      </c>
      <c r="V110" s="231">
        <v>0</v>
      </c>
      <c r="W110" s="231">
        <v>0</v>
      </c>
      <c r="X110" s="231">
        <v>0</v>
      </c>
      <c r="Y110" s="231">
        <v>0</v>
      </c>
      <c r="Z110" s="231">
        <v>0</v>
      </c>
      <c r="AA110" s="231">
        <v>0</v>
      </c>
      <c r="AB110" s="231">
        <v>0</v>
      </c>
      <c r="AC110" s="231">
        <v>0</v>
      </c>
      <c r="AD110" s="231">
        <v>0</v>
      </c>
      <c r="AE110" s="231">
        <v>0</v>
      </c>
      <c r="AF110" s="231">
        <v>0</v>
      </c>
      <c r="AG110" s="231">
        <v>0</v>
      </c>
      <c r="AH110" s="231">
        <v>0</v>
      </c>
      <c r="AI110" s="231">
        <v>0</v>
      </c>
      <c r="AJ110" s="231">
        <v>0</v>
      </c>
      <c r="AK110" s="231">
        <v>0</v>
      </c>
      <c r="AL110" s="231">
        <v>0</v>
      </c>
      <c r="AM110" s="231">
        <v>0</v>
      </c>
      <c r="AN110" s="231">
        <v>0</v>
      </c>
    </row>
    <row r="111" spans="3:40" x14ac:dyDescent="0.3">
      <c r="C111" s="231">
        <v>35</v>
      </c>
      <c r="D111" s="231">
        <v>10</v>
      </c>
      <c r="E111" s="231">
        <v>8</v>
      </c>
      <c r="F111" s="231">
        <v>0</v>
      </c>
      <c r="G111" s="231">
        <v>0</v>
      </c>
      <c r="H111" s="231">
        <v>0</v>
      </c>
      <c r="I111" s="231">
        <v>0</v>
      </c>
      <c r="J111" s="231">
        <v>0</v>
      </c>
      <c r="K111" s="231">
        <v>0</v>
      </c>
      <c r="L111" s="231">
        <v>0</v>
      </c>
      <c r="M111" s="231">
        <v>0</v>
      </c>
      <c r="N111" s="231">
        <v>0</v>
      </c>
      <c r="O111" s="231">
        <v>0</v>
      </c>
      <c r="P111" s="231">
        <v>0</v>
      </c>
      <c r="Q111" s="231">
        <v>0</v>
      </c>
      <c r="R111" s="231">
        <v>0</v>
      </c>
      <c r="S111" s="231">
        <v>0</v>
      </c>
      <c r="T111" s="231">
        <v>0</v>
      </c>
      <c r="U111" s="231">
        <v>0</v>
      </c>
      <c r="V111" s="231">
        <v>0</v>
      </c>
      <c r="W111" s="231">
        <v>0</v>
      </c>
      <c r="X111" s="231">
        <v>0</v>
      </c>
      <c r="Y111" s="231">
        <v>0</v>
      </c>
      <c r="Z111" s="231">
        <v>0</v>
      </c>
      <c r="AA111" s="231">
        <v>0</v>
      </c>
      <c r="AB111" s="231">
        <v>0</v>
      </c>
      <c r="AC111" s="231">
        <v>0</v>
      </c>
      <c r="AD111" s="231">
        <v>0</v>
      </c>
      <c r="AE111" s="231">
        <v>0</v>
      </c>
      <c r="AF111" s="231">
        <v>0</v>
      </c>
      <c r="AG111" s="231">
        <v>0</v>
      </c>
      <c r="AH111" s="231">
        <v>0</v>
      </c>
      <c r="AI111" s="231">
        <v>0</v>
      </c>
      <c r="AJ111" s="231">
        <v>0</v>
      </c>
      <c r="AK111" s="231">
        <v>0</v>
      </c>
      <c r="AL111" s="231">
        <v>0</v>
      </c>
      <c r="AM111" s="231">
        <v>0</v>
      </c>
      <c r="AN111" s="231">
        <v>0</v>
      </c>
    </row>
    <row r="112" spans="3:40" x14ac:dyDescent="0.3">
      <c r="C112" s="231">
        <v>35</v>
      </c>
      <c r="D112" s="231">
        <v>10</v>
      </c>
      <c r="E112" s="231">
        <v>9</v>
      </c>
      <c r="F112" s="231">
        <v>108430</v>
      </c>
      <c r="G112" s="231">
        <v>0</v>
      </c>
      <c r="H112" s="231">
        <v>10000</v>
      </c>
      <c r="I112" s="231">
        <v>0</v>
      </c>
      <c r="J112" s="231">
        <v>0</v>
      </c>
      <c r="K112" s="231">
        <v>90730</v>
      </c>
      <c r="L112" s="231">
        <v>0</v>
      </c>
      <c r="M112" s="231">
        <v>0</v>
      </c>
      <c r="N112" s="231">
        <v>3700</v>
      </c>
      <c r="O112" s="231">
        <v>0</v>
      </c>
      <c r="P112" s="231">
        <v>0</v>
      </c>
      <c r="Q112" s="231">
        <v>0</v>
      </c>
      <c r="R112" s="231">
        <v>0</v>
      </c>
      <c r="S112" s="231">
        <v>0</v>
      </c>
      <c r="T112" s="231">
        <v>0</v>
      </c>
      <c r="U112" s="231">
        <v>0</v>
      </c>
      <c r="V112" s="231">
        <v>0</v>
      </c>
      <c r="W112" s="231">
        <v>0</v>
      </c>
      <c r="X112" s="231">
        <v>0</v>
      </c>
      <c r="Y112" s="231">
        <v>0</v>
      </c>
      <c r="Z112" s="231">
        <v>0</v>
      </c>
      <c r="AA112" s="231">
        <v>0</v>
      </c>
      <c r="AB112" s="231">
        <v>0</v>
      </c>
      <c r="AC112" s="231">
        <v>0</v>
      </c>
      <c r="AD112" s="231">
        <v>0</v>
      </c>
      <c r="AE112" s="231">
        <v>1000</v>
      </c>
      <c r="AF112" s="231">
        <v>0</v>
      </c>
      <c r="AG112" s="231">
        <v>0</v>
      </c>
      <c r="AH112" s="231">
        <v>3000</v>
      </c>
      <c r="AI112" s="231">
        <v>0</v>
      </c>
      <c r="AJ112" s="231">
        <v>0</v>
      </c>
      <c r="AK112" s="231">
        <v>0</v>
      </c>
      <c r="AL112" s="231">
        <v>0</v>
      </c>
      <c r="AM112" s="231">
        <v>0</v>
      </c>
      <c r="AN112" s="231">
        <v>0</v>
      </c>
    </row>
    <row r="113" spans="3:40" x14ac:dyDescent="0.3">
      <c r="C113" s="231">
        <v>35</v>
      </c>
      <c r="D113" s="231">
        <v>10</v>
      </c>
      <c r="E113" s="231">
        <v>10</v>
      </c>
      <c r="F113" s="231">
        <v>0</v>
      </c>
      <c r="G113" s="231">
        <v>0</v>
      </c>
      <c r="H113" s="231">
        <v>0</v>
      </c>
      <c r="I113" s="231">
        <v>0</v>
      </c>
      <c r="J113" s="231">
        <v>0</v>
      </c>
      <c r="K113" s="231">
        <v>0</v>
      </c>
      <c r="L113" s="231">
        <v>0</v>
      </c>
      <c r="M113" s="231">
        <v>0</v>
      </c>
      <c r="N113" s="231">
        <v>0</v>
      </c>
      <c r="O113" s="231">
        <v>0</v>
      </c>
      <c r="P113" s="231">
        <v>0</v>
      </c>
      <c r="Q113" s="231">
        <v>0</v>
      </c>
      <c r="R113" s="231">
        <v>0</v>
      </c>
      <c r="S113" s="231">
        <v>0</v>
      </c>
      <c r="T113" s="231">
        <v>0</v>
      </c>
      <c r="U113" s="231">
        <v>0</v>
      </c>
      <c r="V113" s="231">
        <v>0</v>
      </c>
      <c r="W113" s="231">
        <v>0</v>
      </c>
      <c r="X113" s="231">
        <v>0</v>
      </c>
      <c r="Y113" s="231">
        <v>0</v>
      </c>
      <c r="Z113" s="231">
        <v>0</v>
      </c>
      <c r="AA113" s="231">
        <v>0</v>
      </c>
      <c r="AB113" s="231">
        <v>0</v>
      </c>
      <c r="AC113" s="231">
        <v>0</v>
      </c>
      <c r="AD113" s="231">
        <v>0</v>
      </c>
      <c r="AE113" s="231">
        <v>0</v>
      </c>
      <c r="AF113" s="231">
        <v>0</v>
      </c>
      <c r="AG113" s="231">
        <v>0</v>
      </c>
      <c r="AH113" s="231">
        <v>0</v>
      </c>
      <c r="AI113" s="231">
        <v>0</v>
      </c>
      <c r="AJ113" s="231">
        <v>0</v>
      </c>
      <c r="AK113" s="231">
        <v>0</v>
      </c>
      <c r="AL113" s="231">
        <v>0</v>
      </c>
      <c r="AM113" s="231">
        <v>0</v>
      </c>
      <c r="AN113" s="231">
        <v>0</v>
      </c>
    </row>
    <row r="114" spans="3:40" x14ac:dyDescent="0.3">
      <c r="C114" s="231">
        <v>35</v>
      </c>
      <c r="D114" s="231">
        <v>10</v>
      </c>
      <c r="E114" s="231">
        <v>11</v>
      </c>
      <c r="F114" s="231">
        <v>5845</v>
      </c>
      <c r="G114" s="231">
        <v>0</v>
      </c>
      <c r="H114" s="231">
        <v>2095</v>
      </c>
      <c r="I114" s="231">
        <v>0</v>
      </c>
      <c r="J114" s="231">
        <v>0</v>
      </c>
      <c r="K114" s="231">
        <v>3750</v>
      </c>
      <c r="L114" s="231">
        <v>0</v>
      </c>
      <c r="M114" s="231">
        <v>0</v>
      </c>
      <c r="N114" s="231">
        <v>0</v>
      </c>
      <c r="O114" s="231">
        <v>0</v>
      </c>
      <c r="P114" s="231">
        <v>0</v>
      </c>
      <c r="Q114" s="231">
        <v>0</v>
      </c>
      <c r="R114" s="231">
        <v>0</v>
      </c>
      <c r="S114" s="231">
        <v>0</v>
      </c>
      <c r="T114" s="231">
        <v>0</v>
      </c>
      <c r="U114" s="231">
        <v>0</v>
      </c>
      <c r="V114" s="231">
        <v>0</v>
      </c>
      <c r="W114" s="231">
        <v>0</v>
      </c>
      <c r="X114" s="231">
        <v>0</v>
      </c>
      <c r="Y114" s="231">
        <v>0</v>
      </c>
      <c r="Z114" s="231">
        <v>0</v>
      </c>
      <c r="AA114" s="231">
        <v>0</v>
      </c>
      <c r="AB114" s="231">
        <v>0</v>
      </c>
      <c r="AC114" s="231">
        <v>0</v>
      </c>
      <c r="AD114" s="231">
        <v>0</v>
      </c>
      <c r="AE114" s="231">
        <v>0</v>
      </c>
      <c r="AF114" s="231">
        <v>0</v>
      </c>
      <c r="AG114" s="231">
        <v>0</v>
      </c>
      <c r="AH114" s="231">
        <v>0</v>
      </c>
      <c r="AI114" s="231">
        <v>0</v>
      </c>
      <c r="AJ114" s="231">
        <v>0</v>
      </c>
      <c r="AK114" s="231">
        <v>0</v>
      </c>
      <c r="AL114" s="231">
        <v>0</v>
      </c>
      <c r="AM114" s="231">
        <v>0</v>
      </c>
      <c r="AN114" s="231">
        <v>0</v>
      </c>
    </row>
    <row r="115" spans="3:40" x14ac:dyDescent="0.3">
      <c r="C115" s="231">
        <v>35</v>
      </c>
      <c r="D115" s="231">
        <v>11</v>
      </c>
      <c r="E115" s="231">
        <v>1</v>
      </c>
      <c r="F115" s="231">
        <v>75.05</v>
      </c>
      <c r="G115" s="231">
        <v>0</v>
      </c>
      <c r="H115" s="231">
        <v>6.7</v>
      </c>
      <c r="I115" s="231">
        <v>0</v>
      </c>
      <c r="J115" s="231">
        <v>0</v>
      </c>
      <c r="K115" s="231">
        <v>24.9</v>
      </c>
      <c r="L115" s="231">
        <v>0</v>
      </c>
      <c r="M115" s="231">
        <v>0</v>
      </c>
      <c r="N115" s="231">
        <v>22</v>
      </c>
      <c r="O115" s="231">
        <v>0</v>
      </c>
      <c r="P115" s="231">
        <v>0</v>
      </c>
      <c r="Q115" s="231">
        <v>0</v>
      </c>
      <c r="R115" s="231">
        <v>0</v>
      </c>
      <c r="S115" s="231">
        <v>0</v>
      </c>
      <c r="T115" s="231">
        <v>0</v>
      </c>
      <c r="U115" s="231">
        <v>0</v>
      </c>
      <c r="V115" s="231">
        <v>0</v>
      </c>
      <c r="W115" s="231">
        <v>0</v>
      </c>
      <c r="X115" s="231">
        <v>0</v>
      </c>
      <c r="Y115" s="231">
        <v>0</v>
      </c>
      <c r="Z115" s="231">
        <v>3.7</v>
      </c>
      <c r="AA115" s="231">
        <v>0</v>
      </c>
      <c r="AB115" s="231">
        <v>0</v>
      </c>
      <c r="AC115" s="231">
        <v>1.75</v>
      </c>
      <c r="AD115" s="231">
        <v>0</v>
      </c>
      <c r="AE115" s="231">
        <v>1</v>
      </c>
      <c r="AF115" s="231">
        <v>0</v>
      </c>
      <c r="AG115" s="231">
        <v>0</v>
      </c>
      <c r="AH115" s="231">
        <v>7</v>
      </c>
      <c r="AI115" s="231">
        <v>0</v>
      </c>
      <c r="AJ115" s="231">
        <v>0</v>
      </c>
      <c r="AK115" s="231">
        <v>0</v>
      </c>
      <c r="AL115" s="231">
        <v>0</v>
      </c>
      <c r="AM115" s="231">
        <v>5</v>
      </c>
      <c r="AN115" s="231">
        <v>3</v>
      </c>
    </row>
    <row r="116" spans="3:40" x14ac:dyDescent="0.3">
      <c r="C116" s="231">
        <v>35</v>
      </c>
      <c r="D116" s="231">
        <v>11</v>
      </c>
      <c r="E116" s="231">
        <v>2</v>
      </c>
      <c r="F116" s="231">
        <v>10457.6</v>
      </c>
      <c r="G116" s="231">
        <v>0</v>
      </c>
      <c r="H116" s="231">
        <v>1016</v>
      </c>
      <c r="I116" s="231">
        <v>0</v>
      </c>
      <c r="J116" s="231">
        <v>0</v>
      </c>
      <c r="K116" s="231">
        <v>3344.8</v>
      </c>
      <c r="L116" s="231">
        <v>0</v>
      </c>
      <c r="M116" s="231">
        <v>0</v>
      </c>
      <c r="N116" s="231">
        <v>2936</v>
      </c>
      <c r="O116" s="231">
        <v>0</v>
      </c>
      <c r="P116" s="231">
        <v>0</v>
      </c>
      <c r="Q116" s="231">
        <v>0</v>
      </c>
      <c r="R116" s="231">
        <v>0</v>
      </c>
      <c r="S116" s="231">
        <v>0</v>
      </c>
      <c r="T116" s="231">
        <v>0</v>
      </c>
      <c r="U116" s="231">
        <v>0</v>
      </c>
      <c r="V116" s="231">
        <v>0</v>
      </c>
      <c r="W116" s="231">
        <v>0</v>
      </c>
      <c r="X116" s="231">
        <v>0</v>
      </c>
      <c r="Y116" s="231">
        <v>0</v>
      </c>
      <c r="Z116" s="231">
        <v>520.79999999999995</v>
      </c>
      <c r="AA116" s="231">
        <v>0</v>
      </c>
      <c r="AB116" s="231">
        <v>0</v>
      </c>
      <c r="AC116" s="231">
        <v>200</v>
      </c>
      <c r="AD116" s="231">
        <v>0</v>
      </c>
      <c r="AE116" s="231">
        <v>152</v>
      </c>
      <c r="AF116" s="231">
        <v>0</v>
      </c>
      <c r="AG116" s="231">
        <v>0</v>
      </c>
      <c r="AH116" s="231">
        <v>1040</v>
      </c>
      <c r="AI116" s="231">
        <v>0</v>
      </c>
      <c r="AJ116" s="231">
        <v>0</v>
      </c>
      <c r="AK116" s="231">
        <v>0</v>
      </c>
      <c r="AL116" s="231">
        <v>0</v>
      </c>
      <c r="AM116" s="231">
        <v>784</v>
      </c>
      <c r="AN116" s="231">
        <v>464</v>
      </c>
    </row>
    <row r="117" spans="3:40" x14ac:dyDescent="0.3">
      <c r="C117" s="231">
        <v>35</v>
      </c>
      <c r="D117" s="231">
        <v>11</v>
      </c>
      <c r="E117" s="231">
        <v>3</v>
      </c>
      <c r="F117" s="231">
        <v>0</v>
      </c>
      <c r="G117" s="231">
        <v>0</v>
      </c>
      <c r="H117" s="231">
        <v>0</v>
      </c>
      <c r="I117" s="231">
        <v>0</v>
      </c>
      <c r="J117" s="231">
        <v>0</v>
      </c>
      <c r="K117" s="231">
        <v>0</v>
      </c>
      <c r="L117" s="231">
        <v>0</v>
      </c>
      <c r="M117" s="231">
        <v>0</v>
      </c>
      <c r="N117" s="231">
        <v>0</v>
      </c>
      <c r="O117" s="231">
        <v>0</v>
      </c>
      <c r="P117" s="231">
        <v>0</v>
      </c>
      <c r="Q117" s="231">
        <v>0</v>
      </c>
      <c r="R117" s="231">
        <v>0</v>
      </c>
      <c r="S117" s="231">
        <v>0</v>
      </c>
      <c r="T117" s="231">
        <v>0</v>
      </c>
      <c r="U117" s="231">
        <v>0</v>
      </c>
      <c r="V117" s="231">
        <v>0</v>
      </c>
      <c r="W117" s="231">
        <v>0</v>
      </c>
      <c r="X117" s="231">
        <v>0</v>
      </c>
      <c r="Y117" s="231">
        <v>0</v>
      </c>
      <c r="Z117" s="231">
        <v>0</v>
      </c>
      <c r="AA117" s="231">
        <v>0</v>
      </c>
      <c r="AB117" s="231">
        <v>0</v>
      </c>
      <c r="AC117" s="231">
        <v>0</v>
      </c>
      <c r="AD117" s="231">
        <v>0</v>
      </c>
      <c r="AE117" s="231">
        <v>0</v>
      </c>
      <c r="AF117" s="231">
        <v>0</v>
      </c>
      <c r="AG117" s="231">
        <v>0</v>
      </c>
      <c r="AH117" s="231">
        <v>0</v>
      </c>
      <c r="AI117" s="231">
        <v>0</v>
      </c>
      <c r="AJ117" s="231">
        <v>0</v>
      </c>
      <c r="AK117" s="231">
        <v>0</v>
      </c>
      <c r="AL117" s="231">
        <v>0</v>
      </c>
      <c r="AM117" s="231">
        <v>0</v>
      </c>
      <c r="AN117" s="231">
        <v>0</v>
      </c>
    </row>
    <row r="118" spans="3:40" x14ac:dyDescent="0.3">
      <c r="C118" s="231">
        <v>35</v>
      </c>
      <c r="D118" s="231">
        <v>11</v>
      </c>
      <c r="E118" s="231">
        <v>4</v>
      </c>
      <c r="F118" s="231">
        <v>453</v>
      </c>
      <c r="G118" s="231">
        <v>0</v>
      </c>
      <c r="H118" s="231">
        <v>46</v>
      </c>
      <c r="I118" s="231">
        <v>0</v>
      </c>
      <c r="J118" s="231">
        <v>0</v>
      </c>
      <c r="K118" s="231">
        <v>42</v>
      </c>
      <c r="L118" s="231">
        <v>0</v>
      </c>
      <c r="M118" s="231">
        <v>0</v>
      </c>
      <c r="N118" s="231">
        <v>365</v>
      </c>
      <c r="O118" s="231">
        <v>0</v>
      </c>
      <c r="P118" s="231">
        <v>0</v>
      </c>
      <c r="Q118" s="231">
        <v>0</v>
      </c>
      <c r="R118" s="231">
        <v>0</v>
      </c>
      <c r="S118" s="231">
        <v>0</v>
      </c>
      <c r="T118" s="231">
        <v>0</v>
      </c>
      <c r="U118" s="231">
        <v>0</v>
      </c>
      <c r="V118" s="231">
        <v>0</v>
      </c>
      <c r="W118" s="231">
        <v>0</v>
      </c>
      <c r="X118" s="231">
        <v>0</v>
      </c>
      <c r="Y118" s="231">
        <v>0</v>
      </c>
      <c r="Z118" s="231">
        <v>0</v>
      </c>
      <c r="AA118" s="231">
        <v>0</v>
      </c>
      <c r="AB118" s="231">
        <v>0</v>
      </c>
      <c r="AC118" s="231">
        <v>0</v>
      </c>
      <c r="AD118" s="231">
        <v>0</v>
      </c>
      <c r="AE118" s="231">
        <v>0</v>
      </c>
      <c r="AF118" s="231">
        <v>0</v>
      </c>
      <c r="AG118" s="231">
        <v>0</v>
      </c>
      <c r="AH118" s="231">
        <v>0</v>
      </c>
      <c r="AI118" s="231">
        <v>0</v>
      </c>
      <c r="AJ118" s="231">
        <v>0</v>
      </c>
      <c r="AK118" s="231">
        <v>0</v>
      </c>
      <c r="AL118" s="231">
        <v>0</v>
      </c>
      <c r="AM118" s="231">
        <v>0</v>
      </c>
      <c r="AN118" s="231">
        <v>0</v>
      </c>
    </row>
    <row r="119" spans="3:40" x14ac:dyDescent="0.3">
      <c r="C119" s="231">
        <v>35</v>
      </c>
      <c r="D119" s="231">
        <v>11</v>
      </c>
      <c r="E119" s="231">
        <v>5</v>
      </c>
      <c r="F119" s="231">
        <v>20</v>
      </c>
      <c r="G119" s="231">
        <v>20</v>
      </c>
      <c r="H119" s="231">
        <v>0</v>
      </c>
      <c r="I119" s="231">
        <v>0</v>
      </c>
      <c r="J119" s="231">
        <v>0</v>
      </c>
      <c r="K119" s="231">
        <v>0</v>
      </c>
      <c r="L119" s="231">
        <v>0</v>
      </c>
      <c r="M119" s="231">
        <v>0</v>
      </c>
      <c r="N119" s="231">
        <v>0</v>
      </c>
      <c r="O119" s="231">
        <v>0</v>
      </c>
      <c r="P119" s="231">
        <v>0</v>
      </c>
      <c r="Q119" s="231">
        <v>0</v>
      </c>
      <c r="R119" s="231">
        <v>0</v>
      </c>
      <c r="S119" s="231">
        <v>0</v>
      </c>
      <c r="T119" s="231">
        <v>0</v>
      </c>
      <c r="U119" s="231">
        <v>0</v>
      </c>
      <c r="V119" s="231">
        <v>0</v>
      </c>
      <c r="W119" s="231">
        <v>0</v>
      </c>
      <c r="X119" s="231">
        <v>0</v>
      </c>
      <c r="Y119" s="231">
        <v>0</v>
      </c>
      <c r="Z119" s="231">
        <v>0</v>
      </c>
      <c r="AA119" s="231">
        <v>0</v>
      </c>
      <c r="AB119" s="231">
        <v>0</v>
      </c>
      <c r="AC119" s="231">
        <v>0</v>
      </c>
      <c r="AD119" s="231">
        <v>0</v>
      </c>
      <c r="AE119" s="231">
        <v>0</v>
      </c>
      <c r="AF119" s="231">
        <v>0</v>
      </c>
      <c r="AG119" s="231">
        <v>0</v>
      </c>
      <c r="AH119" s="231">
        <v>0</v>
      </c>
      <c r="AI119" s="231">
        <v>0</v>
      </c>
      <c r="AJ119" s="231">
        <v>0</v>
      </c>
      <c r="AK119" s="231">
        <v>0</v>
      </c>
      <c r="AL119" s="231">
        <v>0</v>
      </c>
      <c r="AM119" s="231">
        <v>0</v>
      </c>
      <c r="AN119" s="231">
        <v>0</v>
      </c>
    </row>
    <row r="120" spans="3:40" x14ac:dyDescent="0.3">
      <c r="C120" s="231">
        <v>35</v>
      </c>
      <c r="D120" s="231">
        <v>11</v>
      </c>
      <c r="E120" s="231">
        <v>6</v>
      </c>
      <c r="F120" s="231">
        <v>2854389</v>
      </c>
      <c r="G120" s="231">
        <v>700</v>
      </c>
      <c r="H120" s="231">
        <v>619426</v>
      </c>
      <c r="I120" s="231">
        <v>0</v>
      </c>
      <c r="J120" s="231">
        <v>0</v>
      </c>
      <c r="K120" s="231">
        <v>876433</v>
      </c>
      <c r="L120" s="231">
        <v>0</v>
      </c>
      <c r="M120" s="231">
        <v>0</v>
      </c>
      <c r="N120" s="231">
        <v>798226</v>
      </c>
      <c r="O120" s="231">
        <v>0</v>
      </c>
      <c r="P120" s="231">
        <v>0</v>
      </c>
      <c r="Q120" s="231">
        <v>0</v>
      </c>
      <c r="R120" s="231">
        <v>0</v>
      </c>
      <c r="S120" s="231">
        <v>0</v>
      </c>
      <c r="T120" s="231">
        <v>0</v>
      </c>
      <c r="U120" s="231">
        <v>0</v>
      </c>
      <c r="V120" s="231">
        <v>0</v>
      </c>
      <c r="W120" s="231">
        <v>0</v>
      </c>
      <c r="X120" s="231">
        <v>0</v>
      </c>
      <c r="Y120" s="231">
        <v>0</v>
      </c>
      <c r="Z120" s="231">
        <v>149149</v>
      </c>
      <c r="AA120" s="231">
        <v>0</v>
      </c>
      <c r="AB120" s="231">
        <v>0</v>
      </c>
      <c r="AC120" s="231">
        <v>19929</v>
      </c>
      <c r="AD120" s="231">
        <v>0</v>
      </c>
      <c r="AE120" s="231">
        <v>29498</v>
      </c>
      <c r="AF120" s="231">
        <v>0</v>
      </c>
      <c r="AG120" s="231">
        <v>0</v>
      </c>
      <c r="AH120" s="231">
        <v>159500</v>
      </c>
      <c r="AI120" s="231">
        <v>0</v>
      </c>
      <c r="AJ120" s="231">
        <v>0</v>
      </c>
      <c r="AK120" s="231">
        <v>0</v>
      </c>
      <c r="AL120" s="231">
        <v>0</v>
      </c>
      <c r="AM120" s="231">
        <v>147693</v>
      </c>
      <c r="AN120" s="231">
        <v>53835</v>
      </c>
    </row>
    <row r="121" spans="3:40" x14ac:dyDescent="0.3">
      <c r="C121" s="231">
        <v>35</v>
      </c>
      <c r="D121" s="231">
        <v>11</v>
      </c>
      <c r="E121" s="231">
        <v>7</v>
      </c>
      <c r="F121" s="231">
        <v>0</v>
      </c>
      <c r="G121" s="231">
        <v>0</v>
      </c>
      <c r="H121" s="231">
        <v>0</v>
      </c>
      <c r="I121" s="231">
        <v>0</v>
      </c>
      <c r="J121" s="231">
        <v>0</v>
      </c>
      <c r="K121" s="231">
        <v>0</v>
      </c>
      <c r="L121" s="231">
        <v>0</v>
      </c>
      <c r="M121" s="231">
        <v>0</v>
      </c>
      <c r="N121" s="231">
        <v>0</v>
      </c>
      <c r="O121" s="231">
        <v>0</v>
      </c>
      <c r="P121" s="231">
        <v>0</v>
      </c>
      <c r="Q121" s="231">
        <v>0</v>
      </c>
      <c r="R121" s="231">
        <v>0</v>
      </c>
      <c r="S121" s="231">
        <v>0</v>
      </c>
      <c r="T121" s="231">
        <v>0</v>
      </c>
      <c r="U121" s="231">
        <v>0</v>
      </c>
      <c r="V121" s="231">
        <v>0</v>
      </c>
      <c r="W121" s="231">
        <v>0</v>
      </c>
      <c r="X121" s="231">
        <v>0</v>
      </c>
      <c r="Y121" s="231">
        <v>0</v>
      </c>
      <c r="Z121" s="231">
        <v>0</v>
      </c>
      <c r="AA121" s="231">
        <v>0</v>
      </c>
      <c r="AB121" s="231">
        <v>0</v>
      </c>
      <c r="AC121" s="231">
        <v>0</v>
      </c>
      <c r="AD121" s="231">
        <v>0</v>
      </c>
      <c r="AE121" s="231">
        <v>0</v>
      </c>
      <c r="AF121" s="231">
        <v>0</v>
      </c>
      <c r="AG121" s="231">
        <v>0</v>
      </c>
      <c r="AH121" s="231">
        <v>0</v>
      </c>
      <c r="AI121" s="231">
        <v>0</v>
      </c>
      <c r="AJ121" s="231">
        <v>0</v>
      </c>
      <c r="AK121" s="231">
        <v>0</v>
      </c>
      <c r="AL121" s="231">
        <v>0</v>
      </c>
      <c r="AM121" s="231">
        <v>0</v>
      </c>
      <c r="AN121" s="231">
        <v>0</v>
      </c>
    </row>
    <row r="122" spans="3:40" x14ac:dyDescent="0.3">
      <c r="C122" s="231">
        <v>35</v>
      </c>
      <c r="D122" s="231">
        <v>11</v>
      </c>
      <c r="E122" s="231">
        <v>8</v>
      </c>
      <c r="F122" s="231">
        <v>0</v>
      </c>
      <c r="G122" s="231">
        <v>0</v>
      </c>
      <c r="H122" s="231">
        <v>0</v>
      </c>
      <c r="I122" s="231">
        <v>0</v>
      </c>
      <c r="J122" s="231">
        <v>0</v>
      </c>
      <c r="K122" s="231">
        <v>0</v>
      </c>
      <c r="L122" s="231">
        <v>0</v>
      </c>
      <c r="M122" s="231">
        <v>0</v>
      </c>
      <c r="N122" s="231">
        <v>0</v>
      </c>
      <c r="O122" s="231">
        <v>0</v>
      </c>
      <c r="P122" s="231">
        <v>0</v>
      </c>
      <c r="Q122" s="231">
        <v>0</v>
      </c>
      <c r="R122" s="231">
        <v>0</v>
      </c>
      <c r="S122" s="231">
        <v>0</v>
      </c>
      <c r="T122" s="231">
        <v>0</v>
      </c>
      <c r="U122" s="231">
        <v>0</v>
      </c>
      <c r="V122" s="231">
        <v>0</v>
      </c>
      <c r="W122" s="231">
        <v>0</v>
      </c>
      <c r="X122" s="231">
        <v>0</v>
      </c>
      <c r="Y122" s="231">
        <v>0</v>
      </c>
      <c r="Z122" s="231">
        <v>0</v>
      </c>
      <c r="AA122" s="231">
        <v>0</v>
      </c>
      <c r="AB122" s="231">
        <v>0</v>
      </c>
      <c r="AC122" s="231">
        <v>0</v>
      </c>
      <c r="AD122" s="231">
        <v>0</v>
      </c>
      <c r="AE122" s="231">
        <v>0</v>
      </c>
      <c r="AF122" s="231">
        <v>0</v>
      </c>
      <c r="AG122" s="231">
        <v>0</v>
      </c>
      <c r="AH122" s="231">
        <v>0</v>
      </c>
      <c r="AI122" s="231">
        <v>0</v>
      </c>
      <c r="AJ122" s="231">
        <v>0</v>
      </c>
      <c r="AK122" s="231">
        <v>0</v>
      </c>
      <c r="AL122" s="231">
        <v>0</v>
      </c>
      <c r="AM122" s="231">
        <v>0</v>
      </c>
      <c r="AN122" s="231">
        <v>0</v>
      </c>
    </row>
    <row r="123" spans="3:40" x14ac:dyDescent="0.3">
      <c r="C123" s="231">
        <v>35</v>
      </c>
      <c r="D123" s="231">
        <v>11</v>
      </c>
      <c r="E123" s="231">
        <v>9</v>
      </c>
      <c r="F123" s="231">
        <v>972070</v>
      </c>
      <c r="G123" s="231">
        <v>0</v>
      </c>
      <c r="H123" s="231">
        <v>243329</v>
      </c>
      <c r="I123" s="231">
        <v>0</v>
      </c>
      <c r="J123" s="231">
        <v>0</v>
      </c>
      <c r="K123" s="231">
        <v>309840</v>
      </c>
      <c r="L123" s="231">
        <v>0</v>
      </c>
      <c r="M123" s="231">
        <v>0</v>
      </c>
      <c r="N123" s="231">
        <v>239310</v>
      </c>
      <c r="O123" s="231">
        <v>0</v>
      </c>
      <c r="P123" s="231">
        <v>0</v>
      </c>
      <c r="Q123" s="231">
        <v>0</v>
      </c>
      <c r="R123" s="231">
        <v>0</v>
      </c>
      <c r="S123" s="231">
        <v>0</v>
      </c>
      <c r="T123" s="231">
        <v>0</v>
      </c>
      <c r="U123" s="231">
        <v>0</v>
      </c>
      <c r="V123" s="231">
        <v>0</v>
      </c>
      <c r="W123" s="231">
        <v>0</v>
      </c>
      <c r="X123" s="231">
        <v>0</v>
      </c>
      <c r="Y123" s="231">
        <v>0</v>
      </c>
      <c r="Z123" s="231">
        <v>48681</v>
      </c>
      <c r="AA123" s="231">
        <v>0</v>
      </c>
      <c r="AB123" s="231">
        <v>0</v>
      </c>
      <c r="AC123" s="231">
        <v>2749</v>
      </c>
      <c r="AD123" s="231">
        <v>0</v>
      </c>
      <c r="AE123" s="231">
        <v>10128</v>
      </c>
      <c r="AF123" s="231">
        <v>0</v>
      </c>
      <c r="AG123" s="231">
        <v>0</v>
      </c>
      <c r="AH123" s="231">
        <v>53767</v>
      </c>
      <c r="AI123" s="231">
        <v>0</v>
      </c>
      <c r="AJ123" s="231">
        <v>0</v>
      </c>
      <c r="AK123" s="231">
        <v>0</v>
      </c>
      <c r="AL123" s="231">
        <v>0</v>
      </c>
      <c r="AM123" s="231">
        <v>46134</v>
      </c>
      <c r="AN123" s="231">
        <v>18132</v>
      </c>
    </row>
    <row r="124" spans="3:40" x14ac:dyDescent="0.3">
      <c r="C124" s="231">
        <v>35</v>
      </c>
      <c r="D124" s="231">
        <v>11</v>
      </c>
      <c r="E124" s="231">
        <v>10</v>
      </c>
      <c r="F124" s="231">
        <v>0</v>
      </c>
      <c r="G124" s="231">
        <v>0</v>
      </c>
      <c r="H124" s="231">
        <v>0</v>
      </c>
      <c r="I124" s="231">
        <v>0</v>
      </c>
      <c r="J124" s="231">
        <v>0</v>
      </c>
      <c r="K124" s="231">
        <v>0</v>
      </c>
      <c r="L124" s="231">
        <v>0</v>
      </c>
      <c r="M124" s="231">
        <v>0</v>
      </c>
      <c r="N124" s="231">
        <v>0</v>
      </c>
      <c r="O124" s="231">
        <v>0</v>
      </c>
      <c r="P124" s="231">
        <v>0</v>
      </c>
      <c r="Q124" s="231">
        <v>0</v>
      </c>
      <c r="R124" s="231">
        <v>0</v>
      </c>
      <c r="S124" s="231">
        <v>0</v>
      </c>
      <c r="T124" s="231">
        <v>0</v>
      </c>
      <c r="U124" s="231">
        <v>0</v>
      </c>
      <c r="V124" s="231">
        <v>0</v>
      </c>
      <c r="W124" s="231">
        <v>0</v>
      </c>
      <c r="X124" s="231">
        <v>0</v>
      </c>
      <c r="Y124" s="231">
        <v>0</v>
      </c>
      <c r="Z124" s="231">
        <v>0</v>
      </c>
      <c r="AA124" s="231">
        <v>0</v>
      </c>
      <c r="AB124" s="231">
        <v>0</v>
      </c>
      <c r="AC124" s="231">
        <v>0</v>
      </c>
      <c r="AD124" s="231">
        <v>0</v>
      </c>
      <c r="AE124" s="231">
        <v>0</v>
      </c>
      <c r="AF124" s="231">
        <v>0</v>
      </c>
      <c r="AG124" s="231">
        <v>0</v>
      </c>
      <c r="AH124" s="231">
        <v>0</v>
      </c>
      <c r="AI124" s="231">
        <v>0</v>
      </c>
      <c r="AJ124" s="231">
        <v>0</v>
      </c>
      <c r="AK124" s="231">
        <v>0</v>
      </c>
      <c r="AL124" s="231">
        <v>0</v>
      </c>
      <c r="AM124" s="231">
        <v>0</v>
      </c>
      <c r="AN124" s="231">
        <v>0</v>
      </c>
    </row>
    <row r="125" spans="3:40" x14ac:dyDescent="0.3">
      <c r="C125" s="231">
        <v>35</v>
      </c>
      <c r="D125" s="231">
        <v>11</v>
      </c>
      <c r="E125" s="231">
        <v>11</v>
      </c>
      <c r="F125" s="231">
        <v>5845</v>
      </c>
      <c r="G125" s="231">
        <v>0</v>
      </c>
      <c r="H125" s="231">
        <v>2095</v>
      </c>
      <c r="I125" s="231">
        <v>0</v>
      </c>
      <c r="J125" s="231">
        <v>0</v>
      </c>
      <c r="K125" s="231">
        <v>3750</v>
      </c>
      <c r="L125" s="231">
        <v>0</v>
      </c>
      <c r="M125" s="231">
        <v>0</v>
      </c>
      <c r="N125" s="231">
        <v>0</v>
      </c>
      <c r="O125" s="231">
        <v>0</v>
      </c>
      <c r="P125" s="231">
        <v>0</v>
      </c>
      <c r="Q125" s="231">
        <v>0</v>
      </c>
      <c r="R125" s="231">
        <v>0</v>
      </c>
      <c r="S125" s="231">
        <v>0</v>
      </c>
      <c r="T125" s="231">
        <v>0</v>
      </c>
      <c r="U125" s="231">
        <v>0</v>
      </c>
      <c r="V125" s="231">
        <v>0</v>
      </c>
      <c r="W125" s="231">
        <v>0</v>
      </c>
      <c r="X125" s="231">
        <v>0</v>
      </c>
      <c r="Y125" s="231">
        <v>0</v>
      </c>
      <c r="Z125" s="231">
        <v>0</v>
      </c>
      <c r="AA125" s="231">
        <v>0</v>
      </c>
      <c r="AB125" s="231">
        <v>0</v>
      </c>
      <c r="AC125" s="231">
        <v>0</v>
      </c>
      <c r="AD125" s="231">
        <v>0</v>
      </c>
      <c r="AE125" s="231">
        <v>0</v>
      </c>
      <c r="AF125" s="231">
        <v>0</v>
      </c>
      <c r="AG125" s="231">
        <v>0</v>
      </c>
      <c r="AH125" s="231">
        <v>0</v>
      </c>
      <c r="AI125" s="231">
        <v>0</v>
      </c>
      <c r="AJ125" s="231">
        <v>0</v>
      </c>
      <c r="AK125" s="231">
        <v>0</v>
      </c>
      <c r="AL125" s="231">
        <v>0</v>
      </c>
      <c r="AM125" s="231">
        <v>0</v>
      </c>
      <c r="AN125" s="231">
        <v>0</v>
      </c>
    </row>
    <row r="126" spans="3:40" x14ac:dyDescent="0.3">
      <c r="C126" s="231">
        <v>35</v>
      </c>
      <c r="D126" s="231">
        <v>12</v>
      </c>
      <c r="E126" s="231">
        <v>1</v>
      </c>
      <c r="F126" s="231">
        <v>75.05</v>
      </c>
      <c r="G126" s="231">
        <v>0</v>
      </c>
      <c r="H126" s="231">
        <v>6.7</v>
      </c>
      <c r="I126" s="231">
        <v>0</v>
      </c>
      <c r="J126" s="231">
        <v>0</v>
      </c>
      <c r="K126" s="231">
        <v>24.9</v>
      </c>
      <c r="L126" s="231">
        <v>0</v>
      </c>
      <c r="M126" s="231">
        <v>0</v>
      </c>
      <c r="N126" s="231">
        <v>22</v>
      </c>
      <c r="O126" s="231">
        <v>0</v>
      </c>
      <c r="P126" s="231">
        <v>0</v>
      </c>
      <c r="Q126" s="231">
        <v>0</v>
      </c>
      <c r="R126" s="231">
        <v>0</v>
      </c>
      <c r="S126" s="231">
        <v>0</v>
      </c>
      <c r="T126" s="231">
        <v>0</v>
      </c>
      <c r="U126" s="231">
        <v>0</v>
      </c>
      <c r="V126" s="231">
        <v>0</v>
      </c>
      <c r="W126" s="231">
        <v>0</v>
      </c>
      <c r="X126" s="231">
        <v>0</v>
      </c>
      <c r="Y126" s="231">
        <v>0</v>
      </c>
      <c r="Z126" s="231">
        <v>3.7</v>
      </c>
      <c r="AA126" s="231">
        <v>0</v>
      </c>
      <c r="AB126" s="231">
        <v>0</v>
      </c>
      <c r="AC126" s="231">
        <v>1.75</v>
      </c>
      <c r="AD126" s="231">
        <v>0</v>
      </c>
      <c r="AE126" s="231">
        <v>1</v>
      </c>
      <c r="AF126" s="231">
        <v>0</v>
      </c>
      <c r="AG126" s="231">
        <v>0</v>
      </c>
      <c r="AH126" s="231">
        <v>7</v>
      </c>
      <c r="AI126" s="231">
        <v>0</v>
      </c>
      <c r="AJ126" s="231">
        <v>0</v>
      </c>
      <c r="AK126" s="231">
        <v>0</v>
      </c>
      <c r="AL126" s="231">
        <v>0</v>
      </c>
      <c r="AM126" s="231">
        <v>5</v>
      </c>
      <c r="AN126" s="231">
        <v>3</v>
      </c>
    </row>
    <row r="127" spans="3:40" x14ac:dyDescent="0.3">
      <c r="C127" s="231">
        <v>35</v>
      </c>
      <c r="D127" s="231">
        <v>12</v>
      </c>
      <c r="E127" s="231">
        <v>2</v>
      </c>
      <c r="F127" s="231">
        <v>10852</v>
      </c>
      <c r="G127" s="231">
        <v>0</v>
      </c>
      <c r="H127" s="231">
        <v>1028</v>
      </c>
      <c r="I127" s="231">
        <v>0</v>
      </c>
      <c r="J127" s="231">
        <v>0</v>
      </c>
      <c r="K127" s="231">
        <v>3352.4</v>
      </c>
      <c r="L127" s="231">
        <v>0</v>
      </c>
      <c r="M127" s="231">
        <v>0</v>
      </c>
      <c r="N127" s="231">
        <v>3140</v>
      </c>
      <c r="O127" s="231">
        <v>0</v>
      </c>
      <c r="P127" s="231">
        <v>0</v>
      </c>
      <c r="Q127" s="231">
        <v>0</v>
      </c>
      <c r="R127" s="231">
        <v>0</v>
      </c>
      <c r="S127" s="231">
        <v>0</v>
      </c>
      <c r="T127" s="231">
        <v>0</v>
      </c>
      <c r="U127" s="231">
        <v>0</v>
      </c>
      <c r="V127" s="231">
        <v>0</v>
      </c>
      <c r="W127" s="231">
        <v>0</v>
      </c>
      <c r="X127" s="231">
        <v>0</v>
      </c>
      <c r="Y127" s="231">
        <v>0</v>
      </c>
      <c r="Z127" s="231">
        <v>577.6</v>
      </c>
      <c r="AA127" s="231">
        <v>0</v>
      </c>
      <c r="AB127" s="231">
        <v>0</v>
      </c>
      <c r="AC127" s="231">
        <v>322</v>
      </c>
      <c r="AD127" s="231">
        <v>0</v>
      </c>
      <c r="AE127" s="231">
        <v>128</v>
      </c>
      <c r="AF127" s="231">
        <v>0</v>
      </c>
      <c r="AG127" s="231">
        <v>0</v>
      </c>
      <c r="AH127" s="231">
        <v>1016</v>
      </c>
      <c r="AI127" s="231">
        <v>0</v>
      </c>
      <c r="AJ127" s="231">
        <v>0</v>
      </c>
      <c r="AK127" s="231">
        <v>0</v>
      </c>
      <c r="AL127" s="231">
        <v>0</v>
      </c>
      <c r="AM127" s="231">
        <v>824</v>
      </c>
      <c r="AN127" s="231">
        <v>464</v>
      </c>
    </row>
    <row r="128" spans="3:40" x14ac:dyDescent="0.3">
      <c r="C128" s="231">
        <v>35</v>
      </c>
      <c r="D128" s="231">
        <v>12</v>
      </c>
      <c r="E128" s="231">
        <v>3</v>
      </c>
      <c r="F128" s="231">
        <v>0</v>
      </c>
      <c r="G128" s="231">
        <v>0</v>
      </c>
      <c r="H128" s="231">
        <v>0</v>
      </c>
      <c r="I128" s="231">
        <v>0</v>
      </c>
      <c r="J128" s="231">
        <v>0</v>
      </c>
      <c r="K128" s="231">
        <v>0</v>
      </c>
      <c r="L128" s="231">
        <v>0</v>
      </c>
      <c r="M128" s="231">
        <v>0</v>
      </c>
      <c r="N128" s="231">
        <v>0</v>
      </c>
      <c r="O128" s="231">
        <v>0</v>
      </c>
      <c r="P128" s="231">
        <v>0</v>
      </c>
      <c r="Q128" s="231">
        <v>0</v>
      </c>
      <c r="R128" s="231">
        <v>0</v>
      </c>
      <c r="S128" s="231">
        <v>0</v>
      </c>
      <c r="T128" s="231">
        <v>0</v>
      </c>
      <c r="U128" s="231">
        <v>0</v>
      </c>
      <c r="V128" s="231">
        <v>0</v>
      </c>
      <c r="W128" s="231">
        <v>0</v>
      </c>
      <c r="X128" s="231">
        <v>0</v>
      </c>
      <c r="Y128" s="231">
        <v>0</v>
      </c>
      <c r="Z128" s="231">
        <v>0</v>
      </c>
      <c r="AA128" s="231">
        <v>0</v>
      </c>
      <c r="AB128" s="231">
        <v>0</v>
      </c>
      <c r="AC128" s="231">
        <v>0</v>
      </c>
      <c r="AD128" s="231">
        <v>0</v>
      </c>
      <c r="AE128" s="231">
        <v>0</v>
      </c>
      <c r="AF128" s="231">
        <v>0</v>
      </c>
      <c r="AG128" s="231">
        <v>0</v>
      </c>
      <c r="AH128" s="231">
        <v>0</v>
      </c>
      <c r="AI128" s="231">
        <v>0</v>
      </c>
      <c r="AJ128" s="231">
        <v>0</v>
      </c>
      <c r="AK128" s="231">
        <v>0</v>
      </c>
      <c r="AL128" s="231">
        <v>0</v>
      </c>
      <c r="AM128" s="231">
        <v>0</v>
      </c>
      <c r="AN128" s="231">
        <v>0</v>
      </c>
    </row>
    <row r="129" spans="3:40" x14ac:dyDescent="0.3">
      <c r="C129" s="231">
        <v>35</v>
      </c>
      <c r="D129" s="231">
        <v>12</v>
      </c>
      <c r="E129" s="231">
        <v>4</v>
      </c>
      <c r="F129" s="231">
        <v>541</v>
      </c>
      <c r="G129" s="231">
        <v>0</v>
      </c>
      <c r="H129" s="231">
        <v>40</v>
      </c>
      <c r="I129" s="231">
        <v>0</v>
      </c>
      <c r="J129" s="231">
        <v>0</v>
      </c>
      <c r="K129" s="231">
        <v>33</v>
      </c>
      <c r="L129" s="231">
        <v>0</v>
      </c>
      <c r="M129" s="231">
        <v>0</v>
      </c>
      <c r="N129" s="231">
        <v>468</v>
      </c>
      <c r="O129" s="231">
        <v>0</v>
      </c>
      <c r="P129" s="231">
        <v>0</v>
      </c>
      <c r="Q129" s="231">
        <v>0</v>
      </c>
      <c r="R129" s="231">
        <v>0</v>
      </c>
      <c r="S129" s="231">
        <v>0</v>
      </c>
      <c r="T129" s="231">
        <v>0</v>
      </c>
      <c r="U129" s="231">
        <v>0</v>
      </c>
      <c r="V129" s="231">
        <v>0</v>
      </c>
      <c r="W129" s="231">
        <v>0</v>
      </c>
      <c r="X129" s="231">
        <v>0</v>
      </c>
      <c r="Y129" s="231">
        <v>0</v>
      </c>
      <c r="Z129" s="231">
        <v>0</v>
      </c>
      <c r="AA129" s="231">
        <v>0</v>
      </c>
      <c r="AB129" s="231">
        <v>0</v>
      </c>
      <c r="AC129" s="231">
        <v>0</v>
      </c>
      <c r="AD129" s="231">
        <v>0</v>
      </c>
      <c r="AE129" s="231">
        <v>0</v>
      </c>
      <c r="AF129" s="231">
        <v>0</v>
      </c>
      <c r="AG129" s="231">
        <v>0</v>
      </c>
      <c r="AH129" s="231">
        <v>0</v>
      </c>
      <c r="AI129" s="231">
        <v>0</v>
      </c>
      <c r="AJ129" s="231">
        <v>0</v>
      </c>
      <c r="AK129" s="231">
        <v>0</v>
      </c>
      <c r="AL129" s="231">
        <v>0</v>
      </c>
      <c r="AM129" s="231">
        <v>0</v>
      </c>
      <c r="AN129" s="231">
        <v>0</v>
      </c>
    </row>
    <row r="130" spans="3:40" x14ac:dyDescent="0.3">
      <c r="C130" s="231">
        <v>35</v>
      </c>
      <c r="D130" s="231">
        <v>12</v>
      </c>
      <c r="E130" s="231">
        <v>5</v>
      </c>
      <c r="F130" s="231">
        <v>33.5</v>
      </c>
      <c r="G130" s="231">
        <v>33.5</v>
      </c>
      <c r="H130" s="231">
        <v>0</v>
      </c>
      <c r="I130" s="231">
        <v>0</v>
      </c>
      <c r="J130" s="231">
        <v>0</v>
      </c>
      <c r="K130" s="231">
        <v>0</v>
      </c>
      <c r="L130" s="231">
        <v>0</v>
      </c>
      <c r="M130" s="231">
        <v>0</v>
      </c>
      <c r="N130" s="231">
        <v>0</v>
      </c>
      <c r="O130" s="231">
        <v>0</v>
      </c>
      <c r="P130" s="231">
        <v>0</v>
      </c>
      <c r="Q130" s="231">
        <v>0</v>
      </c>
      <c r="R130" s="231">
        <v>0</v>
      </c>
      <c r="S130" s="231">
        <v>0</v>
      </c>
      <c r="T130" s="231">
        <v>0</v>
      </c>
      <c r="U130" s="231">
        <v>0</v>
      </c>
      <c r="V130" s="231">
        <v>0</v>
      </c>
      <c r="W130" s="231">
        <v>0</v>
      </c>
      <c r="X130" s="231">
        <v>0</v>
      </c>
      <c r="Y130" s="231">
        <v>0</v>
      </c>
      <c r="Z130" s="231">
        <v>0</v>
      </c>
      <c r="AA130" s="231">
        <v>0</v>
      </c>
      <c r="AB130" s="231">
        <v>0</v>
      </c>
      <c r="AC130" s="231">
        <v>0</v>
      </c>
      <c r="AD130" s="231">
        <v>0</v>
      </c>
      <c r="AE130" s="231">
        <v>0</v>
      </c>
      <c r="AF130" s="231">
        <v>0</v>
      </c>
      <c r="AG130" s="231">
        <v>0</v>
      </c>
      <c r="AH130" s="231">
        <v>0</v>
      </c>
      <c r="AI130" s="231">
        <v>0</v>
      </c>
      <c r="AJ130" s="231">
        <v>0</v>
      </c>
      <c r="AK130" s="231">
        <v>0</v>
      </c>
      <c r="AL130" s="231">
        <v>0</v>
      </c>
      <c r="AM130" s="231">
        <v>0</v>
      </c>
      <c r="AN130" s="231">
        <v>0</v>
      </c>
    </row>
    <row r="131" spans="3:40" x14ac:dyDescent="0.3">
      <c r="C131" s="231">
        <v>35</v>
      </c>
      <c r="D131" s="231">
        <v>12</v>
      </c>
      <c r="E131" s="231">
        <v>6</v>
      </c>
      <c r="F131" s="231">
        <v>1994625</v>
      </c>
      <c r="G131" s="231">
        <v>2000</v>
      </c>
      <c r="H131" s="231">
        <v>389435</v>
      </c>
      <c r="I131" s="231">
        <v>0</v>
      </c>
      <c r="J131" s="231">
        <v>0</v>
      </c>
      <c r="K131" s="231">
        <v>598729</v>
      </c>
      <c r="L131" s="231">
        <v>0</v>
      </c>
      <c r="M131" s="231">
        <v>0</v>
      </c>
      <c r="N131" s="231">
        <v>605160</v>
      </c>
      <c r="O131" s="231">
        <v>0</v>
      </c>
      <c r="P131" s="231">
        <v>0</v>
      </c>
      <c r="Q131" s="231">
        <v>0</v>
      </c>
      <c r="R131" s="231">
        <v>0</v>
      </c>
      <c r="S131" s="231">
        <v>0</v>
      </c>
      <c r="T131" s="231">
        <v>0</v>
      </c>
      <c r="U131" s="231">
        <v>0</v>
      </c>
      <c r="V131" s="231">
        <v>0</v>
      </c>
      <c r="W131" s="231">
        <v>0</v>
      </c>
      <c r="X131" s="231">
        <v>0</v>
      </c>
      <c r="Y131" s="231">
        <v>0</v>
      </c>
      <c r="Z131" s="231">
        <v>101287</v>
      </c>
      <c r="AA131" s="231">
        <v>0</v>
      </c>
      <c r="AB131" s="231">
        <v>0</v>
      </c>
      <c r="AC131" s="231">
        <v>25715</v>
      </c>
      <c r="AD131" s="231">
        <v>0</v>
      </c>
      <c r="AE131" s="231">
        <v>20666</v>
      </c>
      <c r="AF131" s="231">
        <v>0</v>
      </c>
      <c r="AG131" s="231">
        <v>0</v>
      </c>
      <c r="AH131" s="231">
        <v>112442</v>
      </c>
      <c r="AI131" s="231">
        <v>0</v>
      </c>
      <c r="AJ131" s="231">
        <v>0</v>
      </c>
      <c r="AK131" s="231">
        <v>0</v>
      </c>
      <c r="AL131" s="231">
        <v>0</v>
      </c>
      <c r="AM131" s="231">
        <v>102772</v>
      </c>
      <c r="AN131" s="231">
        <v>36419</v>
      </c>
    </row>
    <row r="132" spans="3:40" x14ac:dyDescent="0.3">
      <c r="C132" s="231">
        <v>35</v>
      </c>
      <c r="D132" s="231">
        <v>12</v>
      </c>
      <c r="E132" s="231">
        <v>7</v>
      </c>
      <c r="F132" s="231">
        <v>0</v>
      </c>
      <c r="G132" s="231">
        <v>0</v>
      </c>
      <c r="H132" s="231">
        <v>0</v>
      </c>
      <c r="I132" s="231">
        <v>0</v>
      </c>
      <c r="J132" s="231">
        <v>0</v>
      </c>
      <c r="K132" s="231">
        <v>0</v>
      </c>
      <c r="L132" s="231">
        <v>0</v>
      </c>
      <c r="M132" s="231">
        <v>0</v>
      </c>
      <c r="N132" s="231">
        <v>0</v>
      </c>
      <c r="O132" s="231">
        <v>0</v>
      </c>
      <c r="P132" s="231">
        <v>0</v>
      </c>
      <c r="Q132" s="231">
        <v>0</v>
      </c>
      <c r="R132" s="231">
        <v>0</v>
      </c>
      <c r="S132" s="231">
        <v>0</v>
      </c>
      <c r="T132" s="231">
        <v>0</v>
      </c>
      <c r="U132" s="231">
        <v>0</v>
      </c>
      <c r="V132" s="231">
        <v>0</v>
      </c>
      <c r="W132" s="231">
        <v>0</v>
      </c>
      <c r="X132" s="231">
        <v>0</v>
      </c>
      <c r="Y132" s="231">
        <v>0</v>
      </c>
      <c r="Z132" s="231">
        <v>0</v>
      </c>
      <c r="AA132" s="231">
        <v>0</v>
      </c>
      <c r="AB132" s="231">
        <v>0</v>
      </c>
      <c r="AC132" s="231">
        <v>0</v>
      </c>
      <c r="AD132" s="231">
        <v>0</v>
      </c>
      <c r="AE132" s="231">
        <v>0</v>
      </c>
      <c r="AF132" s="231">
        <v>0</v>
      </c>
      <c r="AG132" s="231">
        <v>0</v>
      </c>
      <c r="AH132" s="231">
        <v>0</v>
      </c>
      <c r="AI132" s="231">
        <v>0</v>
      </c>
      <c r="AJ132" s="231">
        <v>0</v>
      </c>
      <c r="AK132" s="231">
        <v>0</v>
      </c>
      <c r="AL132" s="231">
        <v>0</v>
      </c>
      <c r="AM132" s="231">
        <v>0</v>
      </c>
      <c r="AN132" s="231">
        <v>0</v>
      </c>
    </row>
    <row r="133" spans="3:40" x14ac:dyDescent="0.3">
      <c r="C133" s="231">
        <v>35</v>
      </c>
      <c r="D133" s="231">
        <v>12</v>
      </c>
      <c r="E133" s="231">
        <v>8</v>
      </c>
      <c r="F133" s="231">
        <v>0</v>
      </c>
      <c r="G133" s="231">
        <v>0</v>
      </c>
      <c r="H133" s="231">
        <v>0</v>
      </c>
      <c r="I133" s="231">
        <v>0</v>
      </c>
      <c r="J133" s="231">
        <v>0</v>
      </c>
      <c r="K133" s="231">
        <v>0</v>
      </c>
      <c r="L133" s="231">
        <v>0</v>
      </c>
      <c r="M133" s="231">
        <v>0</v>
      </c>
      <c r="N133" s="231">
        <v>0</v>
      </c>
      <c r="O133" s="231">
        <v>0</v>
      </c>
      <c r="P133" s="231">
        <v>0</v>
      </c>
      <c r="Q133" s="231">
        <v>0</v>
      </c>
      <c r="R133" s="231">
        <v>0</v>
      </c>
      <c r="S133" s="231">
        <v>0</v>
      </c>
      <c r="T133" s="231">
        <v>0</v>
      </c>
      <c r="U133" s="231">
        <v>0</v>
      </c>
      <c r="V133" s="231">
        <v>0</v>
      </c>
      <c r="W133" s="231">
        <v>0</v>
      </c>
      <c r="X133" s="231">
        <v>0</v>
      </c>
      <c r="Y133" s="231">
        <v>0</v>
      </c>
      <c r="Z133" s="231">
        <v>0</v>
      </c>
      <c r="AA133" s="231">
        <v>0</v>
      </c>
      <c r="AB133" s="231">
        <v>0</v>
      </c>
      <c r="AC133" s="231">
        <v>0</v>
      </c>
      <c r="AD133" s="231">
        <v>0</v>
      </c>
      <c r="AE133" s="231">
        <v>0</v>
      </c>
      <c r="AF133" s="231">
        <v>0</v>
      </c>
      <c r="AG133" s="231">
        <v>0</v>
      </c>
      <c r="AH133" s="231">
        <v>0</v>
      </c>
      <c r="AI133" s="231">
        <v>0</v>
      </c>
      <c r="AJ133" s="231">
        <v>0</v>
      </c>
      <c r="AK133" s="231">
        <v>0</v>
      </c>
      <c r="AL133" s="231">
        <v>0</v>
      </c>
      <c r="AM133" s="231">
        <v>0</v>
      </c>
      <c r="AN133" s="231">
        <v>0</v>
      </c>
    </row>
    <row r="134" spans="3:40" x14ac:dyDescent="0.3">
      <c r="C134" s="231">
        <v>35</v>
      </c>
      <c r="D134" s="231">
        <v>12</v>
      </c>
      <c r="E134" s="231">
        <v>9</v>
      </c>
      <c r="F134" s="231">
        <v>27980</v>
      </c>
      <c r="G134" s="231">
        <v>0</v>
      </c>
      <c r="H134" s="231">
        <v>0</v>
      </c>
      <c r="I134" s="231">
        <v>0</v>
      </c>
      <c r="J134" s="231">
        <v>0</v>
      </c>
      <c r="K134" s="231">
        <v>16026</v>
      </c>
      <c r="L134" s="231">
        <v>0</v>
      </c>
      <c r="M134" s="231">
        <v>0</v>
      </c>
      <c r="N134" s="231">
        <v>8224</v>
      </c>
      <c r="O134" s="231">
        <v>0</v>
      </c>
      <c r="P134" s="231">
        <v>0</v>
      </c>
      <c r="Q134" s="231">
        <v>0</v>
      </c>
      <c r="R134" s="231">
        <v>0</v>
      </c>
      <c r="S134" s="231">
        <v>0</v>
      </c>
      <c r="T134" s="231">
        <v>0</v>
      </c>
      <c r="U134" s="231">
        <v>0</v>
      </c>
      <c r="V134" s="231">
        <v>0</v>
      </c>
      <c r="W134" s="231">
        <v>0</v>
      </c>
      <c r="X134" s="231">
        <v>0</v>
      </c>
      <c r="Y134" s="231">
        <v>0</v>
      </c>
      <c r="Z134" s="231">
        <v>0</v>
      </c>
      <c r="AA134" s="231">
        <v>0</v>
      </c>
      <c r="AB134" s="231">
        <v>0</v>
      </c>
      <c r="AC134" s="231">
        <v>730</v>
      </c>
      <c r="AD134" s="231">
        <v>0</v>
      </c>
      <c r="AE134" s="231">
        <v>0</v>
      </c>
      <c r="AF134" s="231">
        <v>0</v>
      </c>
      <c r="AG134" s="231">
        <v>0</v>
      </c>
      <c r="AH134" s="231">
        <v>3000</v>
      </c>
      <c r="AI134" s="231">
        <v>0</v>
      </c>
      <c r="AJ134" s="231">
        <v>0</v>
      </c>
      <c r="AK134" s="231">
        <v>0</v>
      </c>
      <c r="AL134" s="231">
        <v>0</v>
      </c>
      <c r="AM134" s="231">
        <v>0</v>
      </c>
      <c r="AN134" s="231">
        <v>0</v>
      </c>
    </row>
    <row r="135" spans="3:40" x14ac:dyDescent="0.3">
      <c r="C135" s="231">
        <v>35</v>
      </c>
      <c r="D135" s="231">
        <v>12</v>
      </c>
      <c r="E135" s="231">
        <v>10</v>
      </c>
      <c r="F135" s="231">
        <v>20000</v>
      </c>
      <c r="G135" s="231">
        <v>0</v>
      </c>
      <c r="H135" s="231">
        <v>4000</v>
      </c>
      <c r="I135" s="231">
        <v>0</v>
      </c>
      <c r="J135" s="231">
        <v>0</v>
      </c>
      <c r="K135" s="231">
        <v>16000</v>
      </c>
      <c r="L135" s="231">
        <v>0</v>
      </c>
      <c r="M135" s="231">
        <v>0</v>
      </c>
      <c r="N135" s="231">
        <v>0</v>
      </c>
      <c r="O135" s="231">
        <v>0</v>
      </c>
      <c r="P135" s="231">
        <v>0</v>
      </c>
      <c r="Q135" s="231">
        <v>0</v>
      </c>
      <c r="R135" s="231">
        <v>0</v>
      </c>
      <c r="S135" s="231">
        <v>0</v>
      </c>
      <c r="T135" s="231">
        <v>0</v>
      </c>
      <c r="U135" s="231">
        <v>0</v>
      </c>
      <c r="V135" s="231">
        <v>0</v>
      </c>
      <c r="W135" s="231">
        <v>0</v>
      </c>
      <c r="X135" s="231">
        <v>0</v>
      </c>
      <c r="Y135" s="231">
        <v>0</v>
      </c>
      <c r="Z135" s="231">
        <v>0</v>
      </c>
      <c r="AA135" s="231">
        <v>0</v>
      </c>
      <c r="AB135" s="231">
        <v>0</v>
      </c>
      <c r="AC135" s="231">
        <v>0</v>
      </c>
      <c r="AD135" s="231">
        <v>0</v>
      </c>
      <c r="AE135" s="231">
        <v>0</v>
      </c>
      <c r="AF135" s="231">
        <v>0</v>
      </c>
      <c r="AG135" s="231">
        <v>0</v>
      </c>
      <c r="AH135" s="231">
        <v>0</v>
      </c>
      <c r="AI135" s="231">
        <v>0</v>
      </c>
      <c r="AJ135" s="231">
        <v>0</v>
      </c>
      <c r="AK135" s="231">
        <v>0</v>
      </c>
      <c r="AL135" s="231">
        <v>0</v>
      </c>
      <c r="AM135" s="231">
        <v>0</v>
      </c>
      <c r="AN135" s="231">
        <v>0</v>
      </c>
    </row>
    <row r="136" spans="3:40" x14ac:dyDescent="0.3">
      <c r="C136" s="231">
        <v>35</v>
      </c>
      <c r="D136" s="231">
        <v>12</v>
      </c>
      <c r="E136" s="231">
        <v>11</v>
      </c>
      <c r="F136" s="231">
        <v>5845</v>
      </c>
      <c r="G136" s="231">
        <v>0</v>
      </c>
      <c r="H136" s="231">
        <v>2095</v>
      </c>
      <c r="I136" s="231">
        <v>0</v>
      </c>
      <c r="J136" s="231">
        <v>0</v>
      </c>
      <c r="K136" s="231">
        <v>3750</v>
      </c>
      <c r="L136" s="231">
        <v>0</v>
      </c>
      <c r="M136" s="231">
        <v>0</v>
      </c>
      <c r="N136" s="231">
        <v>0</v>
      </c>
      <c r="O136" s="231">
        <v>0</v>
      </c>
      <c r="P136" s="231">
        <v>0</v>
      </c>
      <c r="Q136" s="231">
        <v>0</v>
      </c>
      <c r="R136" s="231">
        <v>0</v>
      </c>
      <c r="S136" s="231">
        <v>0</v>
      </c>
      <c r="T136" s="231">
        <v>0</v>
      </c>
      <c r="U136" s="231">
        <v>0</v>
      </c>
      <c r="V136" s="231">
        <v>0</v>
      </c>
      <c r="W136" s="231">
        <v>0</v>
      </c>
      <c r="X136" s="231">
        <v>0</v>
      </c>
      <c r="Y136" s="231">
        <v>0</v>
      </c>
      <c r="Z136" s="231">
        <v>0</v>
      </c>
      <c r="AA136" s="231">
        <v>0</v>
      </c>
      <c r="AB136" s="231">
        <v>0</v>
      </c>
      <c r="AC136" s="231">
        <v>0</v>
      </c>
      <c r="AD136" s="231">
        <v>0</v>
      </c>
      <c r="AE136" s="231">
        <v>0</v>
      </c>
      <c r="AF136" s="231">
        <v>0</v>
      </c>
      <c r="AG136" s="231">
        <v>0</v>
      </c>
      <c r="AH136" s="231">
        <v>0</v>
      </c>
      <c r="AI136" s="231">
        <v>0</v>
      </c>
      <c r="AJ136" s="231">
        <v>0</v>
      </c>
      <c r="AK136" s="231">
        <v>0</v>
      </c>
      <c r="AL136" s="231">
        <v>0</v>
      </c>
      <c r="AM136" s="231">
        <v>0</v>
      </c>
      <c r="AN136" s="23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397" t="s">
        <v>1750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5" t="s">
        <v>282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1" t="s">
        <v>129</v>
      </c>
      <c r="B3" s="222">
        <f>SUBTOTAL(9,B6:B1048576)</f>
        <v>16685103</v>
      </c>
      <c r="C3" s="223">
        <f t="shared" ref="C3:R3" si="0">SUBTOTAL(9,C6:C1048576)</f>
        <v>2</v>
      </c>
      <c r="D3" s="223">
        <f t="shared" si="0"/>
        <v>15173967</v>
      </c>
      <c r="E3" s="223">
        <f t="shared" si="0"/>
        <v>1.9757908832351041</v>
      </c>
      <c r="F3" s="223">
        <f t="shared" si="0"/>
        <v>14622408</v>
      </c>
      <c r="G3" s="224">
        <f>IF(B3&lt;&gt;0,F3/B3,"")</f>
        <v>0.87637505144559191</v>
      </c>
      <c r="H3" s="225">
        <f t="shared" si="0"/>
        <v>656941.16000000038</v>
      </c>
      <c r="I3" s="223">
        <f t="shared" si="0"/>
        <v>1</v>
      </c>
      <c r="J3" s="223">
        <f t="shared" si="0"/>
        <v>470048.78999999992</v>
      </c>
      <c r="K3" s="223">
        <f t="shared" si="0"/>
        <v>0.71551124913531017</v>
      </c>
      <c r="L3" s="223">
        <f t="shared" si="0"/>
        <v>364936</v>
      </c>
      <c r="M3" s="226">
        <f>IF(H3&lt;&gt;0,L3/H3,"")</f>
        <v>0.55550789358365027</v>
      </c>
      <c r="N3" s="222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398" t="s">
        <v>99</v>
      </c>
      <c r="B4" s="399" t="s">
        <v>100</v>
      </c>
      <c r="C4" s="400"/>
      <c r="D4" s="400"/>
      <c r="E4" s="400"/>
      <c r="F4" s="400"/>
      <c r="G4" s="401"/>
      <c r="H4" s="399" t="s">
        <v>101</v>
      </c>
      <c r="I4" s="400"/>
      <c r="J4" s="400"/>
      <c r="K4" s="400"/>
      <c r="L4" s="400"/>
      <c r="M4" s="401"/>
      <c r="N4" s="399" t="s">
        <v>102</v>
      </c>
      <c r="O4" s="400"/>
      <c r="P4" s="400"/>
      <c r="Q4" s="400"/>
      <c r="R4" s="400"/>
      <c r="S4" s="401"/>
    </row>
    <row r="5" spans="1:19" ht="14.4" customHeight="1" thickBot="1" x14ac:dyDescent="0.35">
      <c r="A5" s="586"/>
      <c r="B5" s="587">
        <v>2012</v>
      </c>
      <c r="C5" s="588"/>
      <c r="D5" s="588">
        <v>2013</v>
      </c>
      <c r="E5" s="588"/>
      <c r="F5" s="588">
        <v>2014</v>
      </c>
      <c r="G5" s="589" t="s">
        <v>2</v>
      </c>
      <c r="H5" s="587">
        <v>2012</v>
      </c>
      <c r="I5" s="588"/>
      <c r="J5" s="588">
        <v>2013</v>
      </c>
      <c r="K5" s="588"/>
      <c r="L5" s="588">
        <v>2014</v>
      </c>
      <c r="M5" s="589" t="s">
        <v>2</v>
      </c>
      <c r="N5" s="587">
        <v>2012</v>
      </c>
      <c r="O5" s="588"/>
      <c r="P5" s="588">
        <v>2013</v>
      </c>
      <c r="Q5" s="588"/>
      <c r="R5" s="588">
        <v>2014</v>
      </c>
      <c r="S5" s="589" t="s">
        <v>2</v>
      </c>
    </row>
    <row r="6" spans="1:19" ht="14.4" customHeight="1" x14ac:dyDescent="0.3">
      <c r="A6" s="548" t="s">
        <v>1745</v>
      </c>
      <c r="B6" s="590">
        <v>1026465</v>
      </c>
      <c r="C6" s="531">
        <v>1</v>
      </c>
      <c r="D6" s="590">
        <v>1105880</v>
      </c>
      <c r="E6" s="531">
        <v>1.077367469908862</v>
      </c>
      <c r="F6" s="590">
        <v>1046318</v>
      </c>
      <c r="G6" s="536">
        <v>1.0193411368142118</v>
      </c>
      <c r="H6" s="590"/>
      <c r="I6" s="531"/>
      <c r="J6" s="590"/>
      <c r="K6" s="531"/>
      <c r="L6" s="590"/>
      <c r="M6" s="536"/>
      <c r="N6" s="590"/>
      <c r="O6" s="531"/>
      <c r="P6" s="590"/>
      <c r="Q6" s="531"/>
      <c r="R6" s="590"/>
      <c r="S6" s="122"/>
    </row>
    <row r="7" spans="1:19" ht="14.4" customHeight="1" thickBot="1" x14ac:dyDescent="0.35">
      <c r="A7" s="592" t="s">
        <v>1746</v>
      </c>
      <c r="B7" s="591">
        <v>15658638</v>
      </c>
      <c r="C7" s="471">
        <v>1</v>
      </c>
      <c r="D7" s="591">
        <v>14068087</v>
      </c>
      <c r="E7" s="471">
        <v>0.89842341332624209</v>
      </c>
      <c r="F7" s="591">
        <v>13576090</v>
      </c>
      <c r="G7" s="482">
        <v>0.86700324766432435</v>
      </c>
      <c r="H7" s="591">
        <v>656941.16000000038</v>
      </c>
      <c r="I7" s="471">
        <v>1</v>
      </c>
      <c r="J7" s="591">
        <v>470048.78999999992</v>
      </c>
      <c r="K7" s="471">
        <v>0.71551124913531017</v>
      </c>
      <c r="L7" s="591">
        <v>364936</v>
      </c>
      <c r="M7" s="482">
        <v>0.55550789358365027</v>
      </c>
      <c r="N7" s="591"/>
      <c r="O7" s="471"/>
      <c r="P7" s="591"/>
      <c r="Q7" s="471"/>
      <c r="R7" s="591"/>
      <c r="S7" s="499"/>
    </row>
    <row r="8" spans="1:19" ht="14.4" customHeight="1" x14ac:dyDescent="0.3">
      <c r="A8" s="593" t="s">
        <v>1747</v>
      </c>
    </row>
    <row r="9" spans="1:19" ht="14.4" customHeight="1" x14ac:dyDescent="0.3">
      <c r="A9" s="594" t="s">
        <v>1748</v>
      </c>
    </row>
    <row r="10" spans="1:19" ht="14.4" customHeight="1" x14ac:dyDescent="0.3">
      <c r="A10" s="593" t="s">
        <v>1749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8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397" t="s">
        <v>1754</v>
      </c>
      <c r="B1" s="325"/>
      <c r="C1" s="325"/>
      <c r="D1" s="325"/>
      <c r="E1" s="325"/>
      <c r="F1" s="325"/>
      <c r="G1" s="325"/>
    </row>
    <row r="2" spans="1:7" ht="14.4" customHeight="1" thickBot="1" x14ac:dyDescent="0.35">
      <c r="A2" s="235" t="s">
        <v>282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1" t="s">
        <v>129</v>
      </c>
      <c r="B3" s="315">
        <f t="shared" ref="B3:G3" si="0">SUBTOTAL(9,B6:B1048576)</f>
        <v>73674</v>
      </c>
      <c r="C3" s="316">
        <f t="shared" si="0"/>
        <v>65524</v>
      </c>
      <c r="D3" s="316">
        <f t="shared" si="0"/>
        <v>62872</v>
      </c>
      <c r="E3" s="225">
        <f t="shared" si="0"/>
        <v>16685103</v>
      </c>
      <c r="F3" s="223">
        <f t="shared" si="0"/>
        <v>15173967</v>
      </c>
      <c r="G3" s="317">
        <f t="shared" si="0"/>
        <v>14622408</v>
      </c>
    </row>
    <row r="4" spans="1:7" ht="14.4" customHeight="1" x14ac:dyDescent="0.3">
      <c r="A4" s="398" t="s">
        <v>137</v>
      </c>
      <c r="B4" s="399" t="s">
        <v>280</v>
      </c>
      <c r="C4" s="400"/>
      <c r="D4" s="400"/>
      <c r="E4" s="402" t="s">
        <v>100</v>
      </c>
      <c r="F4" s="403"/>
      <c r="G4" s="404"/>
    </row>
    <row r="5" spans="1:7" ht="14.4" customHeight="1" thickBot="1" x14ac:dyDescent="0.35">
      <c r="A5" s="586"/>
      <c r="B5" s="587">
        <v>2012</v>
      </c>
      <c r="C5" s="588">
        <v>2013</v>
      </c>
      <c r="D5" s="588">
        <v>2014</v>
      </c>
      <c r="E5" s="587">
        <v>2012</v>
      </c>
      <c r="F5" s="588">
        <v>2013</v>
      </c>
      <c r="G5" s="595">
        <v>2014</v>
      </c>
    </row>
    <row r="6" spans="1:7" ht="14.4" customHeight="1" x14ac:dyDescent="0.3">
      <c r="A6" s="548" t="s">
        <v>1751</v>
      </c>
      <c r="B6" s="116">
        <v>73285</v>
      </c>
      <c r="C6" s="116">
        <v>65125</v>
      </c>
      <c r="D6" s="116">
        <v>62457</v>
      </c>
      <c r="E6" s="590">
        <v>15674864</v>
      </c>
      <c r="F6" s="590">
        <v>14082347</v>
      </c>
      <c r="G6" s="596">
        <v>13591593</v>
      </c>
    </row>
    <row r="7" spans="1:7" ht="14.4" customHeight="1" x14ac:dyDescent="0.3">
      <c r="A7" s="549" t="s">
        <v>711</v>
      </c>
      <c r="B7" s="468"/>
      <c r="C7" s="468"/>
      <c r="D7" s="468">
        <v>4</v>
      </c>
      <c r="E7" s="597"/>
      <c r="F7" s="597"/>
      <c r="G7" s="598">
        <v>9103</v>
      </c>
    </row>
    <row r="8" spans="1:7" ht="14.4" customHeight="1" x14ac:dyDescent="0.3">
      <c r="A8" s="549" t="s">
        <v>707</v>
      </c>
      <c r="B8" s="468">
        <v>74</v>
      </c>
      <c r="C8" s="468">
        <v>58</v>
      </c>
      <c r="D8" s="468">
        <v>52</v>
      </c>
      <c r="E8" s="597">
        <v>20378</v>
      </c>
      <c r="F8" s="597">
        <v>28801</v>
      </c>
      <c r="G8" s="598">
        <v>127363</v>
      </c>
    </row>
    <row r="9" spans="1:7" ht="14.4" customHeight="1" x14ac:dyDescent="0.3">
      <c r="A9" s="549" t="s">
        <v>714</v>
      </c>
      <c r="B9" s="468">
        <v>2</v>
      </c>
      <c r="C9" s="468"/>
      <c r="D9" s="468">
        <v>1</v>
      </c>
      <c r="E9" s="597">
        <v>68</v>
      </c>
      <c r="F9" s="597"/>
      <c r="G9" s="598">
        <v>35</v>
      </c>
    </row>
    <row r="10" spans="1:7" ht="14.4" customHeight="1" x14ac:dyDescent="0.3">
      <c r="A10" s="549" t="s">
        <v>708</v>
      </c>
      <c r="B10" s="468">
        <v>22</v>
      </c>
      <c r="C10" s="468">
        <v>10</v>
      </c>
      <c r="D10" s="468">
        <v>22</v>
      </c>
      <c r="E10" s="597">
        <v>748</v>
      </c>
      <c r="F10" s="597">
        <v>340</v>
      </c>
      <c r="G10" s="598">
        <v>761</v>
      </c>
    </row>
    <row r="11" spans="1:7" ht="14.4" customHeight="1" x14ac:dyDescent="0.3">
      <c r="A11" s="549" t="s">
        <v>1752</v>
      </c>
      <c r="B11" s="468">
        <v>43</v>
      </c>
      <c r="C11" s="468">
        <v>70</v>
      </c>
      <c r="D11" s="468"/>
      <c r="E11" s="597">
        <v>126860</v>
      </c>
      <c r="F11" s="597">
        <v>218329</v>
      </c>
      <c r="G11" s="598"/>
    </row>
    <row r="12" spans="1:7" ht="14.4" customHeight="1" x14ac:dyDescent="0.3">
      <c r="A12" s="549" t="s">
        <v>712</v>
      </c>
      <c r="B12" s="468"/>
      <c r="C12" s="468"/>
      <c r="D12" s="468">
        <v>12</v>
      </c>
      <c r="E12" s="597"/>
      <c r="F12" s="597"/>
      <c r="G12" s="598">
        <v>420</v>
      </c>
    </row>
    <row r="13" spans="1:7" ht="14.4" customHeight="1" x14ac:dyDescent="0.3">
      <c r="A13" s="549" t="s">
        <v>710</v>
      </c>
      <c r="B13" s="468"/>
      <c r="C13" s="468"/>
      <c r="D13" s="468">
        <v>3</v>
      </c>
      <c r="E13" s="597"/>
      <c r="F13" s="597"/>
      <c r="G13" s="598">
        <v>105</v>
      </c>
    </row>
    <row r="14" spans="1:7" ht="14.4" customHeight="1" x14ac:dyDescent="0.3">
      <c r="A14" s="549" t="s">
        <v>709</v>
      </c>
      <c r="B14" s="468">
        <v>248</v>
      </c>
      <c r="C14" s="468">
        <v>261</v>
      </c>
      <c r="D14" s="468">
        <v>320</v>
      </c>
      <c r="E14" s="597">
        <v>862185</v>
      </c>
      <c r="F14" s="597">
        <v>844150</v>
      </c>
      <c r="G14" s="598">
        <v>884030</v>
      </c>
    </row>
    <row r="15" spans="1:7" ht="14.4" customHeight="1" thickBot="1" x14ac:dyDescent="0.35">
      <c r="A15" s="592" t="s">
        <v>1753</v>
      </c>
      <c r="B15" s="474"/>
      <c r="C15" s="474"/>
      <c r="D15" s="474">
        <v>1</v>
      </c>
      <c r="E15" s="591"/>
      <c r="F15" s="591"/>
      <c r="G15" s="599">
        <v>8998</v>
      </c>
    </row>
    <row r="16" spans="1:7" ht="14.4" customHeight="1" x14ac:dyDescent="0.3">
      <c r="A16" s="593" t="s">
        <v>1747</v>
      </c>
    </row>
    <row r="17" spans="1:1" ht="14.4" customHeight="1" x14ac:dyDescent="0.3">
      <c r="A17" s="594" t="s">
        <v>1748</v>
      </c>
    </row>
    <row r="18" spans="1:1" ht="14.4" customHeight="1" x14ac:dyDescent="0.3">
      <c r="A18" s="593" t="s">
        <v>1749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49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30" bestFit="1" customWidth="1"/>
    <col min="2" max="2" width="2.109375" style="130" bestFit="1" customWidth="1"/>
    <col min="3" max="3" width="8" style="130" customWidth="1"/>
    <col min="4" max="4" width="50.88671875" style="130" bestFit="1" customWidth="1"/>
    <col min="5" max="6" width="11.109375" style="208" customWidth="1"/>
    <col min="7" max="8" width="9.33203125" style="130" hidden="1" customWidth="1"/>
    <col min="9" max="10" width="11.109375" style="208" customWidth="1"/>
    <col min="11" max="12" width="9.33203125" style="130" hidden="1" customWidth="1"/>
    <col min="13" max="14" width="11.109375" style="208" customWidth="1"/>
    <col min="15" max="15" width="11.109375" style="211" customWidth="1"/>
    <col min="16" max="16" width="11.109375" style="208" customWidth="1"/>
    <col min="17" max="16384" width="8.88671875" style="130"/>
  </cols>
  <sheetData>
    <row r="1" spans="1:16" ht="18.600000000000001" customHeight="1" thickBot="1" x14ac:dyDescent="0.4">
      <c r="A1" s="325" t="s">
        <v>1838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</row>
    <row r="2" spans="1:16" ht="14.4" customHeight="1" thickBot="1" x14ac:dyDescent="0.35">
      <c r="A2" s="235" t="s">
        <v>282</v>
      </c>
      <c r="B2" s="131"/>
      <c r="C2" s="314"/>
      <c r="D2" s="131"/>
      <c r="E2" s="229"/>
      <c r="F2" s="229"/>
      <c r="G2" s="131"/>
      <c r="H2" s="131"/>
      <c r="I2" s="229"/>
      <c r="J2" s="229"/>
      <c r="K2" s="131"/>
      <c r="L2" s="131"/>
      <c r="M2" s="229"/>
      <c r="N2" s="229"/>
      <c r="O2" s="230"/>
      <c r="P2" s="229"/>
    </row>
    <row r="3" spans="1:16" ht="14.4" customHeight="1" thickBot="1" x14ac:dyDescent="0.35">
      <c r="D3" s="87" t="s">
        <v>129</v>
      </c>
      <c r="E3" s="102">
        <f t="shared" ref="E3:N3" si="0">SUBTOTAL(9,E6:E1048576)</f>
        <v>74417</v>
      </c>
      <c r="F3" s="103">
        <f t="shared" si="0"/>
        <v>17342044.16</v>
      </c>
      <c r="G3" s="74"/>
      <c r="H3" s="74"/>
      <c r="I3" s="103">
        <f t="shared" si="0"/>
        <v>66081</v>
      </c>
      <c r="J3" s="103">
        <f t="shared" si="0"/>
        <v>15644015.789999999</v>
      </c>
      <c r="K3" s="74"/>
      <c r="L3" s="74"/>
      <c r="M3" s="103">
        <f t="shared" si="0"/>
        <v>63356</v>
      </c>
      <c r="N3" s="103">
        <f t="shared" si="0"/>
        <v>14987344</v>
      </c>
      <c r="O3" s="75">
        <f>IF(F3=0,0,N3/F3)</f>
        <v>0.86422014969658567</v>
      </c>
      <c r="P3" s="104">
        <f>IF(M3=0,0,N3/M3)</f>
        <v>236.55761096028789</v>
      </c>
    </row>
    <row r="4" spans="1:16" ht="14.4" customHeight="1" x14ac:dyDescent="0.3">
      <c r="A4" s="406" t="s">
        <v>95</v>
      </c>
      <c r="B4" s="407" t="s">
        <v>96</v>
      </c>
      <c r="C4" s="412" t="s">
        <v>71</v>
      </c>
      <c r="D4" s="408" t="s">
        <v>70</v>
      </c>
      <c r="E4" s="409">
        <v>2012</v>
      </c>
      <c r="F4" s="410"/>
      <c r="G4" s="101"/>
      <c r="H4" s="101"/>
      <c r="I4" s="409">
        <v>2013</v>
      </c>
      <c r="J4" s="410"/>
      <c r="K4" s="101"/>
      <c r="L4" s="101"/>
      <c r="M4" s="409">
        <v>2014</v>
      </c>
      <c r="N4" s="410"/>
      <c r="O4" s="411" t="s">
        <v>2</v>
      </c>
      <c r="P4" s="405" t="s">
        <v>98</v>
      </c>
    </row>
    <row r="5" spans="1:16" ht="14.4" customHeight="1" thickBot="1" x14ac:dyDescent="0.35">
      <c r="A5" s="600"/>
      <c r="B5" s="601"/>
      <c r="C5" s="602"/>
      <c r="D5" s="603"/>
      <c r="E5" s="604" t="s">
        <v>72</v>
      </c>
      <c r="F5" s="605" t="s">
        <v>14</v>
      </c>
      <c r="G5" s="606"/>
      <c r="H5" s="606"/>
      <c r="I5" s="604" t="s">
        <v>72</v>
      </c>
      <c r="J5" s="605" t="s">
        <v>14</v>
      </c>
      <c r="K5" s="606"/>
      <c r="L5" s="606"/>
      <c r="M5" s="604" t="s">
        <v>72</v>
      </c>
      <c r="N5" s="605" t="s">
        <v>14</v>
      </c>
      <c r="O5" s="607"/>
      <c r="P5" s="608"/>
    </row>
    <row r="6" spans="1:16" ht="14.4" customHeight="1" x14ac:dyDescent="0.3">
      <c r="A6" s="530" t="s">
        <v>1755</v>
      </c>
      <c r="B6" s="531" t="s">
        <v>1756</v>
      </c>
      <c r="C6" s="531" t="s">
        <v>1757</v>
      </c>
      <c r="D6" s="531" t="s">
        <v>1758</v>
      </c>
      <c r="E6" s="116">
        <v>204</v>
      </c>
      <c r="F6" s="116">
        <v>6936</v>
      </c>
      <c r="G6" s="531">
        <v>1</v>
      </c>
      <c r="H6" s="531">
        <v>34</v>
      </c>
      <c r="I6" s="116">
        <v>212</v>
      </c>
      <c r="J6" s="116">
        <v>7208</v>
      </c>
      <c r="K6" s="531">
        <v>1.0392156862745099</v>
      </c>
      <c r="L6" s="531">
        <v>34</v>
      </c>
      <c r="M6" s="116">
        <v>246</v>
      </c>
      <c r="N6" s="116">
        <v>8548</v>
      </c>
      <c r="O6" s="536">
        <v>1.2324106113033448</v>
      </c>
      <c r="P6" s="544">
        <v>34.747967479674799</v>
      </c>
    </row>
    <row r="7" spans="1:16" ht="14.4" customHeight="1" x14ac:dyDescent="0.3">
      <c r="A7" s="464" t="s">
        <v>1755</v>
      </c>
      <c r="B7" s="465" t="s">
        <v>1756</v>
      </c>
      <c r="C7" s="465" t="s">
        <v>1759</v>
      </c>
      <c r="D7" s="465" t="s">
        <v>1760</v>
      </c>
      <c r="E7" s="468">
        <v>28</v>
      </c>
      <c r="F7" s="468">
        <v>0</v>
      </c>
      <c r="G7" s="465"/>
      <c r="H7" s="465">
        <v>0</v>
      </c>
      <c r="I7" s="468">
        <v>23</v>
      </c>
      <c r="J7" s="468">
        <v>0</v>
      </c>
      <c r="K7" s="465"/>
      <c r="L7" s="465">
        <v>0</v>
      </c>
      <c r="M7" s="468">
        <v>19</v>
      </c>
      <c r="N7" s="468">
        <v>0</v>
      </c>
      <c r="O7" s="517"/>
      <c r="P7" s="469">
        <v>0</v>
      </c>
    </row>
    <row r="8" spans="1:16" ht="14.4" customHeight="1" x14ac:dyDescent="0.3">
      <c r="A8" s="464" t="s">
        <v>1755</v>
      </c>
      <c r="B8" s="465" t="s">
        <v>1756</v>
      </c>
      <c r="C8" s="465" t="s">
        <v>1761</v>
      </c>
      <c r="D8" s="465" t="s">
        <v>1762</v>
      </c>
      <c r="E8" s="468">
        <v>158</v>
      </c>
      <c r="F8" s="468">
        <v>3950</v>
      </c>
      <c r="G8" s="465">
        <v>1</v>
      </c>
      <c r="H8" s="465">
        <v>25</v>
      </c>
      <c r="I8" s="468">
        <v>149</v>
      </c>
      <c r="J8" s="468">
        <v>5215</v>
      </c>
      <c r="K8" s="465">
        <v>1.320253164556962</v>
      </c>
      <c r="L8" s="465">
        <v>35</v>
      </c>
      <c r="M8" s="468">
        <v>154</v>
      </c>
      <c r="N8" s="468">
        <v>5513</v>
      </c>
      <c r="O8" s="517">
        <v>1.3956962025316455</v>
      </c>
      <c r="P8" s="469">
        <v>35.798701298701296</v>
      </c>
    </row>
    <row r="9" spans="1:16" ht="14.4" customHeight="1" x14ac:dyDescent="0.3">
      <c r="A9" s="464" t="s">
        <v>1755</v>
      </c>
      <c r="B9" s="465" t="s">
        <v>1756</v>
      </c>
      <c r="C9" s="465" t="s">
        <v>1763</v>
      </c>
      <c r="D9" s="465" t="s">
        <v>1764</v>
      </c>
      <c r="E9" s="468">
        <v>279</v>
      </c>
      <c r="F9" s="468">
        <v>12276</v>
      </c>
      <c r="G9" s="465">
        <v>1</v>
      </c>
      <c r="H9" s="465">
        <v>44</v>
      </c>
      <c r="I9" s="468">
        <v>201</v>
      </c>
      <c r="J9" s="468">
        <v>9045</v>
      </c>
      <c r="K9" s="465">
        <v>0.73680351906158359</v>
      </c>
      <c r="L9" s="465">
        <v>45</v>
      </c>
      <c r="M9" s="468">
        <v>222</v>
      </c>
      <c r="N9" s="468">
        <v>9990</v>
      </c>
      <c r="O9" s="517">
        <v>0.8137829912023461</v>
      </c>
      <c r="P9" s="469">
        <v>45</v>
      </c>
    </row>
    <row r="10" spans="1:16" ht="14.4" customHeight="1" x14ac:dyDescent="0.3">
      <c r="A10" s="464" t="s">
        <v>1755</v>
      </c>
      <c r="B10" s="465" t="s">
        <v>1756</v>
      </c>
      <c r="C10" s="465" t="s">
        <v>1765</v>
      </c>
      <c r="D10" s="465" t="s">
        <v>1766</v>
      </c>
      <c r="E10" s="468">
        <v>111</v>
      </c>
      <c r="F10" s="468">
        <v>995115</v>
      </c>
      <c r="G10" s="465">
        <v>1</v>
      </c>
      <c r="H10" s="465">
        <v>8965</v>
      </c>
      <c r="I10" s="468">
        <v>120</v>
      </c>
      <c r="J10" s="468">
        <v>1077240</v>
      </c>
      <c r="K10" s="465">
        <v>1.0825281500128126</v>
      </c>
      <c r="L10" s="465">
        <v>8977</v>
      </c>
      <c r="M10" s="468">
        <v>113</v>
      </c>
      <c r="N10" s="468">
        <v>1016207</v>
      </c>
      <c r="O10" s="517">
        <v>1.0211955402139452</v>
      </c>
      <c r="P10" s="469">
        <v>8992.9823008849562</v>
      </c>
    </row>
    <row r="11" spans="1:16" ht="14.4" customHeight="1" x14ac:dyDescent="0.3">
      <c r="A11" s="464" t="s">
        <v>1755</v>
      </c>
      <c r="B11" s="465" t="s">
        <v>1756</v>
      </c>
      <c r="C11" s="465" t="s">
        <v>1767</v>
      </c>
      <c r="D11" s="465" t="s">
        <v>1768</v>
      </c>
      <c r="E11" s="468">
        <v>46</v>
      </c>
      <c r="F11" s="468">
        <v>8188</v>
      </c>
      <c r="G11" s="465">
        <v>1</v>
      </c>
      <c r="H11" s="465">
        <v>178</v>
      </c>
      <c r="I11" s="468">
        <v>44</v>
      </c>
      <c r="J11" s="468">
        <v>7172</v>
      </c>
      <c r="K11" s="465">
        <v>0.87591597459697113</v>
      </c>
      <c r="L11" s="465">
        <v>163</v>
      </c>
      <c r="M11" s="468">
        <v>37</v>
      </c>
      <c r="N11" s="468">
        <v>6060</v>
      </c>
      <c r="O11" s="517">
        <v>0.74010747435271129</v>
      </c>
      <c r="P11" s="469">
        <v>163.78378378378378</v>
      </c>
    </row>
    <row r="12" spans="1:16" ht="14.4" customHeight="1" x14ac:dyDescent="0.3">
      <c r="A12" s="464" t="s">
        <v>1769</v>
      </c>
      <c r="B12" s="465" t="s">
        <v>1770</v>
      </c>
      <c r="C12" s="465" t="s">
        <v>1771</v>
      </c>
      <c r="D12" s="465" t="s">
        <v>1747</v>
      </c>
      <c r="E12" s="468">
        <v>474</v>
      </c>
      <c r="F12" s="468">
        <v>383029.22</v>
      </c>
      <c r="G12" s="465">
        <v>1</v>
      </c>
      <c r="H12" s="465">
        <v>808.07852320675102</v>
      </c>
      <c r="I12" s="468">
        <v>368</v>
      </c>
      <c r="J12" s="468">
        <v>327542.78999999992</v>
      </c>
      <c r="K12" s="465">
        <v>0.85513786650532808</v>
      </c>
      <c r="L12" s="465">
        <v>890.06192934782587</v>
      </c>
      <c r="M12" s="468">
        <v>311</v>
      </c>
      <c r="N12" s="468">
        <v>234494</v>
      </c>
      <c r="O12" s="517">
        <v>0.61220916774965628</v>
      </c>
      <c r="P12" s="469">
        <v>754</v>
      </c>
    </row>
    <row r="13" spans="1:16" ht="14.4" customHeight="1" x14ac:dyDescent="0.3">
      <c r="A13" s="464" t="s">
        <v>1769</v>
      </c>
      <c r="B13" s="465" t="s">
        <v>1770</v>
      </c>
      <c r="C13" s="465" t="s">
        <v>1771</v>
      </c>
      <c r="D13" s="465" t="s">
        <v>1772</v>
      </c>
      <c r="E13" s="468">
        <v>269</v>
      </c>
      <c r="F13" s="468">
        <v>273911.94</v>
      </c>
      <c r="G13" s="465">
        <v>1</v>
      </c>
      <c r="H13" s="465">
        <v>1018.26</v>
      </c>
      <c r="I13" s="468">
        <v>189</v>
      </c>
      <c r="J13" s="468">
        <v>142506</v>
      </c>
      <c r="K13" s="465">
        <v>0.52026209591301498</v>
      </c>
      <c r="L13" s="465">
        <v>754</v>
      </c>
      <c r="M13" s="468">
        <v>173</v>
      </c>
      <c r="N13" s="468">
        <v>130442</v>
      </c>
      <c r="O13" s="517">
        <v>0.47621874387805074</v>
      </c>
      <c r="P13" s="469">
        <v>754</v>
      </c>
    </row>
    <row r="14" spans="1:16" ht="14.4" customHeight="1" x14ac:dyDescent="0.3">
      <c r="A14" s="464" t="s">
        <v>1769</v>
      </c>
      <c r="B14" s="465" t="s">
        <v>1756</v>
      </c>
      <c r="C14" s="465" t="s">
        <v>1773</v>
      </c>
      <c r="D14" s="465" t="s">
        <v>1774</v>
      </c>
      <c r="E14" s="468">
        <v>2380</v>
      </c>
      <c r="F14" s="468">
        <v>480760</v>
      </c>
      <c r="G14" s="465">
        <v>1</v>
      </c>
      <c r="H14" s="465">
        <v>202</v>
      </c>
      <c r="I14" s="468">
        <v>2168</v>
      </c>
      <c r="J14" s="468">
        <v>440104</v>
      </c>
      <c r="K14" s="465">
        <v>0.91543389633080952</v>
      </c>
      <c r="L14" s="465">
        <v>203</v>
      </c>
      <c r="M14" s="468">
        <v>2553</v>
      </c>
      <c r="N14" s="468">
        <v>522069</v>
      </c>
      <c r="O14" s="517">
        <v>1.0859243697478991</v>
      </c>
      <c r="P14" s="469">
        <v>204.49236192714454</v>
      </c>
    </row>
    <row r="15" spans="1:16" ht="14.4" customHeight="1" x14ac:dyDescent="0.3">
      <c r="A15" s="464" t="s">
        <v>1769</v>
      </c>
      <c r="B15" s="465" t="s">
        <v>1756</v>
      </c>
      <c r="C15" s="465" t="s">
        <v>1775</v>
      </c>
      <c r="D15" s="465" t="s">
        <v>1774</v>
      </c>
      <c r="E15" s="468">
        <v>1</v>
      </c>
      <c r="F15" s="468">
        <v>83</v>
      </c>
      <c r="G15" s="465">
        <v>1</v>
      </c>
      <c r="H15" s="465">
        <v>83</v>
      </c>
      <c r="I15" s="468">
        <v>21</v>
      </c>
      <c r="J15" s="468">
        <v>1764</v>
      </c>
      <c r="K15" s="465">
        <v>21.253012048192772</v>
      </c>
      <c r="L15" s="465">
        <v>84</v>
      </c>
      <c r="M15" s="468">
        <v>279</v>
      </c>
      <c r="N15" s="468">
        <v>23631</v>
      </c>
      <c r="O15" s="517">
        <v>284.71084337349396</v>
      </c>
      <c r="P15" s="469">
        <v>84.6989247311828</v>
      </c>
    </row>
    <row r="16" spans="1:16" ht="14.4" customHeight="1" x14ac:dyDescent="0.3">
      <c r="A16" s="464" t="s">
        <v>1769</v>
      </c>
      <c r="B16" s="465" t="s">
        <v>1756</v>
      </c>
      <c r="C16" s="465" t="s">
        <v>1776</v>
      </c>
      <c r="D16" s="465" t="s">
        <v>1777</v>
      </c>
      <c r="E16" s="468">
        <v>14051</v>
      </c>
      <c r="F16" s="468">
        <v>4088841</v>
      </c>
      <c r="G16" s="465">
        <v>1</v>
      </c>
      <c r="H16" s="465">
        <v>291</v>
      </c>
      <c r="I16" s="468">
        <v>12828</v>
      </c>
      <c r="J16" s="468">
        <v>3745776</v>
      </c>
      <c r="K16" s="465">
        <v>0.91609725103030415</v>
      </c>
      <c r="L16" s="465">
        <v>292</v>
      </c>
      <c r="M16" s="468">
        <v>13208</v>
      </c>
      <c r="N16" s="468">
        <v>3876266</v>
      </c>
      <c r="O16" s="517">
        <v>0.94801094001943342</v>
      </c>
      <c r="P16" s="469">
        <v>293.47864930345247</v>
      </c>
    </row>
    <row r="17" spans="1:16" ht="14.4" customHeight="1" x14ac:dyDescent="0.3">
      <c r="A17" s="464" t="s">
        <v>1769</v>
      </c>
      <c r="B17" s="465" t="s">
        <v>1756</v>
      </c>
      <c r="C17" s="465" t="s">
        <v>1778</v>
      </c>
      <c r="D17" s="465" t="s">
        <v>1779</v>
      </c>
      <c r="E17" s="468">
        <v>334</v>
      </c>
      <c r="F17" s="468">
        <v>30728</v>
      </c>
      <c r="G17" s="465">
        <v>1</v>
      </c>
      <c r="H17" s="465">
        <v>92</v>
      </c>
      <c r="I17" s="468">
        <v>388</v>
      </c>
      <c r="J17" s="468">
        <v>36084</v>
      </c>
      <c r="K17" s="465">
        <v>1.1743035667794846</v>
      </c>
      <c r="L17" s="465">
        <v>93</v>
      </c>
      <c r="M17" s="468">
        <v>359</v>
      </c>
      <c r="N17" s="468">
        <v>33646</v>
      </c>
      <c r="O17" s="517">
        <v>1.094962249414215</v>
      </c>
      <c r="P17" s="469">
        <v>93.721448467966567</v>
      </c>
    </row>
    <row r="18" spans="1:16" ht="14.4" customHeight="1" x14ac:dyDescent="0.3">
      <c r="A18" s="464" t="s">
        <v>1769</v>
      </c>
      <c r="B18" s="465" t="s">
        <v>1756</v>
      </c>
      <c r="C18" s="465" t="s">
        <v>1780</v>
      </c>
      <c r="D18" s="465" t="s">
        <v>1781</v>
      </c>
      <c r="E18" s="468">
        <v>79</v>
      </c>
      <c r="F18" s="468">
        <v>17301</v>
      </c>
      <c r="G18" s="465">
        <v>1</v>
      </c>
      <c r="H18" s="465">
        <v>219</v>
      </c>
      <c r="I18" s="468">
        <v>62</v>
      </c>
      <c r="J18" s="468">
        <v>13640</v>
      </c>
      <c r="K18" s="465">
        <v>0.78839373446621586</v>
      </c>
      <c r="L18" s="465">
        <v>220</v>
      </c>
      <c r="M18" s="468">
        <v>22</v>
      </c>
      <c r="N18" s="468">
        <v>4876</v>
      </c>
      <c r="O18" s="517">
        <v>0.28183342003352407</v>
      </c>
      <c r="P18" s="469">
        <v>221.63636363636363</v>
      </c>
    </row>
    <row r="19" spans="1:16" ht="14.4" customHeight="1" x14ac:dyDescent="0.3">
      <c r="A19" s="464" t="s">
        <v>1769</v>
      </c>
      <c r="B19" s="465" t="s">
        <v>1756</v>
      </c>
      <c r="C19" s="465" t="s">
        <v>1782</v>
      </c>
      <c r="D19" s="465" t="s">
        <v>1783</v>
      </c>
      <c r="E19" s="468">
        <v>4267</v>
      </c>
      <c r="F19" s="468">
        <v>567511</v>
      </c>
      <c r="G19" s="465">
        <v>1</v>
      </c>
      <c r="H19" s="465">
        <v>133</v>
      </c>
      <c r="I19" s="468">
        <v>3697</v>
      </c>
      <c r="J19" s="468">
        <v>495398</v>
      </c>
      <c r="K19" s="465">
        <v>0.87293109737079988</v>
      </c>
      <c r="L19" s="465">
        <v>134</v>
      </c>
      <c r="M19" s="468">
        <v>3325</v>
      </c>
      <c r="N19" s="468">
        <v>447951</v>
      </c>
      <c r="O19" s="517">
        <v>0.78932566945838933</v>
      </c>
      <c r="P19" s="469">
        <v>134.72210526315789</v>
      </c>
    </row>
    <row r="20" spans="1:16" ht="14.4" customHeight="1" x14ac:dyDescent="0.3">
      <c r="A20" s="464" t="s">
        <v>1769</v>
      </c>
      <c r="B20" s="465" t="s">
        <v>1756</v>
      </c>
      <c r="C20" s="465" t="s">
        <v>1784</v>
      </c>
      <c r="D20" s="465" t="s">
        <v>1783</v>
      </c>
      <c r="E20" s="468">
        <v>139</v>
      </c>
      <c r="F20" s="468">
        <v>24186</v>
      </c>
      <c r="G20" s="465">
        <v>1</v>
      </c>
      <c r="H20" s="465">
        <v>174</v>
      </c>
      <c r="I20" s="468">
        <v>201</v>
      </c>
      <c r="J20" s="468">
        <v>35175</v>
      </c>
      <c r="K20" s="465">
        <v>1.4543537583726123</v>
      </c>
      <c r="L20" s="465">
        <v>175</v>
      </c>
      <c r="M20" s="468">
        <v>246</v>
      </c>
      <c r="N20" s="468">
        <v>43412</v>
      </c>
      <c r="O20" s="517">
        <v>1.7949226825436202</v>
      </c>
      <c r="P20" s="469">
        <v>176.47154471544715</v>
      </c>
    </row>
    <row r="21" spans="1:16" ht="14.4" customHeight="1" x14ac:dyDescent="0.3">
      <c r="A21" s="464" t="s">
        <v>1769</v>
      </c>
      <c r="B21" s="465" t="s">
        <v>1756</v>
      </c>
      <c r="C21" s="465" t="s">
        <v>1785</v>
      </c>
      <c r="D21" s="465" t="s">
        <v>1786</v>
      </c>
      <c r="E21" s="468">
        <v>104</v>
      </c>
      <c r="F21" s="468">
        <v>63336</v>
      </c>
      <c r="G21" s="465">
        <v>1</v>
      </c>
      <c r="H21" s="465">
        <v>609</v>
      </c>
      <c r="I21" s="468">
        <v>101</v>
      </c>
      <c r="J21" s="468">
        <v>61812</v>
      </c>
      <c r="K21" s="465">
        <v>0.97593785524820009</v>
      </c>
      <c r="L21" s="465">
        <v>612</v>
      </c>
      <c r="M21" s="468">
        <v>78</v>
      </c>
      <c r="N21" s="468">
        <v>48048</v>
      </c>
      <c r="O21" s="517">
        <v>0.75862068965517238</v>
      </c>
      <c r="P21" s="469">
        <v>616</v>
      </c>
    </row>
    <row r="22" spans="1:16" ht="14.4" customHeight="1" x14ac:dyDescent="0.3">
      <c r="A22" s="464" t="s">
        <v>1769</v>
      </c>
      <c r="B22" s="465" t="s">
        <v>1756</v>
      </c>
      <c r="C22" s="465" t="s">
        <v>1787</v>
      </c>
      <c r="D22" s="465" t="s">
        <v>1788</v>
      </c>
      <c r="E22" s="468">
        <v>245</v>
      </c>
      <c r="F22" s="468">
        <v>142590</v>
      </c>
      <c r="G22" s="465">
        <v>1</v>
      </c>
      <c r="H22" s="465">
        <v>582</v>
      </c>
      <c r="I22" s="468">
        <v>121</v>
      </c>
      <c r="J22" s="468">
        <v>70785</v>
      </c>
      <c r="K22" s="465">
        <v>0.49642331159267833</v>
      </c>
      <c r="L22" s="465">
        <v>585</v>
      </c>
      <c r="M22" s="468">
        <v>153</v>
      </c>
      <c r="N22" s="468">
        <v>90153</v>
      </c>
      <c r="O22" s="517">
        <v>0.63225331369661264</v>
      </c>
      <c r="P22" s="469">
        <v>589.23529411764707</v>
      </c>
    </row>
    <row r="23" spans="1:16" ht="14.4" customHeight="1" x14ac:dyDescent="0.3">
      <c r="A23" s="464" t="s">
        <v>1769</v>
      </c>
      <c r="B23" s="465" t="s">
        <v>1756</v>
      </c>
      <c r="C23" s="465" t="s">
        <v>1789</v>
      </c>
      <c r="D23" s="465" t="s">
        <v>1790</v>
      </c>
      <c r="E23" s="468">
        <v>1086</v>
      </c>
      <c r="F23" s="468">
        <v>171588</v>
      </c>
      <c r="G23" s="465">
        <v>1</v>
      </c>
      <c r="H23" s="465">
        <v>158</v>
      </c>
      <c r="I23" s="468">
        <v>1130</v>
      </c>
      <c r="J23" s="468">
        <v>179670</v>
      </c>
      <c r="K23" s="465">
        <v>1.0471011958878242</v>
      </c>
      <c r="L23" s="465">
        <v>159</v>
      </c>
      <c r="M23" s="468">
        <v>1198</v>
      </c>
      <c r="N23" s="468">
        <v>191376</v>
      </c>
      <c r="O23" s="517">
        <v>1.1153227498426463</v>
      </c>
      <c r="P23" s="469">
        <v>159.74624373956595</v>
      </c>
    </row>
    <row r="24" spans="1:16" ht="14.4" customHeight="1" x14ac:dyDescent="0.3">
      <c r="A24" s="464" t="s">
        <v>1769</v>
      </c>
      <c r="B24" s="465" t="s">
        <v>1756</v>
      </c>
      <c r="C24" s="465" t="s">
        <v>1791</v>
      </c>
      <c r="D24" s="465" t="s">
        <v>1792</v>
      </c>
      <c r="E24" s="468">
        <v>3538</v>
      </c>
      <c r="F24" s="468">
        <v>1351516</v>
      </c>
      <c r="G24" s="465">
        <v>1</v>
      </c>
      <c r="H24" s="465">
        <v>382</v>
      </c>
      <c r="I24" s="468">
        <v>3287</v>
      </c>
      <c r="J24" s="468">
        <v>1255634</v>
      </c>
      <c r="K24" s="465">
        <v>0.92905596382136801</v>
      </c>
      <c r="L24" s="465">
        <v>382</v>
      </c>
      <c r="M24" s="468">
        <v>2676</v>
      </c>
      <c r="N24" s="468">
        <v>1024140</v>
      </c>
      <c r="O24" s="517">
        <v>0.75777127314807968</v>
      </c>
      <c r="P24" s="469">
        <v>382.71300448430492</v>
      </c>
    </row>
    <row r="25" spans="1:16" ht="14.4" customHeight="1" x14ac:dyDescent="0.3">
      <c r="A25" s="464" t="s">
        <v>1769</v>
      </c>
      <c r="B25" s="465" t="s">
        <v>1756</v>
      </c>
      <c r="C25" s="465" t="s">
        <v>1793</v>
      </c>
      <c r="D25" s="465" t="s">
        <v>1794</v>
      </c>
      <c r="E25" s="468">
        <v>11333</v>
      </c>
      <c r="F25" s="468">
        <v>181328</v>
      </c>
      <c r="G25" s="465">
        <v>1</v>
      </c>
      <c r="H25" s="465">
        <v>16</v>
      </c>
      <c r="I25" s="468">
        <v>10146</v>
      </c>
      <c r="J25" s="468">
        <v>162336</v>
      </c>
      <c r="K25" s="465">
        <v>0.89526162534192177</v>
      </c>
      <c r="L25" s="465">
        <v>16</v>
      </c>
      <c r="M25" s="468">
        <v>9228</v>
      </c>
      <c r="N25" s="468">
        <v>147648</v>
      </c>
      <c r="O25" s="517">
        <v>0.81425924291890939</v>
      </c>
      <c r="P25" s="469">
        <v>16</v>
      </c>
    </row>
    <row r="26" spans="1:16" ht="14.4" customHeight="1" x14ac:dyDescent="0.3">
      <c r="A26" s="464" t="s">
        <v>1769</v>
      </c>
      <c r="B26" s="465" t="s">
        <v>1756</v>
      </c>
      <c r="C26" s="465" t="s">
        <v>1795</v>
      </c>
      <c r="D26" s="465" t="s">
        <v>1796</v>
      </c>
      <c r="E26" s="468"/>
      <c r="F26" s="468"/>
      <c r="G26" s="465"/>
      <c r="H26" s="465"/>
      <c r="I26" s="468">
        <v>1</v>
      </c>
      <c r="J26" s="468">
        <v>106</v>
      </c>
      <c r="K26" s="465"/>
      <c r="L26" s="465">
        <v>106</v>
      </c>
      <c r="M26" s="468"/>
      <c r="N26" s="468"/>
      <c r="O26" s="517"/>
      <c r="P26" s="469"/>
    </row>
    <row r="27" spans="1:16" ht="14.4" customHeight="1" x14ac:dyDescent="0.3">
      <c r="A27" s="464" t="s">
        <v>1769</v>
      </c>
      <c r="B27" s="465" t="s">
        <v>1756</v>
      </c>
      <c r="C27" s="465" t="s">
        <v>1797</v>
      </c>
      <c r="D27" s="465" t="s">
        <v>1798</v>
      </c>
      <c r="E27" s="468">
        <v>1254</v>
      </c>
      <c r="F27" s="468">
        <v>327294</v>
      </c>
      <c r="G27" s="465">
        <v>1</v>
      </c>
      <c r="H27" s="465">
        <v>261</v>
      </c>
      <c r="I27" s="468">
        <v>1244</v>
      </c>
      <c r="J27" s="468">
        <v>325928</v>
      </c>
      <c r="K27" s="465">
        <v>0.99582638239625532</v>
      </c>
      <c r="L27" s="465">
        <v>262</v>
      </c>
      <c r="M27" s="468">
        <v>1436</v>
      </c>
      <c r="N27" s="468">
        <v>379550</v>
      </c>
      <c r="O27" s="517">
        <v>1.1596607331634554</v>
      </c>
      <c r="P27" s="469">
        <v>264.31058495821725</v>
      </c>
    </row>
    <row r="28" spans="1:16" ht="14.4" customHeight="1" x14ac:dyDescent="0.3">
      <c r="A28" s="464" t="s">
        <v>1769</v>
      </c>
      <c r="B28" s="465" t="s">
        <v>1756</v>
      </c>
      <c r="C28" s="465" t="s">
        <v>1799</v>
      </c>
      <c r="D28" s="465" t="s">
        <v>1796</v>
      </c>
      <c r="E28" s="468">
        <v>1281</v>
      </c>
      <c r="F28" s="468">
        <v>179340</v>
      </c>
      <c r="G28" s="465">
        <v>1</v>
      </c>
      <c r="H28" s="465">
        <v>140</v>
      </c>
      <c r="I28" s="468">
        <v>1116</v>
      </c>
      <c r="J28" s="468">
        <v>157356</v>
      </c>
      <c r="K28" s="465">
        <v>0.87741719638675142</v>
      </c>
      <c r="L28" s="465">
        <v>141</v>
      </c>
      <c r="M28" s="468">
        <v>1344</v>
      </c>
      <c r="N28" s="468">
        <v>189504</v>
      </c>
      <c r="O28" s="517">
        <v>1.0566744730679156</v>
      </c>
      <c r="P28" s="469">
        <v>141</v>
      </c>
    </row>
    <row r="29" spans="1:16" ht="14.4" customHeight="1" x14ac:dyDescent="0.3">
      <c r="A29" s="464" t="s">
        <v>1769</v>
      </c>
      <c r="B29" s="465" t="s">
        <v>1756</v>
      </c>
      <c r="C29" s="465" t="s">
        <v>1800</v>
      </c>
      <c r="D29" s="465" t="s">
        <v>1796</v>
      </c>
      <c r="E29" s="468">
        <v>4265</v>
      </c>
      <c r="F29" s="468">
        <v>332670</v>
      </c>
      <c r="G29" s="465">
        <v>1</v>
      </c>
      <c r="H29" s="465">
        <v>78</v>
      </c>
      <c r="I29" s="468">
        <v>3700</v>
      </c>
      <c r="J29" s="468">
        <v>288600</v>
      </c>
      <c r="K29" s="465">
        <v>0.86752637749120753</v>
      </c>
      <c r="L29" s="465">
        <v>78</v>
      </c>
      <c r="M29" s="468">
        <v>3328</v>
      </c>
      <c r="N29" s="468">
        <v>259584</v>
      </c>
      <c r="O29" s="517">
        <v>0.78030480656506451</v>
      </c>
      <c r="P29" s="469">
        <v>78</v>
      </c>
    </row>
    <row r="30" spans="1:16" ht="14.4" customHeight="1" x14ac:dyDescent="0.3">
      <c r="A30" s="464" t="s">
        <v>1769</v>
      </c>
      <c r="B30" s="465" t="s">
        <v>1756</v>
      </c>
      <c r="C30" s="465" t="s">
        <v>1801</v>
      </c>
      <c r="D30" s="465" t="s">
        <v>1802</v>
      </c>
      <c r="E30" s="468">
        <v>1279</v>
      </c>
      <c r="F30" s="468">
        <v>386258</v>
      </c>
      <c r="G30" s="465">
        <v>1</v>
      </c>
      <c r="H30" s="465">
        <v>302</v>
      </c>
      <c r="I30" s="468">
        <v>1117</v>
      </c>
      <c r="J30" s="468">
        <v>338451</v>
      </c>
      <c r="K30" s="465">
        <v>0.87623039522806001</v>
      </c>
      <c r="L30" s="465">
        <v>303</v>
      </c>
      <c r="M30" s="468">
        <v>1346</v>
      </c>
      <c r="N30" s="468">
        <v>411003</v>
      </c>
      <c r="O30" s="517">
        <v>1.0640633980396523</v>
      </c>
      <c r="P30" s="469">
        <v>305.35141158989597</v>
      </c>
    </row>
    <row r="31" spans="1:16" ht="14.4" customHeight="1" x14ac:dyDescent="0.3">
      <c r="A31" s="464" t="s">
        <v>1769</v>
      </c>
      <c r="B31" s="465" t="s">
        <v>1756</v>
      </c>
      <c r="C31" s="465" t="s">
        <v>1763</v>
      </c>
      <c r="D31" s="465" t="s">
        <v>1764</v>
      </c>
      <c r="E31" s="468">
        <v>3</v>
      </c>
      <c r="F31" s="468">
        <v>132</v>
      </c>
      <c r="G31" s="465">
        <v>1</v>
      </c>
      <c r="H31" s="465">
        <v>44</v>
      </c>
      <c r="I31" s="468"/>
      <c r="J31" s="468"/>
      <c r="K31" s="465"/>
      <c r="L31" s="465"/>
      <c r="M31" s="468"/>
      <c r="N31" s="468"/>
      <c r="O31" s="517"/>
      <c r="P31" s="469"/>
    </row>
    <row r="32" spans="1:16" ht="14.4" customHeight="1" x14ac:dyDescent="0.3">
      <c r="A32" s="464" t="s">
        <v>1769</v>
      </c>
      <c r="B32" s="465" t="s">
        <v>1756</v>
      </c>
      <c r="C32" s="465" t="s">
        <v>1803</v>
      </c>
      <c r="D32" s="465" t="s">
        <v>1804</v>
      </c>
      <c r="E32" s="468">
        <v>4940</v>
      </c>
      <c r="F32" s="468">
        <v>2400840</v>
      </c>
      <c r="G32" s="465">
        <v>1</v>
      </c>
      <c r="H32" s="465">
        <v>486</v>
      </c>
      <c r="I32" s="468">
        <v>4048</v>
      </c>
      <c r="J32" s="468">
        <v>1967328</v>
      </c>
      <c r="K32" s="465">
        <v>0.81943319838056683</v>
      </c>
      <c r="L32" s="465">
        <v>486</v>
      </c>
      <c r="M32" s="468">
        <v>3606</v>
      </c>
      <c r="N32" s="468">
        <v>1755110</v>
      </c>
      <c r="O32" s="517">
        <v>0.7310399693440629</v>
      </c>
      <c r="P32" s="469">
        <v>486.7193566278425</v>
      </c>
    </row>
    <row r="33" spans="1:16" ht="14.4" customHeight="1" x14ac:dyDescent="0.3">
      <c r="A33" s="464" t="s">
        <v>1769</v>
      </c>
      <c r="B33" s="465" t="s">
        <v>1756</v>
      </c>
      <c r="C33" s="465" t="s">
        <v>1805</v>
      </c>
      <c r="D33" s="465" t="s">
        <v>1806</v>
      </c>
      <c r="E33" s="468">
        <v>3646</v>
      </c>
      <c r="F33" s="468">
        <v>579714</v>
      </c>
      <c r="G33" s="465">
        <v>1</v>
      </c>
      <c r="H33" s="465">
        <v>159</v>
      </c>
      <c r="I33" s="468">
        <v>3153</v>
      </c>
      <c r="J33" s="468">
        <v>504480</v>
      </c>
      <c r="K33" s="465">
        <v>0.87022221302228342</v>
      </c>
      <c r="L33" s="465">
        <v>160</v>
      </c>
      <c r="M33" s="468">
        <v>2903</v>
      </c>
      <c r="N33" s="468">
        <v>466570</v>
      </c>
      <c r="O33" s="517">
        <v>0.80482789789447895</v>
      </c>
      <c r="P33" s="469">
        <v>160.71994488460214</v>
      </c>
    </row>
    <row r="34" spans="1:16" ht="14.4" customHeight="1" x14ac:dyDescent="0.3">
      <c r="A34" s="464" t="s">
        <v>1769</v>
      </c>
      <c r="B34" s="465" t="s">
        <v>1756</v>
      </c>
      <c r="C34" s="465" t="s">
        <v>1807</v>
      </c>
      <c r="D34" s="465" t="s">
        <v>1808</v>
      </c>
      <c r="E34" s="468">
        <v>4386</v>
      </c>
      <c r="F34" s="468">
        <v>1026324</v>
      </c>
      <c r="G34" s="465">
        <v>1</v>
      </c>
      <c r="H34" s="465">
        <v>234</v>
      </c>
      <c r="I34" s="468">
        <v>3754</v>
      </c>
      <c r="J34" s="468">
        <v>878436</v>
      </c>
      <c r="K34" s="465">
        <v>0.85590515275877788</v>
      </c>
      <c r="L34" s="465">
        <v>234</v>
      </c>
      <c r="M34" s="468">
        <v>3308</v>
      </c>
      <c r="N34" s="468">
        <v>776444</v>
      </c>
      <c r="O34" s="517">
        <v>0.75652912725416144</v>
      </c>
      <c r="P34" s="469">
        <v>234.71704957678355</v>
      </c>
    </row>
    <row r="35" spans="1:16" ht="14.4" customHeight="1" x14ac:dyDescent="0.3">
      <c r="A35" s="464" t="s">
        <v>1769</v>
      </c>
      <c r="B35" s="465" t="s">
        <v>1756</v>
      </c>
      <c r="C35" s="465" t="s">
        <v>1809</v>
      </c>
      <c r="D35" s="465" t="s">
        <v>1774</v>
      </c>
      <c r="E35" s="468">
        <v>2792</v>
      </c>
      <c r="F35" s="468">
        <v>195440</v>
      </c>
      <c r="G35" s="465">
        <v>1</v>
      </c>
      <c r="H35" s="465">
        <v>70</v>
      </c>
      <c r="I35" s="468">
        <v>2679</v>
      </c>
      <c r="J35" s="468">
        <v>187530</v>
      </c>
      <c r="K35" s="465">
        <v>0.95952722063037255</v>
      </c>
      <c r="L35" s="465">
        <v>70</v>
      </c>
      <c r="M35" s="468">
        <v>2753</v>
      </c>
      <c r="N35" s="468">
        <v>194684</v>
      </c>
      <c r="O35" s="517">
        <v>0.99613180515759314</v>
      </c>
      <c r="P35" s="469">
        <v>70.717035960770076</v>
      </c>
    </row>
    <row r="36" spans="1:16" ht="14.4" customHeight="1" x14ac:dyDescent="0.3">
      <c r="A36" s="464" t="s">
        <v>1769</v>
      </c>
      <c r="B36" s="465" t="s">
        <v>1756</v>
      </c>
      <c r="C36" s="465" t="s">
        <v>1810</v>
      </c>
      <c r="D36" s="465" t="s">
        <v>1811</v>
      </c>
      <c r="E36" s="468">
        <v>2475</v>
      </c>
      <c r="F36" s="468">
        <v>175725</v>
      </c>
      <c r="G36" s="465">
        <v>1</v>
      </c>
      <c r="H36" s="465">
        <v>71</v>
      </c>
      <c r="I36" s="468">
        <v>1421</v>
      </c>
      <c r="J36" s="468">
        <v>102312</v>
      </c>
      <c r="K36" s="465">
        <v>0.58222791293213827</v>
      </c>
      <c r="L36" s="465">
        <v>72</v>
      </c>
      <c r="M36" s="468">
        <v>1309</v>
      </c>
      <c r="N36" s="468">
        <v>95201</v>
      </c>
      <c r="O36" s="517">
        <v>0.54176127471902125</v>
      </c>
      <c r="P36" s="469">
        <v>72.728036669213139</v>
      </c>
    </row>
    <row r="37" spans="1:16" ht="14.4" customHeight="1" x14ac:dyDescent="0.3">
      <c r="A37" s="464" t="s">
        <v>1769</v>
      </c>
      <c r="B37" s="465" t="s">
        <v>1756</v>
      </c>
      <c r="C37" s="465" t="s">
        <v>1812</v>
      </c>
      <c r="D37" s="465" t="s">
        <v>1813</v>
      </c>
      <c r="E37" s="468">
        <v>5913</v>
      </c>
      <c r="F37" s="468">
        <v>1673379</v>
      </c>
      <c r="G37" s="465">
        <v>1</v>
      </c>
      <c r="H37" s="465">
        <v>283</v>
      </c>
      <c r="I37" s="468">
        <v>5624</v>
      </c>
      <c r="J37" s="468">
        <v>1591592</v>
      </c>
      <c r="K37" s="465">
        <v>0.95112464062235746</v>
      </c>
      <c r="L37" s="465">
        <v>283</v>
      </c>
      <c r="M37" s="468">
        <v>4854</v>
      </c>
      <c r="N37" s="468">
        <v>1377189</v>
      </c>
      <c r="O37" s="517">
        <v>0.8229988544137341</v>
      </c>
      <c r="P37" s="469">
        <v>283.72249690976514</v>
      </c>
    </row>
    <row r="38" spans="1:16" ht="14.4" customHeight="1" x14ac:dyDescent="0.3">
      <c r="A38" s="464" t="s">
        <v>1769</v>
      </c>
      <c r="B38" s="465" t="s">
        <v>1756</v>
      </c>
      <c r="C38" s="465" t="s">
        <v>1814</v>
      </c>
      <c r="D38" s="465" t="s">
        <v>1815</v>
      </c>
      <c r="E38" s="468">
        <v>259</v>
      </c>
      <c r="F38" s="468">
        <v>55685</v>
      </c>
      <c r="G38" s="465">
        <v>1</v>
      </c>
      <c r="H38" s="465">
        <v>215</v>
      </c>
      <c r="I38" s="468">
        <v>279</v>
      </c>
      <c r="J38" s="468">
        <v>60264</v>
      </c>
      <c r="K38" s="465">
        <v>1.0822304031606358</v>
      </c>
      <c r="L38" s="465">
        <v>216</v>
      </c>
      <c r="M38" s="468">
        <v>267</v>
      </c>
      <c r="N38" s="468">
        <v>58263</v>
      </c>
      <c r="O38" s="517">
        <v>1.0462961300170603</v>
      </c>
      <c r="P38" s="469">
        <v>218.2134831460674</v>
      </c>
    </row>
    <row r="39" spans="1:16" ht="14.4" customHeight="1" x14ac:dyDescent="0.3">
      <c r="A39" s="464" t="s">
        <v>1769</v>
      </c>
      <c r="B39" s="465" t="s">
        <v>1756</v>
      </c>
      <c r="C39" s="465" t="s">
        <v>1816</v>
      </c>
      <c r="D39" s="465" t="s">
        <v>1817</v>
      </c>
      <c r="E39" s="468">
        <v>781</v>
      </c>
      <c r="F39" s="468">
        <v>926266</v>
      </c>
      <c r="G39" s="465">
        <v>1</v>
      </c>
      <c r="H39" s="465">
        <v>1186</v>
      </c>
      <c r="I39" s="468">
        <v>781</v>
      </c>
      <c r="J39" s="468">
        <v>928609</v>
      </c>
      <c r="K39" s="465">
        <v>1.0025295109612142</v>
      </c>
      <c r="L39" s="465">
        <v>1189</v>
      </c>
      <c r="M39" s="468">
        <v>794</v>
      </c>
      <c r="N39" s="468">
        <v>946314</v>
      </c>
      <c r="O39" s="517">
        <v>1.0216438906318488</v>
      </c>
      <c r="P39" s="469">
        <v>1191.831234256927</v>
      </c>
    </row>
    <row r="40" spans="1:16" ht="14.4" customHeight="1" x14ac:dyDescent="0.3">
      <c r="A40" s="464" t="s">
        <v>1769</v>
      </c>
      <c r="B40" s="465" t="s">
        <v>1756</v>
      </c>
      <c r="C40" s="465" t="s">
        <v>1818</v>
      </c>
      <c r="D40" s="465" t="s">
        <v>1819</v>
      </c>
      <c r="E40" s="468">
        <v>971</v>
      </c>
      <c r="F40" s="468">
        <v>103897</v>
      </c>
      <c r="G40" s="465">
        <v>1</v>
      </c>
      <c r="H40" s="465">
        <v>107</v>
      </c>
      <c r="I40" s="468">
        <v>932</v>
      </c>
      <c r="J40" s="468">
        <v>100656</v>
      </c>
      <c r="K40" s="465">
        <v>0.96880564405132008</v>
      </c>
      <c r="L40" s="465">
        <v>108</v>
      </c>
      <c r="M40" s="468">
        <v>883</v>
      </c>
      <c r="N40" s="468">
        <v>96008</v>
      </c>
      <c r="O40" s="517">
        <v>0.92406902990461703</v>
      </c>
      <c r="P40" s="469">
        <v>108.72933182332956</v>
      </c>
    </row>
    <row r="41" spans="1:16" ht="14.4" customHeight="1" x14ac:dyDescent="0.3">
      <c r="A41" s="464" t="s">
        <v>1769</v>
      </c>
      <c r="B41" s="465" t="s">
        <v>1756</v>
      </c>
      <c r="C41" s="465" t="s">
        <v>1820</v>
      </c>
      <c r="D41" s="465" t="s">
        <v>1821</v>
      </c>
      <c r="E41" s="468">
        <v>0</v>
      </c>
      <c r="F41" s="468">
        <v>0</v>
      </c>
      <c r="G41" s="465"/>
      <c r="H41" s="465"/>
      <c r="I41" s="468"/>
      <c r="J41" s="468"/>
      <c r="K41" s="465"/>
      <c r="L41" s="465"/>
      <c r="M41" s="468"/>
      <c r="N41" s="468"/>
      <c r="O41" s="517"/>
      <c r="P41" s="469"/>
    </row>
    <row r="42" spans="1:16" ht="14.4" customHeight="1" x14ac:dyDescent="0.3">
      <c r="A42" s="464" t="s">
        <v>1769</v>
      </c>
      <c r="B42" s="465" t="s">
        <v>1756</v>
      </c>
      <c r="C42" s="465" t="s">
        <v>1822</v>
      </c>
      <c r="D42" s="465" t="s">
        <v>1823</v>
      </c>
      <c r="E42" s="468">
        <v>179</v>
      </c>
      <c r="F42" s="468">
        <v>56922</v>
      </c>
      <c r="G42" s="465">
        <v>1</v>
      </c>
      <c r="H42" s="465">
        <v>318</v>
      </c>
      <c r="I42" s="468">
        <v>100</v>
      </c>
      <c r="J42" s="468">
        <v>31900</v>
      </c>
      <c r="K42" s="465">
        <v>0.56041600787041912</v>
      </c>
      <c r="L42" s="465">
        <v>319</v>
      </c>
      <c r="M42" s="468">
        <v>43</v>
      </c>
      <c r="N42" s="468">
        <v>13798</v>
      </c>
      <c r="O42" s="517">
        <v>0.24240188327887285</v>
      </c>
      <c r="P42" s="469">
        <v>320.88372093023258</v>
      </c>
    </row>
    <row r="43" spans="1:16" ht="14.4" customHeight="1" x14ac:dyDescent="0.3">
      <c r="A43" s="464" t="s">
        <v>1769</v>
      </c>
      <c r="B43" s="465" t="s">
        <v>1756</v>
      </c>
      <c r="C43" s="465" t="s">
        <v>1824</v>
      </c>
      <c r="D43" s="465" t="s">
        <v>1825</v>
      </c>
      <c r="E43" s="468">
        <v>742</v>
      </c>
      <c r="F43" s="468">
        <v>41552</v>
      </c>
      <c r="G43" s="465">
        <v>1</v>
      </c>
      <c r="H43" s="465">
        <v>56</v>
      </c>
      <c r="I43" s="468">
        <v>555</v>
      </c>
      <c r="J43" s="468">
        <v>31080</v>
      </c>
      <c r="K43" s="465">
        <v>0.74797843665768193</v>
      </c>
      <c r="L43" s="465">
        <v>56</v>
      </c>
      <c r="M43" s="468">
        <v>481</v>
      </c>
      <c r="N43" s="468">
        <v>27280</v>
      </c>
      <c r="O43" s="517">
        <v>0.65652676164805546</v>
      </c>
      <c r="P43" s="469">
        <v>56.715176715176717</v>
      </c>
    </row>
    <row r="44" spans="1:16" ht="14.4" customHeight="1" x14ac:dyDescent="0.3">
      <c r="A44" s="464" t="s">
        <v>1769</v>
      </c>
      <c r="B44" s="465" t="s">
        <v>1756</v>
      </c>
      <c r="C44" s="465" t="s">
        <v>1826</v>
      </c>
      <c r="D44" s="465" t="s">
        <v>1827</v>
      </c>
      <c r="E44" s="468">
        <v>37</v>
      </c>
      <c r="F44" s="468">
        <v>5291</v>
      </c>
      <c r="G44" s="465">
        <v>1</v>
      </c>
      <c r="H44" s="465">
        <v>143</v>
      </c>
      <c r="I44" s="468">
        <v>25</v>
      </c>
      <c r="J44" s="468">
        <v>3600</v>
      </c>
      <c r="K44" s="465">
        <v>0.68040068040068036</v>
      </c>
      <c r="L44" s="465">
        <v>144</v>
      </c>
      <c r="M44" s="468">
        <v>5</v>
      </c>
      <c r="N44" s="468">
        <v>722</v>
      </c>
      <c r="O44" s="517">
        <v>0.13645813645813645</v>
      </c>
      <c r="P44" s="469">
        <v>144.4</v>
      </c>
    </row>
    <row r="45" spans="1:16" ht="14.4" customHeight="1" x14ac:dyDescent="0.3">
      <c r="A45" s="464" t="s">
        <v>1769</v>
      </c>
      <c r="B45" s="465" t="s">
        <v>1756</v>
      </c>
      <c r="C45" s="465" t="s">
        <v>1828</v>
      </c>
      <c r="D45" s="465" t="s">
        <v>1829</v>
      </c>
      <c r="E45" s="468">
        <v>63</v>
      </c>
      <c r="F45" s="468">
        <v>63945</v>
      </c>
      <c r="G45" s="465">
        <v>1</v>
      </c>
      <c r="H45" s="465">
        <v>1015</v>
      </c>
      <c r="I45" s="468">
        <v>61</v>
      </c>
      <c r="J45" s="468">
        <v>62220</v>
      </c>
      <c r="K45" s="465">
        <v>0.97302369223551488</v>
      </c>
      <c r="L45" s="465">
        <v>1020</v>
      </c>
      <c r="M45" s="468">
        <v>63</v>
      </c>
      <c r="N45" s="468">
        <v>64692</v>
      </c>
      <c r="O45" s="517">
        <v>1.0116819141449684</v>
      </c>
      <c r="P45" s="469">
        <v>1026.8571428571429</v>
      </c>
    </row>
    <row r="46" spans="1:16" ht="14.4" customHeight="1" x14ac:dyDescent="0.3">
      <c r="A46" s="464" t="s">
        <v>1769</v>
      </c>
      <c r="B46" s="465" t="s">
        <v>1756</v>
      </c>
      <c r="C46" s="465" t="s">
        <v>1830</v>
      </c>
      <c r="D46" s="465" t="s">
        <v>1831</v>
      </c>
      <c r="E46" s="468">
        <v>23</v>
      </c>
      <c r="F46" s="468">
        <v>6670</v>
      </c>
      <c r="G46" s="465">
        <v>1</v>
      </c>
      <c r="H46" s="465">
        <v>290</v>
      </c>
      <c r="I46" s="468">
        <v>27</v>
      </c>
      <c r="J46" s="468">
        <v>7857</v>
      </c>
      <c r="K46" s="465">
        <v>1.1779610194902548</v>
      </c>
      <c r="L46" s="465">
        <v>291</v>
      </c>
      <c r="M46" s="468">
        <v>30</v>
      </c>
      <c r="N46" s="468">
        <v>8774</v>
      </c>
      <c r="O46" s="517">
        <v>1.3154422788605697</v>
      </c>
      <c r="P46" s="469">
        <v>292.46666666666664</v>
      </c>
    </row>
    <row r="47" spans="1:16" ht="14.4" customHeight="1" x14ac:dyDescent="0.3">
      <c r="A47" s="464" t="s">
        <v>1769</v>
      </c>
      <c r="B47" s="465" t="s">
        <v>1756</v>
      </c>
      <c r="C47" s="465" t="s">
        <v>1832</v>
      </c>
      <c r="D47" s="465" t="s">
        <v>1833</v>
      </c>
      <c r="E47" s="468">
        <v>2</v>
      </c>
      <c r="F47" s="468">
        <v>1526</v>
      </c>
      <c r="G47" s="465">
        <v>1</v>
      </c>
      <c r="H47" s="465">
        <v>763</v>
      </c>
      <c r="I47" s="468"/>
      <c r="J47" s="468"/>
      <c r="K47" s="465"/>
      <c r="L47" s="465"/>
      <c r="M47" s="468"/>
      <c r="N47" s="468"/>
      <c r="O47" s="517"/>
      <c r="P47" s="469"/>
    </row>
    <row r="48" spans="1:16" ht="14.4" customHeight="1" x14ac:dyDescent="0.3">
      <c r="A48" s="464" t="s">
        <v>1769</v>
      </c>
      <c r="B48" s="465" t="s">
        <v>1756</v>
      </c>
      <c r="C48" s="465" t="s">
        <v>1834</v>
      </c>
      <c r="D48" s="465" t="s">
        <v>1835</v>
      </c>
      <c r="E48" s="468"/>
      <c r="F48" s="468"/>
      <c r="G48" s="465"/>
      <c r="H48" s="465"/>
      <c r="I48" s="468">
        <v>6</v>
      </c>
      <c r="J48" s="468">
        <v>156</v>
      </c>
      <c r="K48" s="465"/>
      <c r="L48" s="465">
        <v>26</v>
      </c>
      <c r="M48" s="468"/>
      <c r="N48" s="468"/>
      <c r="O48" s="517"/>
      <c r="P48" s="469"/>
    </row>
    <row r="49" spans="1:16" ht="14.4" customHeight="1" thickBot="1" x14ac:dyDescent="0.35">
      <c r="A49" s="470" t="s">
        <v>1769</v>
      </c>
      <c r="B49" s="471" t="s">
        <v>1756</v>
      </c>
      <c r="C49" s="471" t="s">
        <v>1836</v>
      </c>
      <c r="D49" s="471" t="s">
        <v>1837</v>
      </c>
      <c r="E49" s="474"/>
      <c r="F49" s="474"/>
      <c r="G49" s="471"/>
      <c r="H49" s="471"/>
      <c r="I49" s="474">
        <v>2</v>
      </c>
      <c r="J49" s="474">
        <v>1448</v>
      </c>
      <c r="K49" s="471"/>
      <c r="L49" s="471">
        <v>724</v>
      </c>
      <c r="M49" s="474">
        <v>3</v>
      </c>
      <c r="N49" s="474">
        <v>2184</v>
      </c>
      <c r="O49" s="482"/>
      <c r="P49" s="475">
        <v>728</v>
      </c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334" t="s">
        <v>128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5" t="s">
        <v>282</v>
      </c>
      <c r="B2" s="227"/>
      <c r="C2" s="111"/>
      <c r="D2" s="227"/>
      <c r="E2" s="111"/>
      <c r="F2" s="227"/>
      <c r="G2" s="228"/>
      <c r="H2" s="227"/>
      <c r="I2" s="111"/>
      <c r="J2" s="227"/>
      <c r="K2" s="111"/>
      <c r="L2" s="227"/>
      <c r="M2" s="228"/>
      <c r="N2" s="227"/>
      <c r="O2" s="111"/>
      <c r="P2" s="227"/>
      <c r="Q2" s="111"/>
      <c r="R2" s="227"/>
      <c r="S2" s="228"/>
    </row>
    <row r="3" spans="1:19" ht="14.4" customHeight="1" thickBot="1" x14ac:dyDescent="0.35">
      <c r="A3" s="221" t="s">
        <v>129</v>
      </c>
      <c r="B3" s="222">
        <f>SUBTOTAL(9,B6:B1048576)</f>
        <v>12812958</v>
      </c>
      <c r="C3" s="223">
        <f t="shared" ref="C3:R3" si="0">SUBTOTAL(9,C6:C1048576)</f>
        <v>26</v>
      </c>
      <c r="D3" s="223">
        <f t="shared" si="0"/>
        <v>13187325</v>
      </c>
      <c r="E3" s="223">
        <f t="shared" si="0"/>
        <v>30.014196380488013</v>
      </c>
      <c r="F3" s="223">
        <f t="shared" si="0"/>
        <v>13821743</v>
      </c>
      <c r="G3" s="226">
        <f>IF(B3&lt;&gt;0,F3/B3,"")</f>
        <v>1.0787316246568512</v>
      </c>
      <c r="H3" s="222">
        <f t="shared" si="0"/>
        <v>0</v>
      </c>
      <c r="I3" s="223">
        <f t="shared" si="0"/>
        <v>0</v>
      </c>
      <c r="J3" s="223">
        <f t="shared" si="0"/>
        <v>0</v>
      </c>
      <c r="K3" s="223">
        <f t="shared" si="0"/>
        <v>0</v>
      </c>
      <c r="L3" s="223">
        <f t="shared" si="0"/>
        <v>0</v>
      </c>
      <c r="M3" s="224" t="str">
        <f>IF(H3&lt;&gt;0,L3/H3,"")</f>
        <v/>
      </c>
      <c r="N3" s="225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398" t="s">
        <v>106</v>
      </c>
      <c r="B4" s="399" t="s">
        <v>100</v>
      </c>
      <c r="C4" s="400"/>
      <c r="D4" s="400"/>
      <c r="E4" s="400"/>
      <c r="F4" s="400"/>
      <c r="G4" s="401"/>
      <c r="H4" s="399" t="s">
        <v>101</v>
      </c>
      <c r="I4" s="400"/>
      <c r="J4" s="400"/>
      <c r="K4" s="400"/>
      <c r="L4" s="400"/>
      <c r="M4" s="401"/>
      <c r="N4" s="399" t="s">
        <v>102</v>
      </c>
      <c r="O4" s="400"/>
      <c r="P4" s="400"/>
      <c r="Q4" s="400"/>
      <c r="R4" s="400"/>
      <c r="S4" s="401"/>
    </row>
    <row r="5" spans="1:19" ht="14.4" customHeight="1" thickBot="1" x14ac:dyDescent="0.35">
      <c r="A5" s="586"/>
      <c r="B5" s="587">
        <v>2012</v>
      </c>
      <c r="C5" s="588"/>
      <c r="D5" s="588">
        <v>2013</v>
      </c>
      <c r="E5" s="588"/>
      <c r="F5" s="588">
        <v>2014</v>
      </c>
      <c r="G5" s="589" t="s">
        <v>2</v>
      </c>
      <c r="H5" s="587">
        <v>2012</v>
      </c>
      <c r="I5" s="588"/>
      <c r="J5" s="588">
        <v>2013</v>
      </c>
      <c r="K5" s="588"/>
      <c r="L5" s="588">
        <v>2014</v>
      </c>
      <c r="M5" s="589" t="s">
        <v>2</v>
      </c>
      <c r="N5" s="587">
        <v>2012</v>
      </c>
      <c r="O5" s="588"/>
      <c r="P5" s="588">
        <v>2013</v>
      </c>
      <c r="Q5" s="588"/>
      <c r="R5" s="588">
        <v>2014</v>
      </c>
      <c r="S5" s="589" t="s">
        <v>2</v>
      </c>
    </row>
    <row r="6" spans="1:19" ht="14.4" customHeight="1" x14ac:dyDescent="0.3">
      <c r="A6" s="548" t="s">
        <v>1839</v>
      </c>
      <c r="B6" s="590">
        <v>579397</v>
      </c>
      <c r="C6" s="531">
        <v>1</v>
      </c>
      <c r="D6" s="590">
        <v>552781</v>
      </c>
      <c r="E6" s="531">
        <v>0.95406258575726144</v>
      </c>
      <c r="F6" s="590">
        <v>565411</v>
      </c>
      <c r="G6" s="536">
        <v>0.97586111077551319</v>
      </c>
      <c r="H6" s="590"/>
      <c r="I6" s="531"/>
      <c r="J6" s="590"/>
      <c r="K6" s="531"/>
      <c r="L6" s="590"/>
      <c r="M6" s="536"/>
      <c r="N6" s="590"/>
      <c r="O6" s="531"/>
      <c r="P6" s="590"/>
      <c r="Q6" s="531"/>
      <c r="R6" s="590"/>
      <c r="S6" s="122"/>
    </row>
    <row r="7" spans="1:19" ht="14.4" customHeight="1" x14ac:dyDescent="0.3">
      <c r="A7" s="549" t="s">
        <v>1840</v>
      </c>
      <c r="B7" s="597">
        <v>843616</v>
      </c>
      <c r="C7" s="465">
        <v>1</v>
      </c>
      <c r="D7" s="597">
        <v>939037</v>
      </c>
      <c r="E7" s="465">
        <v>1.113109519022873</v>
      </c>
      <c r="F7" s="597">
        <v>982070</v>
      </c>
      <c r="G7" s="517">
        <v>1.1641196942684824</v>
      </c>
      <c r="H7" s="597"/>
      <c r="I7" s="465"/>
      <c r="J7" s="597"/>
      <c r="K7" s="465"/>
      <c r="L7" s="597"/>
      <c r="M7" s="517"/>
      <c r="N7" s="597"/>
      <c r="O7" s="465"/>
      <c r="P7" s="597"/>
      <c r="Q7" s="465"/>
      <c r="R7" s="597"/>
      <c r="S7" s="518"/>
    </row>
    <row r="8" spans="1:19" ht="14.4" customHeight="1" x14ac:dyDescent="0.3">
      <c r="A8" s="549" t="s">
        <v>1841</v>
      </c>
      <c r="B8" s="597">
        <v>526017</v>
      </c>
      <c r="C8" s="465">
        <v>1</v>
      </c>
      <c r="D8" s="597">
        <v>492271</v>
      </c>
      <c r="E8" s="465">
        <v>0.9358461798763158</v>
      </c>
      <c r="F8" s="597">
        <v>466830</v>
      </c>
      <c r="G8" s="517">
        <v>0.88748082286313945</v>
      </c>
      <c r="H8" s="597"/>
      <c r="I8" s="465"/>
      <c r="J8" s="597"/>
      <c r="K8" s="465"/>
      <c r="L8" s="597"/>
      <c r="M8" s="517"/>
      <c r="N8" s="597"/>
      <c r="O8" s="465"/>
      <c r="P8" s="597"/>
      <c r="Q8" s="465"/>
      <c r="R8" s="597"/>
      <c r="S8" s="518"/>
    </row>
    <row r="9" spans="1:19" ht="14.4" customHeight="1" x14ac:dyDescent="0.3">
      <c r="A9" s="549" t="s">
        <v>1842</v>
      </c>
      <c r="B9" s="597">
        <v>1112835</v>
      </c>
      <c r="C9" s="465">
        <v>1</v>
      </c>
      <c r="D9" s="597">
        <v>1028389</v>
      </c>
      <c r="E9" s="465">
        <v>0.92411633350856148</v>
      </c>
      <c r="F9" s="597">
        <v>1212117</v>
      </c>
      <c r="G9" s="517">
        <v>1.0892153823343083</v>
      </c>
      <c r="H9" s="597"/>
      <c r="I9" s="465"/>
      <c r="J9" s="597"/>
      <c r="K9" s="465"/>
      <c r="L9" s="597"/>
      <c r="M9" s="517"/>
      <c r="N9" s="597"/>
      <c r="O9" s="465"/>
      <c r="P9" s="597"/>
      <c r="Q9" s="465"/>
      <c r="R9" s="597"/>
      <c r="S9" s="518"/>
    </row>
    <row r="10" spans="1:19" ht="14.4" customHeight="1" x14ac:dyDescent="0.3">
      <c r="A10" s="549" t="s">
        <v>1843</v>
      </c>
      <c r="B10" s="597">
        <v>501065</v>
      </c>
      <c r="C10" s="465">
        <v>1</v>
      </c>
      <c r="D10" s="597">
        <v>544097</v>
      </c>
      <c r="E10" s="465">
        <v>1.0858810733138415</v>
      </c>
      <c r="F10" s="597">
        <v>603731</v>
      </c>
      <c r="G10" s="517">
        <v>1.2048955724307227</v>
      </c>
      <c r="H10" s="597"/>
      <c r="I10" s="465"/>
      <c r="J10" s="597"/>
      <c r="K10" s="465"/>
      <c r="L10" s="597"/>
      <c r="M10" s="517"/>
      <c r="N10" s="597"/>
      <c r="O10" s="465"/>
      <c r="P10" s="597"/>
      <c r="Q10" s="465"/>
      <c r="R10" s="597"/>
      <c r="S10" s="518"/>
    </row>
    <row r="11" spans="1:19" ht="14.4" customHeight="1" x14ac:dyDescent="0.3">
      <c r="A11" s="549" t="s">
        <v>1844</v>
      </c>
      <c r="B11" s="597">
        <v>750016</v>
      </c>
      <c r="C11" s="465">
        <v>1</v>
      </c>
      <c r="D11" s="597">
        <v>786928</v>
      </c>
      <c r="E11" s="465">
        <v>1.049214950081065</v>
      </c>
      <c r="F11" s="597">
        <v>788501</v>
      </c>
      <c r="G11" s="517">
        <v>1.0513122386722416</v>
      </c>
      <c r="H11" s="597"/>
      <c r="I11" s="465"/>
      <c r="J11" s="597"/>
      <c r="K11" s="465"/>
      <c r="L11" s="597"/>
      <c r="M11" s="517"/>
      <c r="N11" s="597"/>
      <c r="O11" s="465"/>
      <c r="P11" s="597"/>
      <c r="Q11" s="465"/>
      <c r="R11" s="597"/>
      <c r="S11" s="518"/>
    </row>
    <row r="12" spans="1:19" ht="14.4" customHeight="1" x14ac:dyDescent="0.3">
      <c r="A12" s="549" t="s">
        <v>1845</v>
      </c>
      <c r="B12" s="597">
        <v>432100</v>
      </c>
      <c r="C12" s="465">
        <v>1</v>
      </c>
      <c r="D12" s="597">
        <v>461147</v>
      </c>
      <c r="E12" s="465">
        <v>1.0672228650775284</v>
      </c>
      <c r="F12" s="597">
        <v>586294</v>
      </c>
      <c r="G12" s="517">
        <v>1.3568479518629948</v>
      </c>
      <c r="H12" s="597"/>
      <c r="I12" s="465"/>
      <c r="J12" s="597"/>
      <c r="K12" s="465"/>
      <c r="L12" s="597"/>
      <c r="M12" s="517"/>
      <c r="N12" s="597"/>
      <c r="O12" s="465"/>
      <c r="P12" s="597"/>
      <c r="Q12" s="465"/>
      <c r="R12" s="597"/>
      <c r="S12" s="518"/>
    </row>
    <row r="13" spans="1:19" ht="14.4" customHeight="1" x14ac:dyDescent="0.3">
      <c r="A13" s="549" t="s">
        <v>1846</v>
      </c>
      <c r="B13" s="597">
        <v>1123469</v>
      </c>
      <c r="C13" s="465">
        <v>1</v>
      </c>
      <c r="D13" s="597">
        <v>695967</v>
      </c>
      <c r="E13" s="465">
        <v>0.61948037729567973</v>
      </c>
      <c r="F13" s="597">
        <v>648327</v>
      </c>
      <c r="G13" s="517">
        <v>0.57707600298717632</v>
      </c>
      <c r="H13" s="597"/>
      <c r="I13" s="465"/>
      <c r="J13" s="597"/>
      <c r="K13" s="465"/>
      <c r="L13" s="597"/>
      <c r="M13" s="517"/>
      <c r="N13" s="597"/>
      <c r="O13" s="465"/>
      <c r="P13" s="597"/>
      <c r="Q13" s="465"/>
      <c r="R13" s="597"/>
      <c r="S13" s="518"/>
    </row>
    <row r="14" spans="1:19" ht="14.4" customHeight="1" x14ac:dyDescent="0.3">
      <c r="A14" s="549" t="s">
        <v>1847</v>
      </c>
      <c r="B14" s="597">
        <v>1335939</v>
      </c>
      <c r="C14" s="465">
        <v>1</v>
      </c>
      <c r="D14" s="597">
        <v>1351975</v>
      </c>
      <c r="E14" s="465">
        <v>1.0120035420778943</v>
      </c>
      <c r="F14" s="597">
        <v>1407372</v>
      </c>
      <c r="G14" s="517">
        <v>1.0534702557526954</v>
      </c>
      <c r="H14" s="597"/>
      <c r="I14" s="465"/>
      <c r="J14" s="597"/>
      <c r="K14" s="465"/>
      <c r="L14" s="597"/>
      <c r="M14" s="517"/>
      <c r="N14" s="597"/>
      <c r="O14" s="465"/>
      <c r="P14" s="597"/>
      <c r="Q14" s="465"/>
      <c r="R14" s="597"/>
      <c r="S14" s="518"/>
    </row>
    <row r="15" spans="1:19" ht="14.4" customHeight="1" x14ac:dyDescent="0.3">
      <c r="A15" s="549" t="s">
        <v>1848</v>
      </c>
      <c r="B15" s="597">
        <v>257921</v>
      </c>
      <c r="C15" s="465">
        <v>1</v>
      </c>
      <c r="D15" s="597">
        <v>290881</v>
      </c>
      <c r="E15" s="465">
        <v>1.1277910678075844</v>
      </c>
      <c r="F15" s="597">
        <v>204244</v>
      </c>
      <c r="G15" s="517">
        <v>0.79188588753920774</v>
      </c>
      <c r="H15" s="597"/>
      <c r="I15" s="465"/>
      <c r="J15" s="597"/>
      <c r="K15" s="465"/>
      <c r="L15" s="597"/>
      <c r="M15" s="517"/>
      <c r="N15" s="597"/>
      <c r="O15" s="465"/>
      <c r="P15" s="597"/>
      <c r="Q15" s="465"/>
      <c r="R15" s="597"/>
      <c r="S15" s="518"/>
    </row>
    <row r="16" spans="1:19" ht="14.4" customHeight="1" x14ac:dyDescent="0.3">
      <c r="A16" s="549" t="s">
        <v>1849</v>
      </c>
      <c r="B16" s="597">
        <v>903806</v>
      </c>
      <c r="C16" s="465">
        <v>1</v>
      </c>
      <c r="D16" s="597">
        <v>1023338</v>
      </c>
      <c r="E16" s="465">
        <v>1.1322540456690926</v>
      </c>
      <c r="F16" s="597">
        <v>1015314</v>
      </c>
      <c r="G16" s="517">
        <v>1.1233760342374359</v>
      </c>
      <c r="H16" s="597"/>
      <c r="I16" s="465"/>
      <c r="J16" s="597"/>
      <c r="K16" s="465"/>
      <c r="L16" s="597"/>
      <c r="M16" s="517"/>
      <c r="N16" s="597"/>
      <c r="O16" s="465"/>
      <c r="P16" s="597"/>
      <c r="Q16" s="465"/>
      <c r="R16" s="597"/>
      <c r="S16" s="518"/>
    </row>
    <row r="17" spans="1:19" ht="14.4" customHeight="1" x14ac:dyDescent="0.3">
      <c r="A17" s="549" t="s">
        <v>1850</v>
      </c>
      <c r="B17" s="597">
        <v>480940</v>
      </c>
      <c r="C17" s="465">
        <v>1</v>
      </c>
      <c r="D17" s="597">
        <v>521372</v>
      </c>
      <c r="E17" s="465">
        <v>1.0840686987981869</v>
      </c>
      <c r="F17" s="597">
        <v>507238</v>
      </c>
      <c r="G17" s="517">
        <v>1.0546804175156985</v>
      </c>
      <c r="H17" s="597"/>
      <c r="I17" s="465"/>
      <c r="J17" s="597"/>
      <c r="K17" s="465"/>
      <c r="L17" s="597"/>
      <c r="M17" s="517"/>
      <c r="N17" s="597"/>
      <c r="O17" s="465"/>
      <c r="P17" s="597"/>
      <c r="Q17" s="465"/>
      <c r="R17" s="597"/>
      <c r="S17" s="518"/>
    </row>
    <row r="18" spans="1:19" ht="14.4" customHeight="1" x14ac:dyDescent="0.3">
      <c r="A18" s="549" t="s">
        <v>1851</v>
      </c>
      <c r="B18" s="597">
        <v>52311</v>
      </c>
      <c r="C18" s="465">
        <v>1</v>
      </c>
      <c r="D18" s="597">
        <v>75027</v>
      </c>
      <c r="E18" s="465">
        <v>1.4342490107243218</v>
      </c>
      <c r="F18" s="597">
        <v>26151</v>
      </c>
      <c r="G18" s="517">
        <v>0.49991397602798648</v>
      </c>
      <c r="H18" s="597"/>
      <c r="I18" s="465"/>
      <c r="J18" s="597"/>
      <c r="K18" s="465"/>
      <c r="L18" s="597"/>
      <c r="M18" s="517"/>
      <c r="N18" s="597"/>
      <c r="O18" s="465"/>
      <c r="P18" s="597"/>
      <c r="Q18" s="465"/>
      <c r="R18" s="597"/>
      <c r="S18" s="518"/>
    </row>
    <row r="19" spans="1:19" ht="14.4" customHeight="1" x14ac:dyDescent="0.3">
      <c r="A19" s="549" t="s">
        <v>1852</v>
      </c>
      <c r="B19" s="597"/>
      <c r="C19" s="465"/>
      <c r="D19" s="597">
        <v>336</v>
      </c>
      <c r="E19" s="465"/>
      <c r="F19" s="597"/>
      <c r="G19" s="517"/>
      <c r="H19" s="597"/>
      <c r="I19" s="465"/>
      <c r="J19" s="597"/>
      <c r="K19" s="465"/>
      <c r="L19" s="597"/>
      <c r="M19" s="517"/>
      <c r="N19" s="597"/>
      <c r="O19" s="465"/>
      <c r="P19" s="597"/>
      <c r="Q19" s="465"/>
      <c r="R19" s="597"/>
      <c r="S19" s="518"/>
    </row>
    <row r="20" spans="1:19" ht="14.4" customHeight="1" x14ac:dyDescent="0.3">
      <c r="A20" s="549" t="s">
        <v>1853</v>
      </c>
      <c r="B20" s="597">
        <v>162280</v>
      </c>
      <c r="C20" s="465">
        <v>1</v>
      </c>
      <c r="D20" s="597">
        <v>125276</v>
      </c>
      <c r="E20" s="465">
        <v>0.77197436529455266</v>
      </c>
      <c r="F20" s="597">
        <v>180168</v>
      </c>
      <c r="G20" s="517">
        <v>1.110229233423712</v>
      </c>
      <c r="H20" s="597"/>
      <c r="I20" s="465"/>
      <c r="J20" s="597"/>
      <c r="K20" s="465"/>
      <c r="L20" s="597"/>
      <c r="M20" s="517"/>
      <c r="N20" s="597"/>
      <c r="O20" s="465"/>
      <c r="P20" s="597"/>
      <c r="Q20" s="465"/>
      <c r="R20" s="597"/>
      <c r="S20" s="518"/>
    </row>
    <row r="21" spans="1:19" ht="14.4" customHeight="1" x14ac:dyDescent="0.3">
      <c r="A21" s="549" t="s">
        <v>1854</v>
      </c>
      <c r="B21" s="597">
        <v>34305</v>
      </c>
      <c r="C21" s="465">
        <v>1</v>
      </c>
      <c r="D21" s="597">
        <v>85790</v>
      </c>
      <c r="E21" s="465">
        <v>2.5008016324150999</v>
      </c>
      <c r="F21" s="597">
        <v>30550</v>
      </c>
      <c r="G21" s="517">
        <v>0.89054073750182194</v>
      </c>
      <c r="H21" s="597"/>
      <c r="I21" s="465"/>
      <c r="J21" s="597"/>
      <c r="K21" s="465"/>
      <c r="L21" s="597"/>
      <c r="M21" s="517"/>
      <c r="N21" s="597"/>
      <c r="O21" s="465"/>
      <c r="P21" s="597"/>
      <c r="Q21" s="465"/>
      <c r="R21" s="597"/>
      <c r="S21" s="518"/>
    </row>
    <row r="22" spans="1:19" ht="14.4" customHeight="1" x14ac:dyDescent="0.3">
      <c r="A22" s="549" t="s">
        <v>1855</v>
      </c>
      <c r="B22" s="597">
        <v>2407</v>
      </c>
      <c r="C22" s="465">
        <v>1</v>
      </c>
      <c r="D22" s="597"/>
      <c r="E22" s="465"/>
      <c r="F22" s="597"/>
      <c r="G22" s="517"/>
      <c r="H22" s="597"/>
      <c r="I22" s="465"/>
      <c r="J22" s="597"/>
      <c r="K22" s="465"/>
      <c r="L22" s="597"/>
      <c r="M22" s="517"/>
      <c r="N22" s="597"/>
      <c r="O22" s="465"/>
      <c r="P22" s="597"/>
      <c r="Q22" s="465"/>
      <c r="R22" s="597"/>
      <c r="S22" s="518"/>
    </row>
    <row r="23" spans="1:19" ht="14.4" customHeight="1" x14ac:dyDescent="0.3">
      <c r="A23" s="549" t="s">
        <v>1856</v>
      </c>
      <c r="B23" s="597">
        <v>6535</v>
      </c>
      <c r="C23" s="465">
        <v>1</v>
      </c>
      <c r="D23" s="597">
        <v>11008</v>
      </c>
      <c r="E23" s="465">
        <v>1.684468247895945</v>
      </c>
      <c r="F23" s="597">
        <v>17704</v>
      </c>
      <c r="G23" s="517">
        <v>2.7091048201989287</v>
      </c>
      <c r="H23" s="597"/>
      <c r="I23" s="465"/>
      <c r="J23" s="597"/>
      <c r="K23" s="465"/>
      <c r="L23" s="597"/>
      <c r="M23" s="517"/>
      <c r="N23" s="597"/>
      <c r="O23" s="465"/>
      <c r="P23" s="597"/>
      <c r="Q23" s="465"/>
      <c r="R23" s="597"/>
      <c r="S23" s="518"/>
    </row>
    <row r="24" spans="1:19" ht="14.4" customHeight="1" x14ac:dyDescent="0.3">
      <c r="A24" s="549" t="s">
        <v>1857</v>
      </c>
      <c r="B24" s="597">
        <v>363627</v>
      </c>
      <c r="C24" s="465">
        <v>1</v>
      </c>
      <c r="D24" s="597">
        <v>391193</v>
      </c>
      <c r="E24" s="465">
        <v>1.0758084520676408</v>
      </c>
      <c r="F24" s="597">
        <v>485638</v>
      </c>
      <c r="G24" s="517">
        <v>1.3355388901264207</v>
      </c>
      <c r="H24" s="597"/>
      <c r="I24" s="465"/>
      <c r="J24" s="597"/>
      <c r="K24" s="465"/>
      <c r="L24" s="597"/>
      <c r="M24" s="517"/>
      <c r="N24" s="597"/>
      <c r="O24" s="465"/>
      <c r="P24" s="597"/>
      <c r="Q24" s="465"/>
      <c r="R24" s="597"/>
      <c r="S24" s="518"/>
    </row>
    <row r="25" spans="1:19" ht="14.4" customHeight="1" x14ac:dyDescent="0.3">
      <c r="A25" s="549" t="s">
        <v>1858</v>
      </c>
      <c r="B25" s="597">
        <v>26109</v>
      </c>
      <c r="C25" s="465">
        <v>1</v>
      </c>
      <c r="D25" s="597">
        <v>76119</v>
      </c>
      <c r="E25" s="465">
        <v>2.9154314604159484</v>
      </c>
      <c r="F25" s="597">
        <v>35435</v>
      </c>
      <c r="G25" s="517">
        <v>1.3571948370293769</v>
      </c>
      <c r="H25" s="597"/>
      <c r="I25" s="465"/>
      <c r="J25" s="597"/>
      <c r="K25" s="465"/>
      <c r="L25" s="597"/>
      <c r="M25" s="517"/>
      <c r="N25" s="597"/>
      <c r="O25" s="465"/>
      <c r="P25" s="597"/>
      <c r="Q25" s="465"/>
      <c r="R25" s="597"/>
      <c r="S25" s="518"/>
    </row>
    <row r="26" spans="1:19" ht="14.4" customHeight="1" x14ac:dyDescent="0.3">
      <c r="A26" s="549" t="s">
        <v>1859</v>
      </c>
      <c r="B26" s="597">
        <v>3116</v>
      </c>
      <c r="C26" s="465">
        <v>1</v>
      </c>
      <c r="D26" s="597">
        <v>4884</v>
      </c>
      <c r="E26" s="465">
        <v>1.5673940949935816</v>
      </c>
      <c r="F26" s="597"/>
      <c r="G26" s="517"/>
      <c r="H26" s="597"/>
      <c r="I26" s="465"/>
      <c r="J26" s="597"/>
      <c r="K26" s="465"/>
      <c r="L26" s="597"/>
      <c r="M26" s="517"/>
      <c r="N26" s="597"/>
      <c r="O26" s="465"/>
      <c r="P26" s="597"/>
      <c r="Q26" s="465"/>
      <c r="R26" s="597"/>
      <c r="S26" s="518"/>
    </row>
    <row r="27" spans="1:19" ht="14.4" customHeight="1" x14ac:dyDescent="0.3">
      <c r="A27" s="549" t="s">
        <v>1860</v>
      </c>
      <c r="B27" s="597">
        <v>17517</v>
      </c>
      <c r="C27" s="465">
        <v>1</v>
      </c>
      <c r="D27" s="597"/>
      <c r="E27" s="465"/>
      <c r="F27" s="597"/>
      <c r="G27" s="517"/>
      <c r="H27" s="597"/>
      <c r="I27" s="465"/>
      <c r="J27" s="597"/>
      <c r="K27" s="465"/>
      <c r="L27" s="597"/>
      <c r="M27" s="517"/>
      <c r="N27" s="597"/>
      <c r="O27" s="465"/>
      <c r="P27" s="597"/>
      <c r="Q27" s="465"/>
      <c r="R27" s="597"/>
      <c r="S27" s="518"/>
    </row>
    <row r="28" spans="1:19" ht="14.4" customHeight="1" x14ac:dyDescent="0.3">
      <c r="A28" s="549" t="s">
        <v>1861</v>
      </c>
      <c r="B28" s="597">
        <v>33226</v>
      </c>
      <c r="C28" s="465">
        <v>1</v>
      </c>
      <c r="D28" s="597">
        <v>46921</v>
      </c>
      <c r="E28" s="465">
        <v>1.4121772106181907</v>
      </c>
      <c r="F28" s="597">
        <v>56152</v>
      </c>
      <c r="G28" s="517">
        <v>1.6900018058147235</v>
      </c>
      <c r="H28" s="597"/>
      <c r="I28" s="465"/>
      <c r="J28" s="597"/>
      <c r="K28" s="465"/>
      <c r="L28" s="597"/>
      <c r="M28" s="517"/>
      <c r="N28" s="597"/>
      <c r="O28" s="465"/>
      <c r="P28" s="597"/>
      <c r="Q28" s="465"/>
      <c r="R28" s="597"/>
      <c r="S28" s="518"/>
    </row>
    <row r="29" spans="1:19" ht="14.4" customHeight="1" x14ac:dyDescent="0.3">
      <c r="A29" s="549" t="s">
        <v>1862</v>
      </c>
      <c r="B29" s="597">
        <v>649256</v>
      </c>
      <c r="C29" s="465">
        <v>1</v>
      </c>
      <c r="D29" s="597">
        <v>522874</v>
      </c>
      <c r="E29" s="465">
        <v>0.80534334684623632</v>
      </c>
      <c r="F29" s="597">
        <v>593692</v>
      </c>
      <c r="G29" s="517">
        <v>0.91441896570844161</v>
      </c>
      <c r="H29" s="597"/>
      <c r="I29" s="465"/>
      <c r="J29" s="597"/>
      <c r="K29" s="465"/>
      <c r="L29" s="597"/>
      <c r="M29" s="517"/>
      <c r="N29" s="597"/>
      <c r="O29" s="465"/>
      <c r="P29" s="597"/>
      <c r="Q29" s="465"/>
      <c r="R29" s="597"/>
      <c r="S29" s="518"/>
    </row>
    <row r="30" spans="1:19" ht="14.4" customHeight="1" x14ac:dyDescent="0.3">
      <c r="A30" s="549" t="s">
        <v>1863</v>
      </c>
      <c r="B30" s="597">
        <v>1478588</v>
      </c>
      <c r="C30" s="465">
        <v>1</v>
      </c>
      <c r="D30" s="597">
        <v>1658888</v>
      </c>
      <c r="E30" s="465">
        <v>1.121940662307553</v>
      </c>
      <c r="F30" s="597">
        <v>1900514</v>
      </c>
      <c r="G30" s="517">
        <v>1.2853573815018111</v>
      </c>
      <c r="H30" s="597"/>
      <c r="I30" s="465"/>
      <c r="J30" s="597"/>
      <c r="K30" s="465"/>
      <c r="L30" s="597"/>
      <c r="M30" s="517"/>
      <c r="N30" s="597"/>
      <c r="O30" s="465"/>
      <c r="P30" s="597"/>
      <c r="Q30" s="465"/>
      <c r="R30" s="597"/>
      <c r="S30" s="518"/>
    </row>
    <row r="31" spans="1:19" ht="14.4" customHeight="1" x14ac:dyDescent="0.3">
      <c r="A31" s="549" t="s">
        <v>1864</v>
      </c>
      <c r="B31" s="597">
        <v>662904</v>
      </c>
      <c r="C31" s="465">
        <v>1</v>
      </c>
      <c r="D31" s="597">
        <v>910937</v>
      </c>
      <c r="E31" s="465">
        <v>1.3741612661863558</v>
      </c>
      <c r="F31" s="597">
        <v>903203</v>
      </c>
      <c r="G31" s="517">
        <v>1.3624944184980028</v>
      </c>
      <c r="H31" s="597"/>
      <c r="I31" s="465"/>
      <c r="J31" s="597"/>
      <c r="K31" s="465"/>
      <c r="L31" s="597"/>
      <c r="M31" s="517"/>
      <c r="N31" s="597"/>
      <c r="O31" s="465"/>
      <c r="P31" s="597"/>
      <c r="Q31" s="465"/>
      <c r="R31" s="597"/>
      <c r="S31" s="518"/>
    </row>
    <row r="32" spans="1:19" ht="14.4" customHeight="1" thickBot="1" x14ac:dyDescent="0.35">
      <c r="A32" s="592" t="s">
        <v>1865</v>
      </c>
      <c r="B32" s="591">
        <v>473656</v>
      </c>
      <c r="C32" s="471">
        <v>1</v>
      </c>
      <c r="D32" s="591">
        <v>589889</v>
      </c>
      <c r="E32" s="471">
        <v>1.2453953924367052</v>
      </c>
      <c r="F32" s="591">
        <v>605087</v>
      </c>
      <c r="G32" s="482">
        <v>1.2774819700373268</v>
      </c>
      <c r="H32" s="591"/>
      <c r="I32" s="471"/>
      <c r="J32" s="591"/>
      <c r="K32" s="471"/>
      <c r="L32" s="591"/>
      <c r="M32" s="482"/>
      <c r="N32" s="591"/>
      <c r="O32" s="471"/>
      <c r="P32" s="591"/>
      <c r="Q32" s="471"/>
      <c r="R32" s="591"/>
      <c r="S32" s="49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56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8" customWidth="1"/>
    <col min="8" max="9" width="9.33203125" style="208" hidden="1" customWidth="1"/>
    <col min="10" max="11" width="11.109375" style="208" customWidth="1"/>
    <col min="12" max="13" width="9.33203125" style="208" hidden="1" customWidth="1"/>
    <col min="14" max="15" width="11.109375" style="208" customWidth="1"/>
    <col min="16" max="16" width="11.109375" style="211" customWidth="1"/>
    <col min="17" max="17" width="11.109375" style="208" customWidth="1"/>
    <col min="18" max="16384" width="8.88671875" style="130"/>
  </cols>
  <sheetData>
    <row r="1" spans="1:17" ht="18.600000000000001" customHeight="1" thickBot="1" x14ac:dyDescent="0.4">
      <c r="A1" s="325" t="s">
        <v>1895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5" t="s">
        <v>282</v>
      </c>
      <c r="B2" s="131"/>
      <c r="C2" s="131"/>
      <c r="D2" s="131"/>
      <c r="E2" s="131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30"/>
      <c r="Q2" s="229"/>
    </row>
    <row r="3" spans="1:17" ht="14.4" customHeight="1" thickBot="1" x14ac:dyDescent="0.35">
      <c r="E3" s="87" t="s">
        <v>129</v>
      </c>
      <c r="F3" s="102">
        <f t="shared" ref="F3:O3" si="0">SUBTOTAL(9,F6:F1048576)</f>
        <v>86166</v>
      </c>
      <c r="G3" s="103">
        <f t="shared" si="0"/>
        <v>12812958</v>
      </c>
      <c r="H3" s="103"/>
      <c r="I3" s="103"/>
      <c r="J3" s="103">
        <f t="shared" si="0"/>
        <v>85969</v>
      </c>
      <c r="K3" s="103">
        <f t="shared" si="0"/>
        <v>13187325</v>
      </c>
      <c r="L3" s="103"/>
      <c r="M3" s="103"/>
      <c r="N3" s="103">
        <f t="shared" si="0"/>
        <v>86895</v>
      </c>
      <c r="O3" s="103">
        <f t="shared" si="0"/>
        <v>13821743</v>
      </c>
      <c r="P3" s="75">
        <f>IF(G3=0,0,O3/G3)</f>
        <v>1.0787316246568512</v>
      </c>
      <c r="Q3" s="104">
        <f>IF(N3=0,0,O3/N3)</f>
        <v>159.06258127625296</v>
      </c>
    </row>
    <row r="4" spans="1:17" ht="14.4" customHeight="1" x14ac:dyDescent="0.3">
      <c r="A4" s="407" t="s">
        <v>69</v>
      </c>
      <c r="B4" s="406" t="s">
        <v>95</v>
      </c>
      <c r="C4" s="407" t="s">
        <v>96</v>
      </c>
      <c r="D4" s="415" t="s">
        <v>97</v>
      </c>
      <c r="E4" s="408" t="s">
        <v>70</v>
      </c>
      <c r="F4" s="413">
        <v>2012</v>
      </c>
      <c r="G4" s="414"/>
      <c r="H4" s="105"/>
      <c r="I4" s="105"/>
      <c r="J4" s="413">
        <v>2013</v>
      </c>
      <c r="K4" s="414"/>
      <c r="L4" s="105"/>
      <c r="M4" s="105"/>
      <c r="N4" s="413">
        <v>2014</v>
      </c>
      <c r="O4" s="414"/>
      <c r="P4" s="416" t="s">
        <v>2</v>
      </c>
      <c r="Q4" s="405" t="s">
        <v>98</v>
      </c>
    </row>
    <row r="5" spans="1:17" ht="14.4" customHeight="1" thickBot="1" x14ac:dyDescent="0.35">
      <c r="A5" s="601"/>
      <c r="B5" s="600"/>
      <c r="C5" s="601"/>
      <c r="D5" s="609"/>
      <c r="E5" s="603"/>
      <c r="F5" s="610" t="s">
        <v>72</v>
      </c>
      <c r="G5" s="611" t="s">
        <v>14</v>
      </c>
      <c r="H5" s="612"/>
      <c r="I5" s="612"/>
      <c r="J5" s="610" t="s">
        <v>72</v>
      </c>
      <c r="K5" s="611" t="s">
        <v>14</v>
      </c>
      <c r="L5" s="612"/>
      <c r="M5" s="612"/>
      <c r="N5" s="610" t="s">
        <v>72</v>
      </c>
      <c r="O5" s="611" t="s">
        <v>14</v>
      </c>
      <c r="P5" s="613"/>
      <c r="Q5" s="608"/>
    </row>
    <row r="6" spans="1:17" ht="14.4" customHeight="1" x14ac:dyDescent="0.3">
      <c r="A6" s="530" t="s">
        <v>1866</v>
      </c>
      <c r="B6" s="531" t="s">
        <v>1769</v>
      </c>
      <c r="C6" s="531" t="s">
        <v>1756</v>
      </c>
      <c r="D6" s="531" t="s">
        <v>1773</v>
      </c>
      <c r="E6" s="531" t="s">
        <v>1774</v>
      </c>
      <c r="F6" s="116">
        <v>394</v>
      </c>
      <c r="G6" s="116">
        <v>79588</v>
      </c>
      <c r="H6" s="116">
        <v>1</v>
      </c>
      <c r="I6" s="116">
        <v>202</v>
      </c>
      <c r="J6" s="116">
        <v>340</v>
      </c>
      <c r="K6" s="116">
        <v>69020</v>
      </c>
      <c r="L6" s="116">
        <v>0.86721616324068951</v>
      </c>
      <c r="M6" s="116">
        <v>203</v>
      </c>
      <c r="N6" s="116">
        <v>224</v>
      </c>
      <c r="O6" s="116">
        <v>45830</v>
      </c>
      <c r="P6" s="536">
        <v>0.575840578981756</v>
      </c>
      <c r="Q6" s="544">
        <v>204.59821428571428</v>
      </c>
    </row>
    <row r="7" spans="1:17" ht="14.4" customHeight="1" x14ac:dyDescent="0.3">
      <c r="A7" s="464" t="s">
        <v>1866</v>
      </c>
      <c r="B7" s="465" t="s">
        <v>1769</v>
      </c>
      <c r="C7" s="465" t="s">
        <v>1756</v>
      </c>
      <c r="D7" s="465" t="s">
        <v>1776</v>
      </c>
      <c r="E7" s="465" t="s">
        <v>1777</v>
      </c>
      <c r="F7" s="468">
        <v>252</v>
      </c>
      <c r="G7" s="468">
        <v>73332</v>
      </c>
      <c r="H7" s="468">
        <v>1</v>
      </c>
      <c r="I7" s="468">
        <v>291</v>
      </c>
      <c r="J7" s="468">
        <v>209</v>
      </c>
      <c r="K7" s="468">
        <v>61028</v>
      </c>
      <c r="L7" s="468">
        <v>0.83221513118420332</v>
      </c>
      <c r="M7" s="468">
        <v>292</v>
      </c>
      <c r="N7" s="468">
        <v>199</v>
      </c>
      <c r="O7" s="468">
        <v>58434</v>
      </c>
      <c r="P7" s="517">
        <v>0.79684176075928648</v>
      </c>
      <c r="Q7" s="469">
        <v>293.63819095477385</v>
      </c>
    </row>
    <row r="8" spans="1:17" ht="14.4" customHeight="1" x14ac:dyDescent="0.3">
      <c r="A8" s="464" t="s">
        <v>1866</v>
      </c>
      <c r="B8" s="465" t="s">
        <v>1769</v>
      </c>
      <c r="C8" s="465" t="s">
        <v>1756</v>
      </c>
      <c r="D8" s="465" t="s">
        <v>1778</v>
      </c>
      <c r="E8" s="465" t="s">
        <v>1779</v>
      </c>
      <c r="F8" s="468">
        <v>6</v>
      </c>
      <c r="G8" s="468">
        <v>552</v>
      </c>
      <c r="H8" s="468">
        <v>1</v>
      </c>
      <c r="I8" s="468">
        <v>92</v>
      </c>
      <c r="J8" s="468">
        <v>3</v>
      </c>
      <c r="K8" s="468">
        <v>279</v>
      </c>
      <c r="L8" s="468">
        <v>0.50543478260869568</v>
      </c>
      <c r="M8" s="468">
        <v>93</v>
      </c>
      <c r="N8" s="468">
        <v>3</v>
      </c>
      <c r="O8" s="468">
        <v>282</v>
      </c>
      <c r="P8" s="517">
        <v>0.51086956521739135</v>
      </c>
      <c r="Q8" s="469">
        <v>94</v>
      </c>
    </row>
    <row r="9" spans="1:17" ht="14.4" customHeight="1" x14ac:dyDescent="0.3">
      <c r="A9" s="464" t="s">
        <v>1866</v>
      </c>
      <c r="B9" s="465" t="s">
        <v>1769</v>
      </c>
      <c r="C9" s="465" t="s">
        <v>1756</v>
      </c>
      <c r="D9" s="465" t="s">
        <v>1780</v>
      </c>
      <c r="E9" s="465" t="s">
        <v>1781</v>
      </c>
      <c r="F9" s="468">
        <v>3</v>
      </c>
      <c r="G9" s="468">
        <v>657</v>
      </c>
      <c r="H9" s="468">
        <v>1</v>
      </c>
      <c r="I9" s="468">
        <v>219</v>
      </c>
      <c r="J9" s="468"/>
      <c r="K9" s="468"/>
      <c r="L9" s="468"/>
      <c r="M9" s="468"/>
      <c r="N9" s="468"/>
      <c r="O9" s="468"/>
      <c r="P9" s="517"/>
      <c r="Q9" s="469"/>
    </row>
    <row r="10" spans="1:17" ht="14.4" customHeight="1" x14ac:dyDescent="0.3">
      <c r="A10" s="464" t="s">
        <v>1866</v>
      </c>
      <c r="B10" s="465" t="s">
        <v>1769</v>
      </c>
      <c r="C10" s="465" t="s">
        <v>1756</v>
      </c>
      <c r="D10" s="465" t="s">
        <v>1782</v>
      </c>
      <c r="E10" s="465" t="s">
        <v>1783</v>
      </c>
      <c r="F10" s="468">
        <v>146</v>
      </c>
      <c r="G10" s="468">
        <v>19418</v>
      </c>
      <c r="H10" s="468">
        <v>1</v>
      </c>
      <c r="I10" s="468">
        <v>133</v>
      </c>
      <c r="J10" s="468">
        <v>160</v>
      </c>
      <c r="K10" s="468">
        <v>21440</v>
      </c>
      <c r="L10" s="468">
        <v>1.1041301884849108</v>
      </c>
      <c r="M10" s="468">
        <v>134</v>
      </c>
      <c r="N10" s="468">
        <v>161</v>
      </c>
      <c r="O10" s="468">
        <v>21700</v>
      </c>
      <c r="P10" s="517">
        <v>1.117519826964672</v>
      </c>
      <c r="Q10" s="469">
        <v>134.78260869565219</v>
      </c>
    </row>
    <row r="11" spans="1:17" ht="14.4" customHeight="1" x14ac:dyDescent="0.3">
      <c r="A11" s="464" t="s">
        <v>1866</v>
      </c>
      <c r="B11" s="465" t="s">
        <v>1769</v>
      </c>
      <c r="C11" s="465" t="s">
        <v>1756</v>
      </c>
      <c r="D11" s="465" t="s">
        <v>1784</v>
      </c>
      <c r="E11" s="465" t="s">
        <v>1783</v>
      </c>
      <c r="F11" s="468">
        <v>4</v>
      </c>
      <c r="G11" s="468">
        <v>696</v>
      </c>
      <c r="H11" s="468">
        <v>1</v>
      </c>
      <c r="I11" s="468">
        <v>174</v>
      </c>
      <c r="J11" s="468"/>
      <c r="K11" s="468"/>
      <c r="L11" s="468"/>
      <c r="M11" s="468"/>
      <c r="N11" s="468"/>
      <c r="O11" s="468"/>
      <c r="P11" s="517"/>
      <c r="Q11" s="469"/>
    </row>
    <row r="12" spans="1:17" ht="14.4" customHeight="1" x14ac:dyDescent="0.3">
      <c r="A12" s="464" t="s">
        <v>1866</v>
      </c>
      <c r="B12" s="465" t="s">
        <v>1769</v>
      </c>
      <c r="C12" s="465" t="s">
        <v>1756</v>
      </c>
      <c r="D12" s="465" t="s">
        <v>1785</v>
      </c>
      <c r="E12" s="465" t="s">
        <v>1786</v>
      </c>
      <c r="F12" s="468">
        <v>3</v>
      </c>
      <c r="G12" s="468">
        <v>1827</v>
      </c>
      <c r="H12" s="468">
        <v>1</v>
      </c>
      <c r="I12" s="468">
        <v>609</v>
      </c>
      <c r="J12" s="468">
        <v>2</v>
      </c>
      <c r="K12" s="468">
        <v>1224</v>
      </c>
      <c r="L12" s="468">
        <v>0.66995073891625612</v>
      </c>
      <c r="M12" s="468">
        <v>612</v>
      </c>
      <c r="N12" s="468">
        <v>1</v>
      </c>
      <c r="O12" s="468">
        <v>618</v>
      </c>
      <c r="P12" s="517">
        <v>0.33825944170771755</v>
      </c>
      <c r="Q12" s="469">
        <v>618</v>
      </c>
    </row>
    <row r="13" spans="1:17" ht="14.4" customHeight="1" x14ac:dyDescent="0.3">
      <c r="A13" s="464" t="s">
        <v>1866</v>
      </c>
      <c r="B13" s="465" t="s">
        <v>1769</v>
      </c>
      <c r="C13" s="465" t="s">
        <v>1756</v>
      </c>
      <c r="D13" s="465" t="s">
        <v>1787</v>
      </c>
      <c r="E13" s="465" t="s">
        <v>1788</v>
      </c>
      <c r="F13" s="468">
        <v>2</v>
      </c>
      <c r="G13" s="468">
        <v>1164</v>
      </c>
      <c r="H13" s="468">
        <v>1</v>
      </c>
      <c r="I13" s="468">
        <v>582</v>
      </c>
      <c r="J13" s="468"/>
      <c r="K13" s="468"/>
      <c r="L13" s="468"/>
      <c r="M13" s="468"/>
      <c r="N13" s="468"/>
      <c r="O13" s="468"/>
      <c r="P13" s="517"/>
      <c r="Q13" s="469"/>
    </row>
    <row r="14" spans="1:17" ht="14.4" customHeight="1" x14ac:dyDescent="0.3">
      <c r="A14" s="464" t="s">
        <v>1866</v>
      </c>
      <c r="B14" s="465" t="s">
        <v>1769</v>
      </c>
      <c r="C14" s="465" t="s">
        <v>1756</v>
      </c>
      <c r="D14" s="465" t="s">
        <v>1789</v>
      </c>
      <c r="E14" s="465" t="s">
        <v>1790</v>
      </c>
      <c r="F14" s="468">
        <v>8</v>
      </c>
      <c r="G14" s="468">
        <v>1264</v>
      </c>
      <c r="H14" s="468">
        <v>1</v>
      </c>
      <c r="I14" s="468">
        <v>158</v>
      </c>
      <c r="J14" s="468">
        <v>7</v>
      </c>
      <c r="K14" s="468">
        <v>1113</v>
      </c>
      <c r="L14" s="468">
        <v>0.88053797468354433</v>
      </c>
      <c r="M14" s="468">
        <v>159</v>
      </c>
      <c r="N14" s="468">
        <v>8</v>
      </c>
      <c r="O14" s="468">
        <v>1279</v>
      </c>
      <c r="P14" s="517">
        <v>1.0118670886075949</v>
      </c>
      <c r="Q14" s="469">
        <v>159.875</v>
      </c>
    </row>
    <row r="15" spans="1:17" ht="14.4" customHeight="1" x14ac:dyDescent="0.3">
      <c r="A15" s="464" t="s">
        <v>1866</v>
      </c>
      <c r="B15" s="465" t="s">
        <v>1769</v>
      </c>
      <c r="C15" s="465" t="s">
        <v>1756</v>
      </c>
      <c r="D15" s="465" t="s">
        <v>1791</v>
      </c>
      <c r="E15" s="465" t="s">
        <v>1792</v>
      </c>
      <c r="F15" s="468">
        <v>180</v>
      </c>
      <c r="G15" s="468">
        <v>68760</v>
      </c>
      <c r="H15" s="468">
        <v>1</v>
      </c>
      <c r="I15" s="468">
        <v>382</v>
      </c>
      <c r="J15" s="468">
        <v>185</v>
      </c>
      <c r="K15" s="468">
        <v>70670</v>
      </c>
      <c r="L15" s="468">
        <v>1.0277777777777777</v>
      </c>
      <c r="M15" s="468">
        <v>382</v>
      </c>
      <c r="N15" s="468">
        <v>234</v>
      </c>
      <c r="O15" s="468">
        <v>89578</v>
      </c>
      <c r="P15" s="517">
        <v>1.3027632344386271</v>
      </c>
      <c r="Q15" s="469">
        <v>382.81196581196582</v>
      </c>
    </row>
    <row r="16" spans="1:17" ht="14.4" customHeight="1" x14ac:dyDescent="0.3">
      <c r="A16" s="464" t="s">
        <v>1866</v>
      </c>
      <c r="B16" s="465" t="s">
        <v>1769</v>
      </c>
      <c r="C16" s="465" t="s">
        <v>1756</v>
      </c>
      <c r="D16" s="465" t="s">
        <v>1793</v>
      </c>
      <c r="E16" s="465" t="s">
        <v>1794</v>
      </c>
      <c r="F16" s="468">
        <v>827</v>
      </c>
      <c r="G16" s="468">
        <v>13232</v>
      </c>
      <c r="H16" s="468">
        <v>1</v>
      </c>
      <c r="I16" s="468">
        <v>16</v>
      </c>
      <c r="J16" s="468">
        <v>913</v>
      </c>
      <c r="K16" s="468">
        <v>14608</v>
      </c>
      <c r="L16" s="468">
        <v>1.1039903264812576</v>
      </c>
      <c r="M16" s="468">
        <v>16</v>
      </c>
      <c r="N16" s="468">
        <v>1042</v>
      </c>
      <c r="O16" s="468">
        <v>16672</v>
      </c>
      <c r="P16" s="517">
        <v>1.2599758162031438</v>
      </c>
      <c r="Q16" s="469">
        <v>16</v>
      </c>
    </row>
    <row r="17" spans="1:17" ht="14.4" customHeight="1" x14ac:dyDescent="0.3">
      <c r="A17" s="464" t="s">
        <v>1866</v>
      </c>
      <c r="B17" s="465" t="s">
        <v>1769</v>
      </c>
      <c r="C17" s="465" t="s">
        <v>1756</v>
      </c>
      <c r="D17" s="465" t="s">
        <v>1797</v>
      </c>
      <c r="E17" s="465" t="s">
        <v>1798</v>
      </c>
      <c r="F17" s="468">
        <v>86</v>
      </c>
      <c r="G17" s="468">
        <v>22446</v>
      </c>
      <c r="H17" s="468">
        <v>1</v>
      </c>
      <c r="I17" s="468">
        <v>261</v>
      </c>
      <c r="J17" s="468">
        <v>71</v>
      </c>
      <c r="K17" s="468">
        <v>18602</v>
      </c>
      <c r="L17" s="468">
        <v>0.82874454245745344</v>
      </c>
      <c r="M17" s="468">
        <v>262</v>
      </c>
      <c r="N17" s="468">
        <v>54</v>
      </c>
      <c r="O17" s="468">
        <v>14265</v>
      </c>
      <c r="P17" s="517">
        <v>0.63552526062550119</v>
      </c>
      <c r="Q17" s="469">
        <v>264.16666666666669</v>
      </c>
    </row>
    <row r="18" spans="1:17" ht="14.4" customHeight="1" x14ac:dyDescent="0.3">
      <c r="A18" s="464" t="s">
        <v>1866</v>
      </c>
      <c r="B18" s="465" t="s">
        <v>1769</v>
      </c>
      <c r="C18" s="465" t="s">
        <v>1756</v>
      </c>
      <c r="D18" s="465" t="s">
        <v>1799</v>
      </c>
      <c r="E18" s="465" t="s">
        <v>1796</v>
      </c>
      <c r="F18" s="468">
        <v>92</v>
      </c>
      <c r="G18" s="468">
        <v>12880</v>
      </c>
      <c r="H18" s="468">
        <v>1</v>
      </c>
      <c r="I18" s="468">
        <v>140</v>
      </c>
      <c r="J18" s="468">
        <v>74</v>
      </c>
      <c r="K18" s="468">
        <v>10434</v>
      </c>
      <c r="L18" s="468">
        <v>0.81009316770186335</v>
      </c>
      <c r="M18" s="468">
        <v>141</v>
      </c>
      <c r="N18" s="468">
        <v>58</v>
      </c>
      <c r="O18" s="468">
        <v>8178</v>
      </c>
      <c r="P18" s="517">
        <v>0.63493788819875774</v>
      </c>
      <c r="Q18" s="469">
        <v>141</v>
      </c>
    </row>
    <row r="19" spans="1:17" ht="14.4" customHeight="1" x14ac:dyDescent="0.3">
      <c r="A19" s="464" t="s">
        <v>1866</v>
      </c>
      <c r="B19" s="465" t="s">
        <v>1769</v>
      </c>
      <c r="C19" s="465" t="s">
        <v>1756</v>
      </c>
      <c r="D19" s="465" t="s">
        <v>1800</v>
      </c>
      <c r="E19" s="465" t="s">
        <v>1796</v>
      </c>
      <c r="F19" s="468">
        <v>146</v>
      </c>
      <c r="G19" s="468">
        <v>11388</v>
      </c>
      <c r="H19" s="468">
        <v>1</v>
      </c>
      <c r="I19" s="468">
        <v>78</v>
      </c>
      <c r="J19" s="468">
        <v>160</v>
      </c>
      <c r="K19" s="468">
        <v>12480</v>
      </c>
      <c r="L19" s="468">
        <v>1.095890410958904</v>
      </c>
      <c r="M19" s="468">
        <v>78</v>
      </c>
      <c r="N19" s="468">
        <v>161</v>
      </c>
      <c r="O19" s="468">
        <v>12558</v>
      </c>
      <c r="P19" s="517">
        <v>1.1027397260273972</v>
      </c>
      <c r="Q19" s="469">
        <v>78</v>
      </c>
    </row>
    <row r="20" spans="1:17" ht="14.4" customHeight="1" x14ac:dyDescent="0.3">
      <c r="A20" s="464" t="s">
        <v>1866</v>
      </c>
      <c r="B20" s="465" t="s">
        <v>1769</v>
      </c>
      <c r="C20" s="465" t="s">
        <v>1756</v>
      </c>
      <c r="D20" s="465" t="s">
        <v>1801</v>
      </c>
      <c r="E20" s="465" t="s">
        <v>1802</v>
      </c>
      <c r="F20" s="468">
        <v>92</v>
      </c>
      <c r="G20" s="468">
        <v>27784</v>
      </c>
      <c r="H20" s="468">
        <v>1</v>
      </c>
      <c r="I20" s="468">
        <v>302</v>
      </c>
      <c r="J20" s="468">
        <v>74</v>
      </c>
      <c r="K20" s="468">
        <v>22422</v>
      </c>
      <c r="L20" s="468">
        <v>0.80701122948459547</v>
      </c>
      <c r="M20" s="468">
        <v>303</v>
      </c>
      <c r="N20" s="468">
        <v>58</v>
      </c>
      <c r="O20" s="468">
        <v>17706</v>
      </c>
      <c r="P20" s="517">
        <v>0.63727325079182262</v>
      </c>
      <c r="Q20" s="469">
        <v>305.27586206896552</v>
      </c>
    </row>
    <row r="21" spans="1:17" ht="14.4" customHeight="1" x14ac:dyDescent="0.3">
      <c r="A21" s="464" t="s">
        <v>1866</v>
      </c>
      <c r="B21" s="465" t="s">
        <v>1769</v>
      </c>
      <c r="C21" s="465" t="s">
        <v>1756</v>
      </c>
      <c r="D21" s="465" t="s">
        <v>1803</v>
      </c>
      <c r="E21" s="465" t="s">
        <v>1804</v>
      </c>
      <c r="F21" s="468">
        <v>282</v>
      </c>
      <c r="G21" s="468">
        <v>137052</v>
      </c>
      <c r="H21" s="468">
        <v>1</v>
      </c>
      <c r="I21" s="468">
        <v>486</v>
      </c>
      <c r="J21" s="468">
        <v>300</v>
      </c>
      <c r="K21" s="468">
        <v>145800</v>
      </c>
      <c r="L21" s="468">
        <v>1.0638297872340425</v>
      </c>
      <c r="M21" s="468">
        <v>486</v>
      </c>
      <c r="N21" s="468">
        <v>350</v>
      </c>
      <c r="O21" s="468">
        <v>170378</v>
      </c>
      <c r="P21" s="517">
        <v>1.2431631789393807</v>
      </c>
      <c r="Q21" s="469">
        <v>486.79428571428571</v>
      </c>
    </row>
    <row r="22" spans="1:17" ht="14.4" customHeight="1" x14ac:dyDescent="0.3">
      <c r="A22" s="464" t="s">
        <v>1866</v>
      </c>
      <c r="B22" s="465" t="s">
        <v>1769</v>
      </c>
      <c r="C22" s="465" t="s">
        <v>1756</v>
      </c>
      <c r="D22" s="465" t="s">
        <v>1805</v>
      </c>
      <c r="E22" s="465" t="s">
        <v>1806</v>
      </c>
      <c r="F22" s="468">
        <v>366</v>
      </c>
      <c r="G22" s="468">
        <v>58194</v>
      </c>
      <c r="H22" s="468">
        <v>1</v>
      </c>
      <c r="I22" s="468">
        <v>159</v>
      </c>
      <c r="J22" s="468">
        <v>391</v>
      </c>
      <c r="K22" s="468">
        <v>62560</v>
      </c>
      <c r="L22" s="468">
        <v>1.0750249166580748</v>
      </c>
      <c r="M22" s="468">
        <v>160</v>
      </c>
      <c r="N22" s="468">
        <v>459</v>
      </c>
      <c r="O22" s="468">
        <v>73798</v>
      </c>
      <c r="P22" s="517">
        <v>1.2681376086881808</v>
      </c>
      <c r="Q22" s="469">
        <v>160.77995642701526</v>
      </c>
    </row>
    <row r="23" spans="1:17" ht="14.4" customHeight="1" x14ac:dyDescent="0.3">
      <c r="A23" s="464" t="s">
        <v>1866</v>
      </c>
      <c r="B23" s="465" t="s">
        <v>1769</v>
      </c>
      <c r="C23" s="465" t="s">
        <v>1756</v>
      </c>
      <c r="D23" s="465" t="s">
        <v>1809</v>
      </c>
      <c r="E23" s="465" t="s">
        <v>1774</v>
      </c>
      <c r="F23" s="468">
        <v>397</v>
      </c>
      <c r="G23" s="468">
        <v>27790</v>
      </c>
      <c r="H23" s="468">
        <v>1</v>
      </c>
      <c r="I23" s="468">
        <v>70</v>
      </c>
      <c r="J23" s="468">
        <v>459</v>
      </c>
      <c r="K23" s="468">
        <v>32130</v>
      </c>
      <c r="L23" s="468">
        <v>1.1561712846347607</v>
      </c>
      <c r="M23" s="468">
        <v>70</v>
      </c>
      <c r="N23" s="468">
        <v>427</v>
      </c>
      <c r="O23" s="468">
        <v>30229</v>
      </c>
      <c r="P23" s="517">
        <v>1.0877653832313783</v>
      </c>
      <c r="Q23" s="469">
        <v>70.793911007025756</v>
      </c>
    </row>
    <row r="24" spans="1:17" ht="14.4" customHeight="1" x14ac:dyDescent="0.3">
      <c r="A24" s="464" t="s">
        <v>1866</v>
      </c>
      <c r="B24" s="465" t="s">
        <v>1769</v>
      </c>
      <c r="C24" s="465" t="s">
        <v>1756</v>
      </c>
      <c r="D24" s="465" t="s">
        <v>1814</v>
      </c>
      <c r="E24" s="465" t="s">
        <v>1815</v>
      </c>
      <c r="F24" s="468">
        <v>6</v>
      </c>
      <c r="G24" s="468">
        <v>1290</v>
      </c>
      <c r="H24" s="468">
        <v>1</v>
      </c>
      <c r="I24" s="468">
        <v>215</v>
      </c>
      <c r="J24" s="468"/>
      <c r="K24" s="468"/>
      <c r="L24" s="468"/>
      <c r="M24" s="468"/>
      <c r="N24" s="468"/>
      <c r="O24" s="468"/>
      <c r="P24" s="517"/>
      <c r="Q24" s="469"/>
    </row>
    <row r="25" spans="1:17" ht="14.4" customHeight="1" x14ac:dyDescent="0.3">
      <c r="A25" s="464" t="s">
        <v>1866</v>
      </c>
      <c r="B25" s="465" t="s">
        <v>1769</v>
      </c>
      <c r="C25" s="465" t="s">
        <v>1756</v>
      </c>
      <c r="D25" s="465" t="s">
        <v>1816</v>
      </c>
      <c r="E25" s="465" t="s">
        <v>1817</v>
      </c>
      <c r="F25" s="468">
        <v>13</v>
      </c>
      <c r="G25" s="468">
        <v>15418</v>
      </c>
      <c r="H25" s="468">
        <v>1</v>
      </c>
      <c r="I25" s="468">
        <v>1186</v>
      </c>
      <c r="J25" s="468">
        <v>7</v>
      </c>
      <c r="K25" s="468">
        <v>8323</v>
      </c>
      <c r="L25" s="468">
        <v>0.53982358282526921</v>
      </c>
      <c r="M25" s="468">
        <v>1189</v>
      </c>
      <c r="N25" s="468">
        <v>3</v>
      </c>
      <c r="O25" s="468">
        <v>3579</v>
      </c>
      <c r="P25" s="517">
        <v>0.23213127513296147</v>
      </c>
      <c r="Q25" s="469">
        <v>1193</v>
      </c>
    </row>
    <row r="26" spans="1:17" ht="14.4" customHeight="1" x14ac:dyDescent="0.3">
      <c r="A26" s="464" t="s">
        <v>1866</v>
      </c>
      <c r="B26" s="465" t="s">
        <v>1769</v>
      </c>
      <c r="C26" s="465" t="s">
        <v>1756</v>
      </c>
      <c r="D26" s="465" t="s">
        <v>1818</v>
      </c>
      <c r="E26" s="465" t="s">
        <v>1819</v>
      </c>
      <c r="F26" s="468">
        <v>13</v>
      </c>
      <c r="G26" s="468">
        <v>1391</v>
      </c>
      <c r="H26" s="468">
        <v>1</v>
      </c>
      <c r="I26" s="468">
        <v>107</v>
      </c>
      <c r="J26" s="468">
        <v>6</v>
      </c>
      <c r="K26" s="468">
        <v>648</v>
      </c>
      <c r="L26" s="468">
        <v>0.46585190510424157</v>
      </c>
      <c r="M26" s="468">
        <v>108</v>
      </c>
      <c r="N26" s="468">
        <v>3</v>
      </c>
      <c r="O26" s="468">
        <v>327</v>
      </c>
      <c r="P26" s="517">
        <v>0.23508267433501079</v>
      </c>
      <c r="Q26" s="469">
        <v>109</v>
      </c>
    </row>
    <row r="27" spans="1:17" ht="14.4" customHeight="1" x14ac:dyDescent="0.3">
      <c r="A27" s="464" t="s">
        <v>1866</v>
      </c>
      <c r="B27" s="465" t="s">
        <v>1769</v>
      </c>
      <c r="C27" s="465" t="s">
        <v>1756</v>
      </c>
      <c r="D27" s="465" t="s">
        <v>1822</v>
      </c>
      <c r="E27" s="465" t="s">
        <v>1823</v>
      </c>
      <c r="F27" s="468">
        <v>3</v>
      </c>
      <c r="G27" s="468">
        <v>954</v>
      </c>
      <c r="H27" s="468">
        <v>1</v>
      </c>
      <c r="I27" s="468">
        <v>318</v>
      </c>
      <c r="J27" s="468"/>
      <c r="K27" s="468"/>
      <c r="L27" s="468"/>
      <c r="M27" s="468"/>
      <c r="N27" s="468"/>
      <c r="O27" s="468"/>
      <c r="P27" s="517"/>
      <c r="Q27" s="469"/>
    </row>
    <row r="28" spans="1:17" ht="14.4" customHeight="1" x14ac:dyDescent="0.3">
      <c r="A28" s="464" t="s">
        <v>1866</v>
      </c>
      <c r="B28" s="465" t="s">
        <v>1769</v>
      </c>
      <c r="C28" s="465" t="s">
        <v>1756</v>
      </c>
      <c r="D28" s="465" t="s">
        <v>1828</v>
      </c>
      <c r="E28" s="465" t="s">
        <v>1829</v>
      </c>
      <c r="F28" s="468">
        <v>2</v>
      </c>
      <c r="G28" s="468">
        <v>2030</v>
      </c>
      <c r="H28" s="468">
        <v>1</v>
      </c>
      <c r="I28" s="468">
        <v>1015</v>
      </c>
      <c r="J28" s="468"/>
      <c r="K28" s="468"/>
      <c r="L28" s="468"/>
      <c r="M28" s="468"/>
      <c r="N28" s="468"/>
      <c r="O28" s="468"/>
      <c r="P28" s="517"/>
      <c r="Q28" s="469"/>
    </row>
    <row r="29" spans="1:17" ht="14.4" customHeight="1" x14ac:dyDescent="0.3">
      <c r="A29" s="464" t="s">
        <v>1866</v>
      </c>
      <c r="B29" s="465" t="s">
        <v>1769</v>
      </c>
      <c r="C29" s="465" t="s">
        <v>1756</v>
      </c>
      <c r="D29" s="465" t="s">
        <v>1830</v>
      </c>
      <c r="E29" s="465" t="s">
        <v>1831</v>
      </c>
      <c r="F29" s="468">
        <v>1</v>
      </c>
      <c r="G29" s="468">
        <v>290</v>
      </c>
      <c r="H29" s="468">
        <v>1</v>
      </c>
      <c r="I29" s="468">
        <v>290</v>
      </c>
      <c r="J29" s="468"/>
      <c r="K29" s="468"/>
      <c r="L29" s="468"/>
      <c r="M29" s="468"/>
      <c r="N29" s="468"/>
      <c r="O29" s="468"/>
      <c r="P29" s="517"/>
      <c r="Q29" s="469"/>
    </row>
    <row r="30" spans="1:17" ht="14.4" customHeight="1" x14ac:dyDescent="0.3">
      <c r="A30" s="464" t="s">
        <v>1867</v>
      </c>
      <c r="B30" s="465" t="s">
        <v>1769</v>
      </c>
      <c r="C30" s="465" t="s">
        <v>1756</v>
      </c>
      <c r="D30" s="465" t="s">
        <v>1773</v>
      </c>
      <c r="E30" s="465" t="s">
        <v>1774</v>
      </c>
      <c r="F30" s="468">
        <v>821</v>
      </c>
      <c r="G30" s="468">
        <v>165842</v>
      </c>
      <c r="H30" s="468">
        <v>1</v>
      </c>
      <c r="I30" s="468">
        <v>202</v>
      </c>
      <c r="J30" s="468">
        <v>1072</v>
      </c>
      <c r="K30" s="468">
        <v>217616</v>
      </c>
      <c r="L30" s="468">
        <v>1.3121887097357725</v>
      </c>
      <c r="M30" s="468">
        <v>203</v>
      </c>
      <c r="N30" s="468">
        <v>1076</v>
      </c>
      <c r="O30" s="468">
        <v>220068</v>
      </c>
      <c r="P30" s="517">
        <v>1.326973866692394</v>
      </c>
      <c r="Q30" s="469">
        <v>204.52416356877325</v>
      </c>
    </row>
    <row r="31" spans="1:17" ht="14.4" customHeight="1" x14ac:dyDescent="0.3">
      <c r="A31" s="464" t="s">
        <v>1867</v>
      </c>
      <c r="B31" s="465" t="s">
        <v>1769</v>
      </c>
      <c r="C31" s="465" t="s">
        <v>1756</v>
      </c>
      <c r="D31" s="465" t="s">
        <v>1775</v>
      </c>
      <c r="E31" s="465" t="s">
        <v>1774</v>
      </c>
      <c r="F31" s="468"/>
      <c r="G31" s="468"/>
      <c r="H31" s="468"/>
      <c r="I31" s="468"/>
      <c r="J31" s="468"/>
      <c r="K31" s="468"/>
      <c r="L31" s="468"/>
      <c r="M31" s="468"/>
      <c r="N31" s="468">
        <v>11</v>
      </c>
      <c r="O31" s="468">
        <v>932</v>
      </c>
      <c r="P31" s="517"/>
      <c r="Q31" s="469">
        <v>84.727272727272734</v>
      </c>
    </row>
    <row r="32" spans="1:17" ht="14.4" customHeight="1" x14ac:dyDescent="0.3">
      <c r="A32" s="464" t="s">
        <v>1867</v>
      </c>
      <c r="B32" s="465" t="s">
        <v>1769</v>
      </c>
      <c r="C32" s="465" t="s">
        <v>1756</v>
      </c>
      <c r="D32" s="465" t="s">
        <v>1776</v>
      </c>
      <c r="E32" s="465" t="s">
        <v>1777</v>
      </c>
      <c r="F32" s="468">
        <v>894</v>
      </c>
      <c r="G32" s="468">
        <v>260154</v>
      </c>
      <c r="H32" s="468">
        <v>1</v>
      </c>
      <c r="I32" s="468">
        <v>291</v>
      </c>
      <c r="J32" s="468">
        <v>844</v>
      </c>
      <c r="K32" s="468">
        <v>246448</v>
      </c>
      <c r="L32" s="468">
        <v>0.94731582062931952</v>
      </c>
      <c r="M32" s="468">
        <v>292</v>
      </c>
      <c r="N32" s="468">
        <v>1016</v>
      </c>
      <c r="O32" s="468">
        <v>298012</v>
      </c>
      <c r="P32" s="517">
        <v>1.1455214988045541</v>
      </c>
      <c r="Q32" s="469">
        <v>293.31889763779526</v>
      </c>
    </row>
    <row r="33" spans="1:17" ht="14.4" customHeight="1" x14ac:dyDescent="0.3">
      <c r="A33" s="464" t="s">
        <v>1867</v>
      </c>
      <c r="B33" s="465" t="s">
        <v>1769</v>
      </c>
      <c r="C33" s="465" t="s">
        <v>1756</v>
      </c>
      <c r="D33" s="465" t="s">
        <v>1778</v>
      </c>
      <c r="E33" s="465" t="s">
        <v>1779</v>
      </c>
      <c r="F33" s="468">
        <v>25</v>
      </c>
      <c r="G33" s="468">
        <v>2300</v>
      </c>
      <c r="H33" s="468">
        <v>1</v>
      </c>
      <c r="I33" s="468">
        <v>92</v>
      </c>
      <c r="J33" s="468">
        <v>21</v>
      </c>
      <c r="K33" s="468">
        <v>1953</v>
      </c>
      <c r="L33" s="468">
        <v>0.84913043478260875</v>
      </c>
      <c r="M33" s="468">
        <v>93</v>
      </c>
      <c r="N33" s="468">
        <v>26</v>
      </c>
      <c r="O33" s="468">
        <v>2441</v>
      </c>
      <c r="P33" s="517">
        <v>1.0613043478260868</v>
      </c>
      <c r="Q33" s="469">
        <v>93.884615384615387</v>
      </c>
    </row>
    <row r="34" spans="1:17" ht="14.4" customHeight="1" x14ac:dyDescent="0.3">
      <c r="A34" s="464" t="s">
        <v>1867</v>
      </c>
      <c r="B34" s="465" t="s">
        <v>1769</v>
      </c>
      <c r="C34" s="465" t="s">
        <v>1756</v>
      </c>
      <c r="D34" s="465" t="s">
        <v>1780</v>
      </c>
      <c r="E34" s="465" t="s">
        <v>1781</v>
      </c>
      <c r="F34" s="468">
        <v>5</v>
      </c>
      <c r="G34" s="468">
        <v>1095</v>
      </c>
      <c r="H34" s="468">
        <v>1</v>
      </c>
      <c r="I34" s="468">
        <v>219</v>
      </c>
      <c r="J34" s="468">
        <v>3</v>
      </c>
      <c r="K34" s="468">
        <v>660</v>
      </c>
      <c r="L34" s="468">
        <v>0.60273972602739723</v>
      </c>
      <c r="M34" s="468">
        <v>220</v>
      </c>
      <c r="N34" s="468">
        <v>2</v>
      </c>
      <c r="O34" s="468">
        <v>446</v>
      </c>
      <c r="P34" s="517">
        <v>0.40730593607305937</v>
      </c>
      <c r="Q34" s="469">
        <v>223</v>
      </c>
    </row>
    <row r="35" spans="1:17" ht="14.4" customHeight="1" x14ac:dyDescent="0.3">
      <c r="A35" s="464" t="s">
        <v>1867</v>
      </c>
      <c r="B35" s="465" t="s">
        <v>1769</v>
      </c>
      <c r="C35" s="465" t="s">
        <v>1756</v>
      </c>
      <c r="D35" s="465" t="s">
        <v>1782</v>
      </c>
      <c r="E35" s="465" t="s">
        <v>1783</v>
      </c>
      <c r="F35" s="468">
        <v>403</v>
      </c>
      <c r="G35" s="468">
        <v>53599</v>
      </c>
      <c r="H35" s="468">
        <v>1</v>
      </c>
      <c r="I35" s="468">
        <v>133</v>
      </c>
      <c r="J35" s="468">
        <v>442</v>
      </c>
      <c r="K35" s="468">
        <v>59228</v>
      </c>
      <c r="L35" s="468">
        <v>1.1050206160562697</v>
      </c>
      <c r="M35" s="468">
        <v>134</v>
      </c>
      <c r="N35" s="468">
        <v>377</v>
      </c>
      <c r="O35" s="468">
        <v>50801</v>
      </c>
      <c r="P35" s="517">
        <v>0.94779753353607343</v>
      </c>
      <c r="Q35" s="469">
        <v>134.75066312997347</v>
      </c>
    </row>
    <row r="36" spans="1:17" ht="14.4" customHeight="1" x14ac:dyDescent="0.3">
      <c r="A36" s="464" t="s">
        <v>1867</v>
      </c>
      <c r="B36" s="465" t="s">
        <v>1769</v>
      </c>
      <c r="C36" s="465" t="s">
        <v>1756</v>
      </c>
      <c r="D36" s="465" t="s">
        <v>1784</v>
      </c>
      <c r="E36" s="465" t="s">
        <v>1783</v>
      </c>
      <c r="F36" s="468"/>
      <c r="G36" s="468"/>
      <c r="H36" s="468"/>
      <c r="I36" s="468"/>
      <c r="J36" s="468">
        <v>3</v>
      </c>
      <c r="K36" s="468">
        <v>525</v>
      </c>
      <c r="L36" s="468"/>
      <c r="M36" s="468">
        <v>175</v>
      </c>
      <c r="N36" s="468">
        <v>4</v>
      </c>
      <c r="O36" s="468">
        <v>706</v>
      </c>
      <c r="P36" s="517"/>
      <c r="Q36" s="469">
        <v>176.5</v>
      </c>
    </row>
    <row r="37" spans="1:17" ht="14.4" customHeight="1" x14ac:dyDescent="0.3">
      <c r="A37" s="464" t="s">
        <v>1867</v>
      </c>
      <c r="B37" s="465" t="s">
        <v>1769</v>
      </c>
      <c r="C37" s="465" t="s">
        <v>1756</v>
      </c>
      <c r="D37" s="465" t="s">
        <v>1785</v>
      </c>
      <c r="E37" s="465" t="s">
        <v>1786</v>
      </c>
      <c r="F37" s="468">
        <v>4</v>
      </c>
      <c r="G37" s="468">
        <v>2436</v>
      </c>
      <c r="H37" s="468">
        <v>1</v>
      </c>
      <c r="I37" s="468">
        <v>609</v>
      </c>
      <c r="J37" s="468">
        <v>2</v>
      </c>
      <c r="K37" s="468">
        <v>1224</v>
      </c>
      <c r="L37" s="468">
        <v>0.50246305418719217</v>
      </c>
      <c r="M37" s="468">
        <v>612</v>
      </c>
      <c r="N37" s="468">
        <v>3</v>
      </c>
      <c r="O37" s="468">
        <v>1848</v>
      </c>
      <c r="P37" s="517">
        <v>0.75862068965517238</v>
      </c>
      <c r="Q37" s="469">
        <v>616</v>
      </c>
    </row>
    <row r="38" spans="1:17" ht="14.4" customHeight="1" x14ac:dyDescent="0.3">
      <c r="A38" s="464" t="s">
        <v>1867</v>
      </c>
      <c r="B38" s="465" t="s">
        <v>1769</v>
      </c>
      <c r="C38" s="465" t="s">
        <v>1756</v>
      </c>
      <c r="D38" s="465" t="s">
        <v>1789</v>
      </c>
      <c r="E38" s="465" t="s">
        <v>1790</v>
      </c>
      <c r="F38" s="468">
        <v>37</v>
      </c>
      <c r="G38" s="468">
        <v>5846</v>
      </c>
      <c r="H38" s="468">
        <v>1</v>
      </c>
      <c r="I38" s="468">
        <v>158</v>
      </c>
      <c r="J38" s="468">
        <v>40</v>
      </c>
      <c r="K38" s="468">
        <v>6360</v>
      </c>
      <c r="L38" s="468">
        <v>1.087923366404379</v>
      </c>
      <c r="M38" s="468">
        <v>159</v>
      </c>
      <c r="N38" s="468">
        <v>43</v>
      </c>
      <c r="O38" s="468">
        <v>6869</v>
      </c>
      <c r="P38" s="517">
        <v>1.1749914471433458</v>
      </c>
      <c r="Q38" s="469">
        <v>159.74418604651163</v>
      </c>
    </row>
    <row r="39" spans="1:17" ht="14.4" customHeight="1" x14ac:dyDescent="0.3">
      <c r="A39" s="464" t="s">
        <v>1867</v>
      </c>
      <c r="B39" s="465" t="s">
        <v>1769</v>
      </c>
      <c r="C39" s="465" t="s">
        <v>1756</v>
      </c>
      <c r="D39" s="465" t="s">
        <v>1793</v>
      </c>
      <c r="E39" s="465" t="s">
        <v>1794</v>
      </c>
      <c r="F39" s="468">
        <v>677</v>
      </c>
      <c r="G39" s="468">
        <v>10832</v>
      </c>
      <c r="H39" s="468">
        <v>1</v>
      </c>
      <c r="I39" s="468">
        <v>16</v>
      </c>
      <c r="J39" s="468">
        <v>753</v>
      </c>
      <c r="K39" s="468">
        <v>12048</v>
      </c>
      <c r="L39" s="468">
        <v>1.1122599704579026</v>
      </c>
      <c r="M39" s="468">
        <v>16</v>
      </c>
      <c r="N39" s="468">
        <v>680</v>
      </c>
      <c r="O39" s="468">
        <v>10880</v>
      </c>
      <c r="P39" s="517">
        <v>1.0044313146233383</v>
      </c>
      <c r="Q39" s="469">
        <v>16</v>
      </c>
    </row>
    <row r="40" spans="1:17" ht="14.4" customHeight="1" x14ac:dyDescent="0.3">
      <c r="A40" s="464" t="s">
        <v>1867</v>
      </c>
      <c r="B40" s="465" t="s">
        <v>1769</v>
      </c>
      <c r="C40" s="465" t="s">
        <v>1756</v>
      </c>
      <c r="D40" s="465" t="s">
        <v>1797</v>
      </c>
      <c r="E40" s="465" t="s">
        <v>1798</v>
      </c>
      <c r="F40" s="468">
        <v>203</v>
      </c>
      <c r="G40" s="468">
        <v>52983</v>
      </c>
      <c r="H40" s="468">
        <v>1</v>
      </c>
      <c r="I40" s="468">
        <v>261</v>
      </c>
      <c r="J40" s="468">
        <v>265</v>
      </c>
      <c r="K40" s="468">
        <v>69430</v>
      </c>
      <c r="L40" s="468">
        <v>1.3104203234999905</v>
      </c>
      <c r="M40" s="468">
        <v>262</v>
      </c>
      <c r="N40" s="468">
        <v>246</v>
      </c>
      <c r="O40" s="468">
        <v>65025</v>
      </c>
      <c r="P40" s="517">
        <v>1.2272804484457278</v>
      </c>
      <c r="Q40" s="469">
        <v>264.32926829268291</v>
      </c>
    </row>
    <row r="41" spans="1:17" ht="14.4" customHeight="1" x14ac:dyDescent="0.3">
      <c r="A41" s="464" t="s">
        <v>1867</v>
      </c>
      <c r="B41" s="465" t="s">
        <v>1769</v>
      </c>
      <c r="C41" s="465" t="s">
        <v>1756</v>
      </c>
      <c r="D41" s="465" t="s">
        <v>1799</v>
      </c>
      <c r="E41" s="465" t="s">
        <v>1796</v>
      </c>
      <c r="F41" s="468">
        <v>225</v>
      </c>
      <c r="G41" s="468">
        <v>31500</v>
      </c>
      <c r="H41" s="468">
        <v>1</v>
      </c>
      <c r="I41" s="468">
        <v>140</v>
      </c>
      <c r="J41" s="468">
        <v>273</v>
      </c>
      <c r="K41" s="468">
        <v>38493</v>
      </c>
      <c r="L41" s="468">
        <v>1.222</v>
      </c>
      <c r="M41" s="468">
        <v>141</v>
      </c>
      <c r="N41" s="468">
        <v>278</v>
      </c>
      <c r="O41" s="468">
        <v>39198</v>
      </c>
      <c r="P41" s="517">
        <v>1.2443809523809524</v>
      </c>
      <c r="Q41" s="469">
        <v>141</v>
      </c>
    </row>
    <row r="42" spans="1:17" ht="14.4" customHeight="1" x14ac:dyDescent="0.3">
      <c r="A42" s="464" t="s">
        <v>1867</v>
      </c>
      <c r="B42" s="465" t="s">
        <v>1769</v>
      </c>
      <c r="C42" s="465" t="s">
        <v>1756</v>
      </c>
      <c r="D42" s="465" t="s">
        <v>1800</v>
      </c>
      <c r="E42" s="465" t="s">
        <v>1796</v>
      </c>
      <c r="F42" s="468">
        <v>403</v>
      </c>
      <c r="G42" s="468">
        <v>31434</v>
      </c>
      <c r="H42" s="468">
        <v>1</v>
      </c>
      <c r="I42" s="468">
        <v>78</v>
      </c>
      <c r="J42" s="468">
        <v>442</v>
      </c>
      <c r="K42" s="468">
        <v>34476</v>
      </c>
      <c r="L42" s="468">
        <v>1.096774193548387</v>
      </c>
      <c r="M42" s="468">
        <v>78</v>
      </c>
      <c r="N42" s="468">
        <v>377</v>
      </c>
      <c r="O42" s="468">
        <v>29406</v>
      </c>
      <c r="P42" s="517">
        <v>0.93548387096774188</v>
      </c>
      <c r="Q42" s="469">
        <v>78</v>
      </c>
    </row>
    <row r="43" spans="1:17" ht="14.4" customHeight="1" x14ac:dyDescent="0.3">
      <c r="A43" s="464" t="s">
        <v>1867</v>
      </c>
      <c r="B43" s="465" t="s">
        <v>1769</v>
      </c>
      <c r="C43" s="465" t="s">
        <v>1756</v>
      </c>
      <c r="D43" s="465" t="s">
        <v>1801</v>
      </c>
      <c r="E43" s="465" t="s">
        <v>1802</v>
      </c>
      <c r="F43" s="468">
        <v>225</v>
      </c>
      <c r="G43" s="468">
        <v>67950</v>
      </c>
      <c r="H43" s="468">
        <v>1</v>
      </c>
      <c r="I43" s="468">
        <v>302</v>
      </c>
      <c r="J43" s="468">
        <v>273</v>
      </c>
      <c r="K43" s="468">
        <v>82719</v>
      </c>
      <c r="L43" s="468">
        <v>1.2173509933774835</v>
      </c>
      <c r="M43" s="468">
        <v>303</v>
      </c>
      <c r="N43" s="468">
        <v>278</v>
      </c>
      <c r="O43" s="468">
        <v>84891</v>
      </c>
      <c r="P43" s="517">
        <v>1.2493156732891832</v>
      </c>
      <c r="Q43" s="469">
        <v>305.363309352518</v>
      </c>
    </row>
    <row r="44" spans="1:17" ht="14.4" customHeight="1" x14ac:dyDescent="0.3">
      <c r="A44" s="464" t="s">
        <v>1867</v>
      </c>
      <c r="B44" s="465" t="s">
        <v>1769</v>
      </c>
      <c r="C44" s="465" t="s">
        <v>1756</v>
      </c>
      <c r="D44" s="465" t="s">
        <v>1805</v>
      </c>
      <c r="E44" s="465" t="s">
        <v>1806</v>
      </c>
      <c r="F44" s="468">
        <v>230</v>
      </c>
      <c r="G44" s="468">
        <v>36570</v>
      </c>
      <c r="H44" s="468">
        <v>1</v>
      </c>
      <c r="I44" s="468">
        <v>159</v>
      </c>
      <c r="J44" s="468">
        <v>245</v>
      </c>
      <c r="K44" s="468">
        <v>39200</v>
      </c>
      <c r="L44" s="468">
        <v>1.0719168717528029</v>
      </c>
      <c r="M44" s="468">
        <v>160</v>
      </c>
      <c r="N44" s="468">
        <v>224</v>
      </c>
      <c r="O44" s="468">
        <v>36003</v>
      </c>
      <c r="P44" s="517">
        <v>0.98449548810500409</v>
      </c>
      <c r="Q44" s="469">
        <v>160.72767857142858</v>
      </c>
    </row>
    <row r="45" spans="1:17" ht="14.4" customHeight="1" x14ac:dyDescent="0.3">
      <c r="A45" s="464" t="s">
        <v>1867</v>
      </c>
      <c r="B45" s="465" t="s">
        <v>1769</v>
      </c>
      <c r="C45" s="465" t="s">
        <v>1756</v>
      </c>
      <c r="D45" s="465" t="s">
        <v>1809</v>
      </c>
      <c r="E45" s="465" t="s">
        <v>1774</v>
      </c>
      <c r="F45" s="468">
        <v>1227</v>
      </c>
      <c r="G45" s="468">
        <v>85890</v>
      </c>
      <c r="H45" s="468">
        <v>1</v>
      </c>
      <c r="I45" s="468">
        <v>70</v>
      </c>
      <c r="J45" s="468">
        <v>1285</v>
      </c>
      <c r="K45" s="468">
        <v>89950</v>
      </c>
      <c r="L45" s="468">
        <v>1.0472697636511819</v>
      </c>
      <c r="M45" s="468">
        <v>70</v>
      </c>
      <c r="N45" s="468">
        <v>1078</v>
      </c>
      <c r="O45" s="468">
        <v>76260</v>
      </c>
      <c r="P45" s="517">
        <v>0.88787984631505412</v>
      </c>
      <c r="Q45" s="469">
        <v>70.742115027829314</v>
      </c>
    </row>
    <row r="46" spans="1:17" ht="14.4" customHeight="1" x14ac:dyDescent="0.3">
      <c r="A46" s="464" t="s">
        <v>1867</v>
      </c>
      <c r="B46" s="465" t="s">
        <v>1769</v>
      </c>
      <c r="C46" s="465" t="s">
        <v>1756</v>
      </c>
      <c r="D46" s="465" t="s">
        <v>1814</v>
      </c>
      <c r="E46" s="465" t="s">
        <v>1815</v>
      </c>
      <c r="F46" s="468">
        <v>11</v>
      </c>
      <c r="G46" s="468">
        <v>2365</v>
      </c>
      <c r="H46" s="468">
        <v>1</v>
      </c>
      <c r="I46" s="468">
        <v>215</v>
      </c>
      <c r="J46" s="468">
        <v>12</v>
      </c>
      <c r="K46" s="468">
        <v>2592</v>
      </c>
      <c r="L46" s="468">
        <v>1.0959830866807612</v>
      </c>
      <c r="M46" s="468">
        <v>216</v>
      </c>
      <c r="N46" s="468">
        <v>8</v>
      </c>
      <c r="O46" s="468">
        <v>1743</v>
      </c>
      <c r="P46" s="517">
        <v>0.73699788583509518</v>
      </c>
      <c r="Q46" s="469">
        <v>217.875</v>
      </c>
    </row>
    <row r="47" spans="1:17" ht="14.4" customHeight="1" x14ac:dyDescent="0.3">
      <c r="A47" s="464" t="s">
        <v>1867</v>
      </c>
      <c r="B47" s="465" t="s">
        <v>1769</v>
      </c>
      <c r="C47" s="465" t="s">
        <v>1756</v>
      </c>
      <c r="D47" s="465" t="s">
        <v>1816</v>
      </c>
      <c r="E47" s="465" t="s">
        <v>1817</v>
      </c>
      <c r="F47" s="468">
        <v>21</v>
      </c>
      <c r="G47" s="468">
        <v>24906</v>
      </c>
      <c r="H47" s="468">
        <v>1</v>
      </c>
      <c r="I47" s="468">
        <v>1186</v>
      </c>
      <c r="J47" s="468">
        <v>26</v>
      </c>
      <c r="K47" s="468">
        <v>30914</v>
      </c>
      <c r="L47" s="468">
        <v>1.241227013571027</v>
      </c>
      <c r="M47" s="468">
        <v>1189</v>
      </c>
      <c r="N47" s="468">
        <v>42</v>
      </c>
      <c r="O47" s="468">
        <v>50046</v>
      </c>
      <c r="P47" s="517">
        <v>2.009395326427367</v>
      </c>
      <c r="Q47" s="469">
        <v>1191.5714285714287</v>
      </c>
    </row>
    <row r="48" spans="1:17" ht="14.4" customHeight="1" x14ac:dyDescent="0.3">
      <c r="A48" s="464" t="s">
        <v>1867</v>
      </c>
      <c r="B48" s="465" t="s">
        <v>1769</v>
      </c>
      <c r="C48" s="465" t="s">
        <v>1756</v>
      </c>
      <c r="D48" s="465" t="s">
        <v>1818</v>
      </c>
      <c r="E48" s="465" t="s">
        <v>1819</v>
      </c>
      <c r="F48" s="468">
        <v>32</v>
      </c>
      <c r="G48" s="468">
        <v>3424</v>
      </c>
      <c r="H48" s="468">
        <v>1</v>
      </c>
      <c r="I48" s="468">
        <v>107</v>
      </c>
      <c r="J48" s="468">
        <v>28</v>
      </c>
      <c r="K48" s="468">
        <v>3024</v>
      </c>
      <c r="L48" s="468">
        <v>0.88317757009345799</v>
      </c>
      <c r="M48" s="468">
        <v>108</v>
      </c>
      <c r="N48" s="468">
        <v>39</v>
      </c>
      <c r="O48" s="468">
        <v>4239</v>
      </c>
      <c r="P48" s="517">
        <v>1.2380257009345794</v>
      </c>
      <c r="Q48" s="469">
        <v>108.69230769230769</v>
      </c>
    </row>
    <row r="49" spans="1:17" ht="14.4" customHeight="1" x14ac:dyDescent="0.3">
      <c r="A49" s="464" t="s">
        <v>1867</v>
      </c>
      <c r="B49" s="465" t="s">
        <v>1769</v>
      </c>
      <c r="C49" s="465" t="s">
        <v>1756</v>
      </c>
      <c r="D49" s="465" t="s">
        <v>1822</v>
      </c>
      <c r="E49" s="465" t="s">
        <v>1823</v>
      </c>
      <c r="F49" s="468">
        <v>5</v>
      </c>
      <c r="G49" s="468">
        <v>1590</v>
      </c>
      <c r="H49" s="468">
        <v>1</v>
      </c>
      <c r="I49" s="468">
        <v>318</v>
      </c>
      <c r="J49" s="468">
        <v>5</v>
      </c>
      <c r="K49" s="468">
        <v>1595</v>
      </c>
      <c r="L49" s="468">
        <v>1.0031446540880504</v>
      </c>
      <c r="M49" s="468">
        <v>319</v>
      </c>
      <c r="N49" s="468">
        <v>2</v>
      </c>
      <c r="O49" s="468">
        <v>641</v>
      </c>
      <c r="P49" s="517">
        <v>0.40314465408805034</v>
      </c>
      <c r="Q49" s="469">
        <v>320.5</v>
      </c>
    </row>
    <row r="50" spans="1:17" ht="14.4" customHeight="1" x14ac:dyDescent="0.3">
      <c r="A50" s="464" t="s">
        <v>1867</v>
      </c>
      <c r="B50" s="465" t="s">
        <v>1769</v>
      </c>
      <c r="C50" s="465" t="s">
        <v>1756</v>
      </c>
      <c r="D50" s="465" t="s">
        <v>1828</v>
      </c>
      <c r="E50" s="465" t="s">
        <v>1829</v>
      </c>
      <c r="F50" s="468">
        <v>2</v>
      </c>
      <c r="G50" s="468">
        <v>2030</v>
      </c>
      <c r="H50" s="468">
        <v>1</v>
      </c>
      <c r="I50" s="468">
        <v>1015</v>
      </c>
      <c r="J50" s="468"/>
      <c r="K50" s="468"/>
      <c r="L50" s="468"/>
      <c r="M50" s="468"/>
      <c r="N50" s="468">
        <v>1</v>
      </c>
      <c r="O50" s="468">
        <v>1029</v>
      </c>
      <c r="P50" s="517">
        <v>0.50689655172413794</v>
      </c>
      <c r="Q50" s="469">
        <v>1029</v>
      </c>
    </row>
    <row r="51" spans="1:17" ht="14.4" customHeight="1" x14ac:dyDescent="0.3">
      <c r="A51" s="464" t="s">
        <v>1867</v>
      </c>
      <c r="B51" s="465" t="s">
        <v>1769</v>
      </c>
      <c r="C51" s="465" t="s">
        <v>1756</v>
      </c>
      <c r="D51" s="465" t="s">
        <v>1830</v>
      </c>
      <c r="E51" s="465" t="s">
        <v>1831</v>
      </c>
      <c r="F51" s="468">
        <v>3</v>
      </c>
      <c r="G51" s="468">
        <v>870</v>
      </c>
      <c r="H51" s="468">
        <v>1</v>
      </c>
      <c r="I51" s="468">
        <v>290</v>
      </c>
      <c r="J51" s="468">
        <v>2</v>
      </c>
      <c r="K51" s="468">
        <v>582</v>
      </c>
      <c r="L51" s="468">
        <v>0.66896551724137931</v>
      </c>
      <c r="M51" s="468">
        <v>291</v>
      </c>
      <c r="N51" s="468">
        <v>2</v>
      </c>
      <c r="O51" s="468">
        <v>586</v>
      </c>
      <c r="P51" s="517">
        <v>0.67356321839080457</v>
      </c>
      <c r="Q51" s="469">
        <v>293</v>
      </c>
    </row>
    <row r="52" spans="1:17" ht="14.4" customHeight="1" x14ac:dyDescent="0.3">
      <c r="A52" s="464" t="s">
        <v>1868</v>
      </c>
      <c r="B52" s="465" t="s">
        <v>1769</v>
      </c>
      <c r="C52" s="465" t="s">
        <v>1756</v>
      </c>
      <c r="D52" s="465" t="s">
        <v>1773</v>
      </c>
      <c r="E52" s="465" t="s">
        <v>1774</v>
      </c>
      <c r="F52" s="468">
        <v>212</v>
      </c>
      <c r="G52" s="468">
        <v>42824</v>
      </c>
      <c r="H52" s="468">
        <v>1</v>
      </c>
      <c r="I52" s="468">
        <v>202</v>
      </c>
      <c r="J52" s="468">
        <v>131</v>
      </c>
      <c r="K52" s="468">
        <v>26593</v>
      </c>
      <c r="L52" s="468">
        <v>0.62098356062021298</v>
      </c>
      <c r="M52" s="468">
        <v>203</v>
      </c>
      <c r="N52" s="468">
        <v>154</v>
      </c>
      <c r="O52" s="468">
        <v>31482</v>
      </c>
      <c r="P52" s="517">
        <v>0.73514851485148514</v>
      </c>
      <c r="Q52" s="469">
        <v>204.42857142857142</v>
      </c>
    </row>
    <row r="53" spans="1:17" ht="14.4" customHeight="1" x14ac:dyDescent="0.3">
      <c r="A53" s="464" t="s">
        <v>1868</v>
      </c>
      <c r="B53" s="465" t="s">
        <v>1769</v>
      </c>
      <c r="C53" s="465" t="s">
        <v>1756</v>
      </c>
      <c r="D53" s="465" t="s">
        <v>1775</v>
      </c>
      <c r="E53" s="465" t="s">
        <v>1774</v>
      </c>
      <c r="F53" s="468"/>
      <c r="G53" s="468"/>
      <c r="H53" s="468"/>
      <c r="I53" s="468"/>
      <c r="J53" s="468">
        <v>1</v>
      </c>
      <c r="K53" s="468">
        <v>84</v>
      </c>
      <c r="L53" s="468"/>
      <c r="M53" s="468">
        <v>84</v>
      </c>
      <c r="N53" s="468">
        <v>10</v>
      </c>
      <c r="O53" s="468">
        <v>847</v>
      </c>
      <c r="P53" s="517"/>
      <c r="Q53" s="469">
        <v>84.7</v>
      </c>
    </row>
    <row r="54" spans="1:17" ht="14.4" customHeight="1" x14ac:dyDescent="0.3">
      <c r="A54" s="464" t="s">
        <v>1868</v>
      </c>
      <c r="B54" s="465" t="s">
        <v>1769</v>
      </c>
      <c r="C54" s="465" t="s">
        <v>1756</v>
      </c>
      <c r="D54" s="465" t="s">
        <v>1776</v>
      </c>
      <c r="E54" s="465" t="s">
        <v>1777</v>
      </c>
      <c r="F54" s="468">
        <v>711</v>
      </c>
      <c r="G54" s="468">
        <v>206901</v>
      </c>
      <c r="H54" s="468">
        <v>1</v>
      </c>
      <c r="I54" s="468">
        <v>291</v>
      </c>
      <c r="J54" s="468">
        <v>721</v>
      </c>
      <c r="K54" s="468">
        <v>210532</v>
      </c>
      <c r="L54" s="468">
        <v>1.0175494560200289</v>
      </c>
      <c r="M54" s="468">
        <v>292</v>
      </c>
      <c r="N54" s="468">
        <v>729</v>
      </c>
      <c r="O54" s="468">
        <v>214170</v>
      </c>
      <c r="P54" s="517">
        <v>1.0351327446459901</v>
      </c>
      <c r="Q54" s="469">
        <v>293.78600823045269</v>
      </c>
    </row>
    <row r="55" spans="1:17" ht="14.4" customHeight="1" x14ac:dyDescent="0.3">
      <c r="A55" s="464" t="s">
        <v>1868</v>
      </c>
      <c r="B55" s="465" t="s">
        <v>1769</v>
      </c>
      <c r="C55" s="465" t="s">
        <v>1756</v>
      </c>
      <c r="D55" s="465" t="s">
        <v>1778</v>
      </c>
      <c r="E55" s="465" t="s">
        <v>1779</v>
      </c>
      <c r="F55" s="468">
        <v>49</v>
      </c>
      <c r="G55" s="468">
        <v>4508</v>
      </c>
      <c r="H55" s="468">
        <v>1</v>
      </c>
      <c r="I55" s="468">
        <v>92</v>
      </c>
      <c r="J55" s="468">
        <v>39</v>
      </c>
      <c r="K55" s="468">
        <v>3627</v>
      </c>
      <c r="L55" s="468">
        <v>0.80456965394853597</v>
      </c>
      <c r="M55" s="468">
        <v>93</v>
      </c>
      <c r="N55" s="468">
        <v>30</v>
      </c>
      <c r="O55" s="468">
        <v>2817</v>
      </c>
      <c r="P55" s="517">
        <v>0.62488908606921034</v>
      </c>
      <c r="Q55" s="469">
        <v>93.9</v>
      </c>
    </row>
    <row r="56" spans="1:17" ht="14.4" customHeight="1" x14ac:dyDescent="0.3">
      <c r="A56" s="464" t="s">
        <v>1868</v>
      </c>
      <c r="B56" s="465" t="s">
        <v>1769</v>
      </c>
      <c r="C56" s="465" t="s">
        <v>1756</v>
      </c>
      <c r="D56" s="465" t="s">
        <v>1780</v>
      </c>
      <c r="E56" s="465" t="s">
        <v>1781</v>
      </c>
      <c r="F56" s="468">
        <v>5</v>
      </c>
      <c r="G56" s="468">
        <v>1095</v>
      </c>
      <c r="H56" s="468">
        <v>1</v>
      </c>
      <c r="I56" s="468">
        <v>219</v>
      </c>
      <c r="J56" s="468">
        <v>4</v>
      </c>
      <c r="K56" s="468">
        <v>880</v>
      </c>
      <c r="L56" s="468">
        <v>0.80365296803652964</v>
      </c>
      <c r="M56" s="468">
        <v>220</v>
      </c>
      <c r="N56" s="468">
        <v>4</v>
      </c>
      <c r="O56" s="468">
        <v>892</v>
      </c>
      <c r="P56" s="517">
        <v>0.81461187214611874</v>
      </c>
      <c r="Q56" s="469">
        <v>223</v>
      </c>
    </row>
    <row r="57" spans="1:17" ht="14.4" customHeight="1" x14ac:dyDescent="0.3">
      <c r="A57" s="464" t="s">
        <v>1868</v>
      </c>
      <c r="B57" s="465" t="s">
        <v>1769</v>
      </c>
      <c r="C57" s="465" t="s">
        <v>1756</v>
      </c>
      <c r="D57" s="465" t="s">
        <v>1782</v>
      </c>
      <c r="E57" s="465" t="s">
        <v>1783</v>
      </c>
      <c r="F57" s="468">
        <v>309</v>
      </c>
      <c r="G57" s="468">
        <v>41097</v>
      </c>
      <c r="H57" s="468">
        <v>1</v>
      </c>
      <c r="I57" s="468">
        <v>133</v>
      </c>
      <c r="J57" s="468">
        <v>317</v>
      </c>
      <c r="K57" s="468">
        <v>42478</v>
      </c>
      <c r="L57" s="468">
        <v>1.0336034260408302</v>
      </c>
      <c r="M57" s="468">
        <v>134</v>
      </c>
      <c r="N57" s="468">
        <v>275</v>
      </c>
      <c r="O57" s="468">
        <v>37052</v>
      </c>
      <c r="P57" s="517">
        <v>0.90157432415991434</v>
      </c>
      <c r="Q57" s="469">
        <v>134.73454545454547</v>
      </c>
    </row>
    <row r="58" spans="1:17" ht="14.4" customHeight="1" x14ac:dyDescent="0.3">
      <c r="A58" s="464" t="s">
        <v>1868</v>
      </c>
      <c r="B58" s="465" t="s">
        <v>1769</v>
      </c>
      <c r="C58" s="465" t="s">
        <v>1756</v>
      </c>
      <c r="D58" s="465" t="s">
        <v>1784</v>
      </c>
      <c r="E58" s="465" t="s">
        <v>1783</v>
      </c>
      <c r="F58" s="468">
        <v>8</v>
      </c>
      <c r="G58" s="468">
        <v>1392</v>
      </c>
      <c r="H58" s="468">
        <v>1</v>
      </c>
      <c r="I58" s="468">
        <v>174</v>
      </c>
      <c r="J58" s="468">
        <v>9</v>
      </c>
      <c r="K58" s="468">
        <v>1575</v>
      </c>
      <c r="L58" s="468">
        <v>1.1314655172413792</v>
      </c>
      <c r="M58" s="468">
        <v>175</v>
      </c>
      <c r="N58" s="468">
        <v>11</v>
      </c>
      <c r="O58" s="468">
        <v>1941</v>
      </c>
      <c r="P58" s="517">
        <v>1.3943965517241379</v>
      </c>
      <c r="Q58" s="469">
        <v>176.45454545454547</v>
      </c>
    </row>
    <row r="59" spans="1:17" ht="14.4" customHeight="1" x14ac:dyDescent="0.3">
      <c r="A59" s="464" t="s">
        <v>1868</v>
      </c>
      <c r="B59" s="465" t="s">
        <v>1769</v>
      </c>
      <c r="C59" s="465" t="s">
        <v>1756</v>
      </c>
      <c r="D59" s="465" t="s">
        <v>1785</v>
      </c>
      <c r="E59" s="465" t="s">
        <v>1786</v>
      </c>
      <c r="F59" s="468">
        <v>2</v>
      </c>
      <c r="G59" s="468">
        <v>1218</v>
      </c>
      <c r="H59" s="468">
        <v>1</v>
      </c>
      <c r="I59" s="468">
        <v>609</v>
      </c>
      <c r="J59" s="468">
        <v>2</v>
      </c>
      <c r="K59" s="468">
        <v>1224</v>
      </c>
      <c r="L59" s="468">
        <v>1.0049261083743843</v>
      </c>
      <c r="M59" s="468">
        <v>612</v>
      </c>
      <c r="N59" s="468">
        <v>1</v>
      </c>
      <c r="O59" s="468">
        <v>618</v>
      </c>
      <c r="P59" s="517">
        <v>0.5073891625615764</v>
      </c>
      <c r="Q59" s="469">
        <v>618</v>
      </c>
    </row>
    <row r="60" spans="1:17" ht="14.4" customHeight="1" x14ac:dyDescent="0.3">
      <c r="A60" s="464" t="s">
        <v>1868</v>
      </c>
      <c r="B60" s="465" t="s">
        <v>1769</v>
      </c>
      <c r="C60" s="465" t="s">
        <v>1756</v>
      </c>
      <c r="D60" s="465" t="s">
        <v>1787</v>
      </c>
      <c r="E60" s="465" t="s">
        <v>1788</v>
      </c>
      <c r="F60" s="468">
        <v>2</v>
      </c>
      <c r="G60" s="468">
        <v>1164</v>
      </c>
      <c r="H60" s="468">
        <v>1</v>
      </c>
      <c r="I60" s="468">
        <v>582</v>
      </c>
      <c r="J60" s="468">
        <v>3</v>
      </c>
      <c r="K60" s="468">
        <v>1755</v>
      </c>
      <c r="L60" s="468">
        <v>1.5077319587628866</v>
      </c>
      <c r="M60" s="468">
        <v>585</v>
      </c>
      <c r="N60" s="468">
        <v>3</v>
      </c>
      <c r="O60" s="468">
        <v>1773</v>
      </c>
      <c r="P60" s="517">
        <v>1.5231958762886597</v>
      </c>
      <c r="Q60" s="469">
        <v>591</v>
      </c>
    </row>
    <row r="61" spans="1:17" ht="14.4" customHeight="1" x14ac:dyDescent="0.3">
      <c r="A61" s="464" t="s">
        <v>1868</v>
      </c>
      <c r="B61" s="465" t="s">
        <v>1769</v>
      </c>
      <c r="C61" s="465" t="s">
        <v>1756</v>
      </c>
      <c r="D61" s="465" t="s">
        <v>1789</v>
      </c>
      <c r="E61" s="465" t="s">
        <v>1790</v>
      </c>
      <c r="F61" s="468">
        <v>45</v>
      </c>
      <c r="G61" s="468">
        <v>7110</v>
      </c>
      <c r="H61" s="468">
        <v>1</v>
      </c>
      <c r="I61" s="468">
        <v>158</v>
      </c>
      <c r="J61" s="468">
        <v>51</v>
      </c>
      <c r="K61" s="468">
        <v>8109</v>
      </c>
      <c r="L61" s="468">
        <v>1.1405063291139241</v>
      </c>
      <c r="M61" s="468">
        <v>159</v>
      </c>
      <c r="N61" s="468">
        <v>42</v>
      </c>
      <c r="O61" s="468">
        <v>6714</v>
      </c>
      <c r="P61" s="517">
        <v>0.94430379746835447</v>
      </c>
      <c r="Q61" s="469">
        <v>159.85714285714286</v>
      </c>
    </row>
    <row r="62" spans="1:17" ht="14.4" customHeight="1" x14ac:dyDescent="0.3">
      <c r="A62" s="464" t="s">
        <v>1868</v>
      </c>
      <c r="B62" s="465" t="s">
        <v>1769</v>
      </c>
      <c r="C62" s="465" t="s">
        <v>1756</v>
      </c>
      <c r="D62" s="465" t="s">
        <v>1791</v>
      </c>
      <c r="E62" s="465" t="s">
        <v>1792</v>
      </c>
      <c r="F62" s="468">
        <v>38</v>
      </c>
      <c r="G62" s="468">
        <v>14516</v>
      </c>
      <c r="H62" s="468">
        <v>1</v>
      </c>
      <c r="I62" s="468">
        <v>382</v>
      </c>
      <c r="J62" s="468">
        <v>27</v>
      </c>
      <c r="K62" s="468">
        <v>10314</v>
      </c>
      <c r="L62" s="468">
        <v>0.71052631578947367</v>
      </c>
      <c r="M62" s="468">
        <v>382</v>
      </c>
      <c r="N62" s="468">
        <v>12</v>
      </c>
      <c r="O62" s="468">
        <v>4589</v>
      </c>
      <c r="P62" s="517">
        <v>0.31613392119041056</v>
      </c>
      <c r="Q62" s="469">
        <v>382.41666666666669</v>
      </c>
    </row>
    <row r="63" spans="1:17" ht="14.4" customHeight="1" x14ac:dyDescent="0.3">
      <c r="A63" s="464" t="s">
        <v>1868</v>
      </c>
      <c r="B63" s="465" t="s">
        <v>1769</v>
      </c>
      <c r="C63" s="465" t="s">
        <v>1756</v>
      </c>
      <c r="D63" s="465" t="s">
        <v>1793</v>
      </c>
      <c r="E63" s="465" t="s">
        <v>1794</v>
      </c>
      <c r="F63" s="468">
        <v>512</v>
      </c>
      <c r="G63" s="468">
        <v>8192</v>
      </c>
      <c r="H63" s="468">
        <v>1</v>
      </c>
      <c r="I63" s="468">
        <v>16</v>
      </c>
      <c r="J63" s="468">
        <v>450</v>
      </c>
      <c r="K63" s="468">
        <v>7200</v>
      </c>
      <c r="L63" s="468">
        <v>0.87890625</v>
      </c>
      <c r="M63" s="468">
        <v>16</v>
      </c>
      <c r="N63" s="468">
        <v>375</v>
      </c>
      <c r="O63" s="468">
        <v>6000</v>
      </c>
      <c r="P63" s="517">
        <v>0.732421875</v>
      </c>
      <c r="Q63" s="469">
        <v>16</v>
      </c>
    </row>
    <row r="64" spans="1:17" ht="14.4" customHeight="1" x14ac:dyDescent="0.3">
      <c r="A64" s="464" t="s">
        <v>1868</v>
      </c>
      <c r="B64" s="465" t="s">
        <v>1769</v>
      </c>
      <c r="C64" s="465" t="s">
        <v>1756</v>
      </c>
      <c r="D64" s="465" t="s">
        <v>1797</v>
      </c>
      <c r="E64" s="465" t="s">
        <v>1798</v>
      </c>
      <c r="F64" s="468">
        <v>56</v>
      </c>
      <c r="G64" s="468">
        <v>14616</v>
      </c>
      <c r="H64" s="468">
        <v>1</v>
      </c>
      <c r="I64" s="468">
        <v>261</v>
      </c>
      <c r="J64" s="468">
        <v>42</v>
      </c>
      <c r="K64" s="468">
        <v>11004</v>
      </c>
      <c r="L64" s="468">
        <v>0.75287356321839083</v>
      </c>
      <c r="M64" s="468">
        <v>262</v>
      </c>
      <c r="N64" s="468">
        <v>46</v>
      </c>
      <c r="O64" s="468">
        <v>12160</v>
      </c>
      <c r="P64" s="517">
        <v>0.83196496989600432</v>
      </c>
      <c r="Q64" s="469">
        <v>264.3478260869565</v>
      </c>
    </row>
    <row r="65" spans="1:17" ht="14.4" customHeight="1" x14ac:dyDescent="0.3">
      <c r="A65" s="464" t="s">
        <v>1868</v>
      </c>
      <c r="B65" s="465" t="s">
        <v>1769</v>
      </c>
      <c r="C65" s="465" t="s">
        <v>1756</v>
      </c>
      <c r="D65" s="465" t="s">
        <v>1799</v>
      </c>
      <c r="E65" s="465" t="s">
        <v>1796</v>
      </c>
      <c r="F65" s="468">
        <v>63</v>
      </c>
      <c r="G65" s="468">
        <v>8820</v>
      </c>
      <c r="H65" s="468">
        <v>1</v>
      </c>
      <c r="I65" s="468">
        <v>140</v>
      </c>
      <c r="J65" s="468">
        <v>39</v>
      </c>
      <c r="K65" s="468">
        <v>5499</v>
      </c>
      <c r="L65" s="468">
        <v>0.62346938775510208</v>
      </c>
      <c r="M65" s="468">
        <v>141</v>
      </c>
      <c r="N65" s="468">
        <v>51</v>
      </c>
      <c r="O65" s="468">
        <v>7191</v>
      </c>
      <c r="P65" s="517">
        <v>0.8153061224489796</v>
      </c>
      <c r="Q65" s="469">
        <v>141</v>
      </c>
    </row>
    <row r="66" spans="1:17" ht="14.4" customHeight="1" x14ac:dyDescent="0.3">
      <c r="A66" s="464" t="s">
        <v>1868</v>
      </c>
      <c r="B66" s="465" t="s">
        <v>1769</v>
      </c>
      <c r="C66" s="465" t="s">
        <v>1756</v>
      </c>
      <c r="D66" s="465" t="s">
        <v>1800</v>
      </c>
      <c r="E66" s="465" t="s">
        <v>1796</v>
      </c>
      <c r="F66" s="468">
        <v>309</v>
      </c>
      <c r="G66" s="468">
        <v>24102</v>
      </c>
      <c r="H66" s="468">
        <v>1</v>
      </c>
      <c r="I66" s="468">
        <v>78</v>
      </c>
      <c r="J66" s="468">
        <v>313</v>
      </c>
      <c r="K66" s="468">
        <v>24414</v>
      </c>
      <c r="L66" s="468">
        <v>1.0129449838187703</v>
      </c>
      <c r="M66" s="468">
        <v>78</v>
      </c>
      <c r="N66" s="468">
        <v>275</v>
      </c>
      <c r="O66" s="468">
        <v>21450</v>
      </c>
      <c r="P66" s="517">
        <v>0.88996763754045305</v>
      </c>
      <c r="Q66" s="469">
        <v>78</v>
      </c>
    </row>
    <row r="67" spans="1:17" ht="14.4" customHeight="1" x14ac:dyDescent="0.3">
      <c r="A67" s="464" t="s">
        <v>1868</v>
      </c>
      <c r="B67" s="465" t="s">
        <v>1769</v>
      </c>
      <c r="C67" s="465" t="s">
        <v>1756</v>
      </c>
      <c r="D67" s="465" t="s">
        <v>1801</v>
      </c>
      <c r="E67" s="465" t="s">
        <v>1802</v>
      </c>
      <c r="F67" s="468">
        <v>64</v>
      </c>
      <c r="G67" s="468">
        <v>19328</v>
      </c>
      <c r="H67" s="468">
        <v>1</v>
      </c>
      <c r="I67" s="468">
        <v>302</v>
      </c>
      <c r="J67" s="468">
        <v>39</v>
      </c>
      <c r="K67" s="468">
        <v>11817</v>
      </c>
      <c r="L67" s="468">
        <v>0.61139279801324509</v>
      </c>
      <c r="M67" s="468">
        <v>303</v>
      </c>
      <c r="N67" s="468">
        <v>51</v>
      </c>
      <c r="O67" s="468">
        <v>15579</v>
      </c>
      <c r="P67" s="517">
        <v>0.80603269867549665</v>
      </c>
      <c r="Q67" s="469">
        <v>305.47058823529414</v>
      </c>
    </row>
    <row r="68" spans="1:17" ht="14.4" customHeight="1" x14ac:dyDescent="0.3">
      <c r="A68" s="464" t="s">
        <v>1868</v>
      </c>
      <c r="B68" s="465" t="s">
        <v>1769</v>
      </c>
      <c r="C68" s="465" t="s">
        <v>1756</v>
      </c>
      <c r="D68" s="465" t="s">
        <v>1803</v>
      </c>
      <c r="E68" s="465" t="s">
        <v>1804</v>
      </c>
      <c r="F68" s="468">
        <v>37</v>
      </c>
      <c r="G68" s="468">
        <v>17982</v>
      </c>
      <c r="H68" s="468">
        <v>1</v>
      </c>
      <c r="I68" s="468">
        <v>486</v>
      </c>
      <c r="J68" s="468">
        <v>26</v>
      </c>
      <c r="K68" s="468">
        <v>12636</v>
      </c>
      <c r="L68" s="468">
        <v>0.70270270270270274</v>
      </c>
      <c r="M68" s="468">
        <v>486</v>
      </c>
      <c r="N68" s="468">
        <v>11</v>
      </c>
      <c r="O68" s="468">
        <v>5350</v>
      </c>
      <c r="P68" s="517">
        <v>0.2975197419641864</v>
      </c>
      <c r="Q68" s="469">
        <v>486.36363636363637</v>
      </c>
    </row>
    <row r="69" spans="1:17" ht="14.4" customHeight="1" x14ac:dyDescent="0.3">
      <c r="A69" s="464" t="s">
        <v>1868</v>
      </c>
      <c r="B69" s="465" t="s">
        <v>1769</v>
      </c>
      <c r="C69" s="465" t="s">
        <v>1756</v>
      </c>
      <c r="D69" s="465" t="s">
        <v>1805</v>
      </c>
      <c r="E69" s="465" t="s">
        <v>1806</v>
      </c>
      <c r="F69" s="468">
        <v>231</v>
      </c>
      <c r="G69" s="468">
        <v>36729</v>
      </c>
      <c r="H69" s="468">
        <v>1</v>
      </c>
      <c r="I69" s="468">
        <v>159</v>
      </c>
      <c r="J69" s="468">
        <v>219</v>
      </c>
      <c r="K69" s="468">
        <v>35040</v>
      </c>
      <c r="L69" s="468">
        <v>0.95401453892019927</v>
      </c>
      <c r="M69" s="468">
        <v>160</v>
      </c>
      <c r="N69" s="468">
        <v>197</v>
      </c>
      <c r="O69" s="468">
        <v>31665</v>
      </c>
      <c r="P69" s="517">
        <v>0.86212529608756028</v>
      </c>
      <c r="Q69" s="469">
        <v>160.73604060913706</v>
      </c>
    </row>
    <row r="70" spans="1:17" ht="14.4" customHeight="1" x14ac:dyDescent="0.3">
      <c r="A70" s="464" t="s">
        <v>1868</v>
      </c>
      <c r="B70" s="465" t="s">
        <v>1769</v>
      </c>
      <c r="C70" s="465" t="s">
        <v>1756</v>
      </c>
      <c r="D70" s="465" t="s">
        <v>1809</v>
      </c>
      <c r="E70" s="465" t="s">
        <v>1774</v>
      </c>
      <c r="F70" s="468">
        <v>540</v>
      </c>
      <c r="G70" s="468">
        <v>37800</v>
      </c>
      <c r="H70" s="468">
        <v>1</v>
      </c>
      <c r="I70" s="468">
        <v>70</v>
      </c>
      <c r="J70" s="468">
        <v>560</v>
      </c>
      <c r="K70" s="468">
        <v>39200</v>
      </c>
      <c r="L70" s="468">
        <v>1.037037037037037</v>
      </c>
      <c r="M70" s="468">
        <v>70</v>
      </c>
      <c r="N70" s="468">
        <v>524</v>
      </c>
      <c r="O70" s="468">
        <v>37066</v>
      </c>
      <c r="P70" s="517">
        <v>0.98058201058201055</v>
      </c>
      <c r="Q70" s="469">
        <v>70.736641221374043</v>
      </c>
    </row>
    <row r="71" spans="1:17" ht="14.4" customHeight="1" x14ac:dyDescent="0.3">
      <c r="A71" s="464" t="s">
        <v>1868</v>
      </c>
      <c r="B71" s="465" t="s">
        <v>1769</v>
      </c>
      <c r="C71" s="465" t="s">
        <v>1756</v>
      </c>
      <c r="D71" s="465" t="s">
        <v>1814</v>
      </c>
      <c r="E71" s="465" t="s">
        <v>1815</v>
      </c>
      <c r="F71" s="468">
        <v>17</v>
      </c>
      <c r="G71" s="468">
        <v>3655</v>
      </c>
      <c r="H71" s="468">
        <v>1</v>
      </c>
      <c r="I71" s="468">
        <v>215</v>
      </c>
      <c r="J71" s="468">
        <v>11</v>
      </c>
      <c r="K71" s="468">
        <v>2376</v>
      </c>
      <c r="L71" s="468">
        <v>0.65006839945280437</v>
      </c>
      <c r="M71" s="468">
        <v>216</v>
      </c>
      <c r="N71" s="468">
        <v>11</v>
      </c>
      <c r="O71" s="468">
        <v>2400</v>
      </c>
      <c r="P71" s="517">
        <v>0.65663474692202461</v>
      </c>
      <c r="Q71" s="469">
        <v>218.18181818181819</v>
      </c>
    </row>
    <row r="72" spans="1:17" ht="14.4" customHeight="1" x14ac:dyDescent="0.3">
      <c r="A72" s="464" t="s">
        <v>1868</v>
      </c>
      <c r="B72" s="465" t="s">
        <v>1769</v>
      </c>
      <c r="C72" s="465" t="s">
        <v>1756</v>
      </c>
      <c r="D72" s="465" t="s">
        <v>1816</v>
      </c>
      <c r="E72" s="465" t="s">
        <v>1817</v>
      </c>
      <c r="F72" s="468">
        <v>18</v>
      </c>
      <c r="G72" s="468">
        <v>21348</v>
      </c>
      <c r="H72" s="468">
        <v>1</v>
      </c>
      <c r="I72" s="468">
        <v>1186</v>
      </c>
      <c r="J72" s="468">
        <v>22</v>
      </c>
      <c r="K72" s="468">
        <v>26158</v>
      </c>
      <c r="L72" s="468">
        <v>1.2253138467303728</v>
      </c>
      <c r="M72" s="468">
        <v>1189</v>
      </c>
      <c r="N72" s="468">
        <v>14</v>
      </c>
      <c r="O72" s="468">
        <v>16690</v>
      </c>
      <c r="P72" s="517">
        <v>0.78180625819748928</v>
      </c>
      <c r="Q72" s="469">
        <v>1192.1428571428571</v>
      </c>
    </row>
    <row r="73" spans="1:17" ht="14.4" customHeight="1" x14ac:dyDescent="0.3">
      <c r="A73" s="464" t="s">
        <v>1868</v>
      </c>
      <c r="B73" s="465" t="s">
        <v>1769</v>
      </c>
      <c r="C73" s="465" t="s">
        <v>1756</v>
      </c>
      <c r="D73" s="465" t="s">
        <v>1818</v>
      </c>
      <c r="E73" s="465" t="s">
        <v>1819</v>
      </c>
      <c r="F73" s="468">
        <v>45</v>
      </c>
      <c r="G73" s="468">
        <v>4815</v>
      </c>
      <c r="H73" s="468">
        <v>1</v>
      </c>
      <c r="I73" s="468">
        <v>107</v>
      </c>
      <c r="J73" s="468">
        <v>41</v>
      </c>
      <c r="K73" s="468">
        <v>4428</v>
      </c>
      <c r="L73" s="468">
        <v>0.9196261682242991</v>
      </c>
      <c r="M73" s="468">
        <v>108</v>
      </c>
      <c r="N73" s="468">
        <v>25</v>
      </c>
      <c r="O73" s="468">
        <v>2719</v>
      </c>
      <c r="P73" s="517">
        <v>0.56469366562824508</v>
      </c>
      <c r="Q73" s="469">
        <v>108.76</v>
      </c>
    </row>
    <row r="74" spans="1:17" ht="14.4" customHeight="1" x14ac:dyDescent="0.3">
      <c r="A74" s="464" t="s">
        <v>1868</v>
      </c>
      <c r="B74" s="465" t="s">
        <v>1769</v>
      </c>
      <c r="C74" s="465" t="s">
        <v>1756</v>
      </c>
      <c r="D74" s="465" t="s">
        <v>1822</v>
      </c>
      <c r="E74" s="465" t="s">
        <v>1823</v>
      </c>
      <c r="F74" s="468">
        <v>10</v>
      </c>
      <c r="G74" s="468">
        <v>3180</v>
      </c>
      <c r="H74" s="468">
        <v>1</v>
      </c>
      <c r="I74" s="468">
        <v>318</v>
      </c>
      <c r="J74" s="468">
        <v>3</v>
      </c>
      <c r="K74" s="468">
        <v>957</v>
      </c>
      <c r="L74" s="468">
        <v>0.30094339622641508</v>
      </c>
      <c r="M74" s="468">
        <v>319</v>
      </c>
      <c r="N74" s="468">
        <v>2</v>
      </c>
      <c r="O74" s="468">
        <v>644</v>
      </c>
      <c r="P74" s="517">
        <v>0.20251572327044026</v>
      </c>
      <c r="Q74" s="469">
        <v>322</v>
      </c>
    </row>
    <row r="75" spans="1:17" ht="14.4" customHeight="1" x14ac:dyDescent="0.3">
      <c r="A75" s="464" t="s">
        <v>1868</v>
      </c>
      <c r="B75" s="465" t="s">
        <v>1769</v>
      </c>
      <c r="C75" s="465" t="s">
        <v>1756</v>
      </c>
      <c r="D75" s="465" t="s">
        <v>1828</v>
      </c>
      <c r="E75" s="465" t="s">
        <v>1829</v>
      </c>
      <c r="F75" s="468">
        <v>3</v>
      </c>
      <c r="G75" s="468">
        <v>3045</v>
      </c>
      <c r="H75" s="468">
        <v>1</v>
      </c>
      <c r="I75" s="468">
        <v>1015</v>
      </c>
      <c r="J75" s="468">
        <v>4</v>
      </c>
      <c r="K75" s="468">
        <v>4080</v>
      </c>
      <c r="L75" s="468">
        <v>1.3399014778325122</v>
      </c>
      <c r="M75" s="468">
        <v>1020</v>
      </c>
      <c r="N75" s="468">
        <v>4</v>
      </c>
      <c r="O75" s="468">
        <v>4116</v>
      </c>
      <c r="P75" s="517">
        <v>1.3517241379310345</v>
      </c>
      <c r="Q75" s="469">
        <v>1029</v>
      </c>
    </row>
    <row r="76" spans="1:17" ht="14.4" customHeight="1" x14ac:dyDescent="0.3">
      <c r="A76" s="464" t="s">
        <v>1868</v>
      </c>
      <c r="B76" s="465" t="s">
        <v>1769</v>
      </c>
      <c r="C76" s="465" t="s">
        <v>1756</v>
      </c>
      <c r="D76" s="465" t="s">
        <v>1830</v>
      </c>
      <c r="E76" s="465" t="s">
        <v>1831</v>
      </c>
      <c r="F76" s="468">
        <v>2</v>
      </c>
      <c r="G76" s="468">
        <v>580</v>
      </c>
      <c r="H76" s="468">
        <v>1</v>
      </c>
      <c r="I76" s="468">
        <v>290</v>
      </c>
      <c r="J76" s="468">
        <v>1</v>
      </c>
      <c r="K76" s="468">
        <v>291</v>
      </c>
      <c r="L76" s="468">
        <v>0.50172413793103443</v>
      </c>
      <c r="M76" s="468">
        <v>291</v>
      </c>
      <c r="N76" s="468">
        <v>3</v>
      </c>
      <c r="O76" s="468">
        <v>879</v>
      </c>
      <c r="P76" s="517">
        <v>1.5155172413793103</v>
      </c>
      <c r="Q76" s="469">
        <v>293</v>
      </c>
    </row>
    <row r="77" spans="1:17" ht="14.4" customHeight="1" x14ac:dyDescent="0.3">
      <c r="A77" s="464" t="s">
        <v>1868</v>
      </c>
      <c r="B77" s="465" t="s">
        <v>1769</v>
      </c>
      <c r="C77" s="465" t="s">
        <v>1756</v>
      </c>
      <c r="D77" s="465" t="s">
        <v>1834</v>
      </c>
      <c r="E77" s="465" t="s">
        <v>1835</v>
      </c>
      <c r="F77" s="468"/>
      <c r="G77" s="468"/>
      <c r="H77" s="468"/>
      <c r="I77" s="468"/>
      <c r="J77" s="468"/>
      <c r="K77" s="468"/>
      <c r="L77" s="468"/>
      <c r="M77" s="468"/>
      <c r="N77" s="468">
        <v>1</v>
      </c>
      <c r="O77" s="468">
        <v>26</v>
      </c>
      <c r="P77" s="517"/>
      <c r="Q77" s="469">
        <v>26</v>
      </c>
    </row>
    <row r="78" spans="1:17" ht="14.4" customHeight="1" x14ac:dyDescent="0.3">
      <c r="A78" s="464" t="s">
        <v>1869</v>
      </c>
      <c r="B78" s="465" t="s">
        <v>1769</v>
      </c>
      <c r="C78" s="465" t="s">
        <v>1756</v>
      </c>
      <c r="D78" s="465" t="s">
        <v>1773</v>
      </c>
      <c r="E78" s="465" t="s">
        <v>1774</v>
      </c>
      <c r="F78" s="468">
        <v>1148</v>
      </c>
      <c r="G78" s="468">
        <v>231896</v>
      </c>
      <c r="H78" s="468">
        <v>1</v>
      </c>
      <c r="I78" s="468">
        <v>202</v>
      </c>
      <c r="J78" s="468">
        <v>991</v>
      </c>
      <c r="K78" s="468">
        <v>201173</v>
      </c>
      <c r="L78" s="468">
        <v>0.86751388553489495</v>
      </c>
      <c r="M78" s="468">
        <v>203</v>
      </c>
      <c r="N78" s="468">
        <v>933</v>
      </c>
      <c r="O78" s="468">
        <v>190705</v>
      </c>
      <c r="P78" s="517">
        <v>0.82237296029254492</v>
      </c>
      <c r="Q78" s="469">
        <v>204.39978563772775</v>
      </c>
    </row>
    <row r="79" spans="1:17" ht="14.4" customHeight="1" x14ac:dyDescent="0.3">
      <c r="A79" s="464" t="s">
        <v>1869</v>
      </c>
      <c r="B79" s="465" t="s">
        <v>1769</v>
      </c>
      <c r="C79" s="465" t="s">
        <v>1756</v>
      </c>
      <c r="D79" s="465" t="s">
        <v>1776</v>
      </c>
      <c r="E79" s="465" t="s">
        <v>1777</v>
      </c>
      <c r="F79" s="468">
        <v>836</v>
      </c>
      <c r="G79" s="468">
        <v>243276</v>
      </c>
      <c r="H79" s="468">
        <v>1</v>
      </c>
      <c r="I79" s="468">
        <v>291</v>
      </c>
      <c r="J79" s="468">
        <v>673</v>
      </c>
      <c r="K79" s="468">
        <v>196516</v>
      </c>
      <c r="L79" s="468">
        <v>0.80779032868018219</v>
      </c>
      <c r="M79" s="468">
        <v>292</v>
      </c>
      <c r="N79" s="468">
        <v>1299</v>
      </c>
      <c r="O79" s="468">
        <v>381142</v>
      </c>
      <c r="P79" s="517">
        <v>1.5667061280192045</v>
      </c>
      <c r="Q79" s="469">
        <v>293.41185527328713</v>
      </c>
    </row>
    <row r="80" spans="1:17" ht="14.4" customHeight="1" x14ac:dyDescent="0.3">
      <c r="A80" s="464" t="s">
        <v>1869</v>
      </c>
      <c r="B80" s="465" t="s">
        <v>1769</v>
      </c>
      <c r="C80" s="465" t="s">
        <v>1756</v>
      </c>
      <c r="D80" s="465" t="s">
        <v>1778</v>
      </c>
      <c r="E80" s="465" t="s">
        <v>1779</v>
      </c>
      <c r="F80" s="468">
        <v>19</v>
      </c>
      <c r="G80" s="468">
        <v>1748</v>
      </c>
      <c r="H80" s="468">
        <v>1</v>
      </c>
      <c r="I80" s="468">
        <v>92</v>
      </c>
      <c r="J80" s="468">
        <v>21</v>
      </c>
      <c r="K80" s="468">
        <v>1953</v>
      </c>
      <c r="L80" s="468">
        <v>1.1172768878718535</v>
      </c>
      <c r="M80" s="468">
        <v>93</v>
      </c>
      <c r="N80" s="468">
        <v>21</v>
      </c>
      <c r="O80" s="468">
        <v>1965</v>
      </c>
      <c r="P80" s="517">
        <v>1.124141876430206</v>
      </c>
      <c r="Q80" s="469">
        <v>93.571428571428569</v>
      </c>
    </row>
    <row r="81" spans="1:17" ht="14.4" customHeight="1" x14ac:dyDescent="0.3">
      <c r="A81" s="464" t="s">
        <v>1869</v>
      </c>
      <c r="B81" s="465" t="s">
        <v>1769</v>
      </c>
      <c r="C81" s="465" t="s">
        <v>1756</v>
      </c>
      <c r="D81" s="465" t="s">
        <v>1780</v>
      </c>
      <c r="E81" s="465" t="s">
        <v>1781</v>
      </c>
      <c r="F81" s="468">
        <v>2</v>
      </c>
      <c r="G81" s="468">
        <v>438</v>
      </c>
      <c r="H81" s="468">
        <v>1</v>
      </c>
      <c r="I81" s="468">
        <v>219</v>
      </c>
      <c r="J81" s="468"/>
      <c r="K81" s="468"/>
      <c r="L81" s="468"/>
      <c r="M81" s="468"/>
      <c r="N81" s="468"/>
      <c r="O81" s="468"/>
      <c r="P81" s="517"/>
      <c r="Q81" s="469"/>
    </row>
    <row r="82" spans="1:17" ht="14.4" customHeight="1" x14ac:dyDescent="0.3">
      <c r="A82" s="464" t="s">
        <v>1869</v>
      </c>
      <c r="B82" s="465" t="s">
        <v>1769</v>
      </c>
      <c r="C82" s="465" t="s">
        <v>1756</v>
      </c>
      <c r="D82" s="465" t="s">
        <v>1782</v>
      </c>
      <c r="E82" s="465" t="s">
        <v>1783</v>
      </c>
      <c r="F82" s="468">
        <v>856</v>
      </c>
      <c r="G82" s="468">
        <v>113848</v>
      </c>
      <c r="H82" s="468">
        <v>1</v>
      </c>
      <c r="I82" s="468">
        <v>133</v>
      </c>
      <c r="J82" s="468">
        <v>831</v>
      </c>
      <c r="K82" s="468">
        <v>111354</v>
      </c>
      <c r="L82" s="468">
        <v>0.9780935984821868</v>
      </c>
      <c r="M82" s="468">
        <v>134</v>
      </c>
      <c r="N82" s="468">
        <v>805</v>
      </c>
      <c r="O82" s="468">
        <v>108459</v>
      </c>
      <c r="P82" s="517">
        <v>0.9526649567844846</v>
      </c>
      <c r="Q82" s="469">
        <v>134.73167701863355</v>
      </c>
    </row>
    <row r="83" spans="1:17" ht="14.4" customHeight="1" x14ac:dyDescent="0.3">
      <c r="A83" s="464" t="s">
        <v>1869</v>
      </c>
      <c r="B83" s="465" t="s">
        <v>1769</v>
      </c>
      <c r="C83" s="465" t="s">
        <v>1756</v>
      </c>
      <c r="D83" s="465" t="s">
        <v>1784</v>
      </c>
      <c r="E83" s="465" t="s">
        <v>1783</v>
      </c>
      <c r="F83" s="468">
        <v>1</v>
      </c>
      <c r="G83" s="468">
        <v>174</v>
      </c>
      <c r="H83" s="468">
        <v>1</v>
      </c>
      <c r="I83" s="468">
        <v>174</v>
      </c>
      <c r="J83" s="468">
        <v>3</v>
      </c>
      <c r="K83" s="468">
        <v>525</v>
      </c>
      <c r="L83" s="468">
        <v>3.0172413793103448</v>
      </c>
      <c r="M83" s="468">
        <v>175</v>
      </c>
      <c r="N83" s="468"/>
      <c r="O83" s="468"/>
      <c r="P83" s="517"/>
      <c r="Q83" s="469"/>
    </row>
    <row r="84" spans="1:17" ht="14.4" customHeight="1" x14ac:dyDescent="0.3">
      <c r="A84" s="464" t="s">
        <v>1869</v>
      </c>
      <c r="B84" s="465" t="s">
        <v>1769</v>
      </c>
      <c r="C84" s="465" t="s">
        <v>1756</v>
      </c>
      <c r="D84" s="465" t="s">
        <v>1785</v>
      </c>
      <c r="E84" s="465" t="s">
        <v>1786</v>
      </c>
      <c r="F84" s="468">
        <v>4</v>
      </c>
      <c r="G84" s="468">
        <v>2436</v>
      </c>
      <c r="H84" s="468">
        <v>1</v>
      </c>
      <c r="I84" s="468">
        <v>609</v>
      </c>
      <c r="J84" s="468">
        <v>2</v>
      </c>
      <c r="K84" s="468">
        <v>1224</v>
      </c>
      <c r="L84" s="468">
        <v>0.50246305418719217</v>
      </c>
      <c r="M84" s="468">
        <v>612</v>
      </c>
      <c r="N84" s="468">
        <v>3</v>
      </c>
      <c r="O84" s="468">
        <v>1854</v>
      </c>
      <c r="P84" s="517">
        <v>0.76108374384236455</v>
      </c>
      <c r="Q84" s="469">
        <v>618</v>
      </c>
    </row>
    <row r="85" spans="1:17" ht="14.4" customHeight="1" x14ac:dyDescent="0.3">
      <c r="A85" s="464" t="s">
        <v>1869</v>
      </c>
      <c r="B85" s="465" t="s">
        <v>1769</v>
      </c>
      <c r="C85" s="465" t="s">
        <v>1756</v>
      </c>
      <c r="D85" s="465" t="s">
        <v>1787</v>
      </c>
      <c r="E85" s="465" t="s">
        <v>1788</v>
      </c>
      <c r="F85" s="468"/>
      <c r="G85" s="468"/>
      <c r="H85" s="468"/>
      <c r="I85" s="468"/>
      <c r="J85" s="468">
        <v>1</v>
      </c>
      <c r="K85" s="468">
        <v>585</v>
      </c>
      <c r="L85" s="468"/>
      <c r="M85" s="468">
        <v>585</v>
      </c>
      <c r="N85" s="468"/>
      <c r="O85" s="468"/>
      <c r="P85" s="517"/>
      <c r="Q85" s="469"/>
    </row>
    <row r="86" spans="1:17" ht="14.4" customHeight="1" x14ac:dyDescent="0.3">
      <c r="A86" s="464" t="s">
        <v>1869</v>
      </c>
      <c r="B86" s="465" t="s">
        <v>1769</v>
      </c>
      <c r="C86" s="465" t="s">
        <v>1756</v>
      </c>
      <c r="D86" s="465" t="s">
        <v>1789</v>
      </c>
      <c r="E86" s="465" t="s">
        <v>1790</v>
      </c>
      <c r="F86" s="468">
        <v>40</v>
      </c>
      <c r="G86" s="468">
        <v>6320</v>
      </c>
      <c r="H86" s="468">
        <v>1</v>
      </c>
      <c r="I86" s="468">
        <v>158</v>
      </c>
      <c r="J86" s="468">
        <v>46</v>
      </c>
      <c r="K86" s="468">
        <v>7314</v>
      </c>
      <c r="L86" s="468">
        <v>1.1572784810126582</v>
      </c>
      <c r="M86" s="468">
        <v>159</v>
      </c>
      <c r="N86" s="468">
        <v>53</v>
      </c>
      <c r="O86" s="468">
        <v>8462</v>
      </c>
      <c r="P86" s="517">
        <v>1.3389240506329114</v>
      </c>
      <c r="Q86" s="469">
        <v>159.66037735849056</v>
      </c>
    </row>
    <row r="87" spans="1:17" ht="14.4" customHeight="1" x14ac:dyDescent="0.3">
      <c r="A87" s="464" t="s">
        <v>1869</v>
      </c>
      <c r="B87" s="465" t="s">
        <v>1769</v>
      </c>
      <c r="C87" s="465" t="s">
        <v>1756</v>
      </c>
      <c r="D87" s="465" t="s">
        <v>1791</v>
      </c>
      <c r="E87" s="465" t="s">
        <v>1792</v>
      </c>
      <c r="F87" s="468">
        <v>1</v>
      </c>
      <c r="G87" s="468">
        <v>382</v>
      </c>
      <c r="H87" s="468">
        <v>1</v>
      </c>
      <c r="I87" s="468">
        <v>382</v>
      </c>
      <c r="J87" s="468">
        <v>1</v>
      </c>
      <c r="K87" s="468">
        <v>382</v>
      </c>
      <c r="L87" s="468">
        <v>1</v>
      </c>
      <c r="M87" s="468">
        <v>382</v>
      </c>
      <c r="N87" s="468">
        <v>1</v>
      </c>
      <c r="O87" s="468">
        <v>383</v>
      </c>
      <c r="P87" s="517">
        <v>1.0026178010471205</v>
      </c>
      <c r="Q87" s="469">
        <v>383</v>
      </c>
    </row>
    <row r="88" spans="1:17" ht="14.4" customHeight="1" x14ac:dyDescent="0.3">
      <c r="A88" s="464" t="s">
        <v>1869</v>
      </c>
      <c r="B88" s="465" t="s">
        <v>1769</v>
      </c>
      <c r="C88" s="465" t="s">
        <v>1756</v>
      </c>
      <c r="D88" s="465" t="s">
        <v>1793</v>
      </c>
      <c r="E88" s="465" t="s">
        <v>1794</v>
      </c>
      <c r="F88" s="468">
        <v>1105</v>
      </c>
      <c r="G88" s="468">
        <v>17680</v>
      </c>
      <c r="H88" s="468">
        <v>1</v>
      </c>
      <c r="I88" s="468">
        <v>16</v>
      </c>
      <c r="J88" s="468">
        <v>1056</v>
      </c>
      <c r="K88" s="468">
        <v>16896</v>
      </c>
      <c r="L88" s="468">
        <v>0.95565610859728511</v>
      </c>
      <c r="M88" s="468">
        <v>16</v>
      </c>
      <c r="N88" s="468">
        <v>1018</v>
      </c>
      <c r="O88" s="468">
        <v>16288</v>
      </c>
      <c r="P88" s="517">
        <v>0.9212669683257918</v>
      </c>
      <c r="Q88" s="469">
        <v>16</v>
      </c>
    </row>
    <row r="89" spans="1:17" ht="14.4" customHeight="1" x14ac:dyDescent="0.3">
      <c r="A89" s="464" t="s">
        <v>1869</v>
      </c>
      <c r="B89" s="465" t="s">
        <v>1769</v>
      </c>
      <c r="C89" s="465" t="s">
        <v>1756</v>
      </c>
      <c r="D89" s="465" t="s">
        <v>1797</v>
      </c>
      <c r="E89" s="465" t="s">
        <v>1798</v>
      </c>
      <c r="F89" s="468">
        <v>162</v>
      </c>
      <c r="G89" s="468">
        <v>42282</v>
      </c>
      <c r="H89" s="468">
        <v>1</v>
      </c>
      <c r="I89" s="468">
        <v>261</v>
      </c>
      <c r="J89" s="468">
        <v>184</v>
      </c>
      <c r="K89" s="468">
        <v>48208</v>
      </c>
      <c r="L89" s="468">
        <v>1.1401542027340239</v>
      </c>
      <c r="M89" s="468">
        <v>262</v>
      </c>
      <c r="N89" s="468">
        <v>169</v>
      </c>
      <c r="O89" s="468">
        <v>44626</v>
      </c>
      <c r="P89" s="517">
        <v>1.055437301925169</v>
      </c>
      <c r="Q89" s="469">
        <v>264.05917159763311</v>
      </c>
    </row>
    <row r="90" spans="1:17" ht="14.4" customHeight="1" x14ac:dyDescent="0.3">
      <c r="A90" s="464" t="s">
        <v>1869</v>
      </c>
      <c r="B90" s="465" t="s">
        <v>1769</v>
      </c>
      <c r="C90" s="465" t="s">
        <v>1756</v>
      </c>
      <c r="D90" s="465" t="s">
        <v>1799</v>
      </c>
      <c r="E90" s="465" t="s">
        <v>1796</v>
      </c>
      <c r="F90" s="468">
        <v>212</v>
      </c>
      <c r="G90" s="468">
        <v>29680</v>
      </c>
      <c r="H90" s="468">
        <v>1</v>
      </c>
      <c r="I90" s="468">
        <v>140</v>
      </c>
      <c r="J90" s="468">
        <v>201</v>
      </c>
      <c r="K90" s="468">
        <v>28341</v>
      </c>
      <c r="L90" s="468">
        <v>0.95488544474393533</v>
      </c>
      <c r="M90" s="468">
        <v>141</v>
      </c>
      <c r="N90" s="468">
        <v>195</v>
      </c>
      <c r="O90" s="468">
        <v>27495</v>
      </c>
      <c r="P90" s="517">
        <v>0.92638140161725069</v>
      </c>
      <c r="Q90" s="469">
        <v>141</v>
      </c>
    </row>
    <row r="91" spans="1:17" ht="14.4" customHeight="1" x14ac:dyDescent="0.3">
      <c r="A91" s="464" t="s">
        <v>1869</v>
      </c>
      <c r="B91" s="465" t="s">
        <v>1769</v>
      </c>
      <c r="C91" s="465" t="s">
        <v>1756</v>
      </c>
      <c r="D91" s="465" t="s">
        <v>1800</v>
      </c>
      <c r="E91" s="465" t="s">
        <v>1796</v>
      </c>
      <c r="F91" s="468">
        <v>856</v>
      </c>
      <c r="G91" s="468">
        <v>66768</v>
      </c>
      <c r="H91" s="468">
        <v>1</v>
      </c>
      <c r="I91" s="468">
        <v>78</v>
      </c>
      <c r="J91" s="468">
        <v>823</v>
      </c>
      <c r="K91" s="468">
        <v>64194</v>
      </c>
      <c r="L91" s="468">
        <v>0.96144859813084116</v>
      </c>
      <c r="M91" s="468">
        <v>78</v>
      </c>
      <c r="N91" s="468">
        <v>804</v>
      </c>
      <c r="O91" s="468">
        <v>62712</v>
      </c>
      <c r="P91" s="517">
        <v>0.93925233644859818</v>
      </c>
      <c r="Q91" s="469">
        <v>78</v>
      </c>
    </row>
    <row r="92" spans="1:17" ht="14.4" customHeight="1" x14ac:dyDescent="0.3">
      <c r="A92" s="464" t="s">
        <v>1869</v>
      </c>
      <c r="B92" s="465" t="s">
        <v>1769</v>
      </c>
      <c r="C92" s="465" t="s">
        <v>1756</v>
      </c>
      <c r="D92" s="465" t="s">
        <v>1801</v>
      </c>
      <c r="E92" s="465" t="s">
        <v>1802</v>
      </c>
      <c r="F92" s="468">
        <v>212</v>
      </c>
      <c r="G92" s="468">
        <v>64024</v>
      </c>
      <c r="H92" s="468">
        <v>1</v>
      </c>
      <c r="I92" s="468">
        <v>302</v>
      </c>
      <c r="J92" s="468">
        <v>201</v>
      </c>
      <c r="K92" s="468">
        <v>60903</v>
      </c>
      <c r="L92" s="468">
        <v>0.9512526552542796</v>
      </c>
      <c r="M92" s="468">
        <v>303</v>
      </c>
      <c r="N92" s="468">
        <v>195</v>
      </c>
      <c r="O92" s="468">
        <v>59502</v>
      </c>
      <c r="P92" s="517">
        <v>0.92937023616143943</v>
      </c>
      <c r="Q92" s="469">
        <v>305.13846153846151</v>
      </c>
    </row>
    <row r="93" spans="1:17" ht="14.4" customHeight="1" x14ac:dyDescent="0.3">
      <c r="A93" s="464" t="s">
        <v>1869</v>
      </c>
      <c r="B93" s="465" t="s">
        <v>1769</v>
      </c>
      <c r="C93" s="465" t="s">
        <v>1756</v>
      </c>
      <c r="D93" s="465" t="s">
        <v>1803</v>
      </c>
      <c r="E93" s="465" t="s">
        <v>1804</v>
      </c>
      <c r="F93" s="468"/>
      <c r="G93" s="468"/>
      <c r="H93" s="468"/>
      <c r="I93" s="468"/>
      <c r="J93" s="468">
        <v>1</v>
      </c>
      <c r="K93" s="468">
        <v>486</v>
      </c>
      <c r="L93" s="468"/>
      <c r="M93" s="468">
        <v>486</v>
      </c>
      <c r="N93" s="468">
        <v>1</v>
      </c>
      <c r="O93" s="468">
        <v>487</v>
      </c>
      <c r="P93" s="517"/>
      <c r="Q93" s="469">
        <v>487</v>
      </c>
    </row>
    <row r="94" spans="1:17" ht="14.4" customHeight="1" x14ac:dyDescent="0.3">
      <c r="A94" s="464" t="s">
        <v>1869</v>
      </c>
      <c r="B94" s="465" t="s">
        <v>1769</v>
      </c>
      <c r="C94" s="465" t="s">
        <v>1756</v>
      </c>
      <c r="D94" s="465" t="s">
        <v>1805</v>
      </c>
      <c r="E94" s="465" t="s">
        <v>1806</v>
      </c>
      <c r="F94" s="468">
        <v>649</v>
      </c>
      <c r="G94" s="468">
        <v>103191</v>
      </c>
      <c r="H94" s="468">
        <v>1</v>
      </c>
      <c r="I94" s="468">
        <v>159</v>
      </c>
      <c r="J94" s="468">
        <v>653</v>
      </c>
      <c r="K94" s="468">
        <v>104480</v>
      </c>
      <c r="L94" s="468">
        <v>1.0124913994437499</v>
      </c>
      <c r="M94" s="468">
        <v>160</v>
      </c>
      <c r="N94" s="468">
        <v>640</v>
      </c>
      <c r="O94" s="468">
        <v>102874</v>
      </c>
      <c r="P94" s="517">
        <v>0.9969280266689925</v>
      </c>
      <c r="Q94" s="469">
        <v>160.74062499999999</v>
      </c>
    </row>
    <row r="95" spans="1:17" ht="14.4" customHeight="1" x14ac:dyDescent="0.3">
      <c r="A95" s="464" t="s">
        <v>1869</v>
      </c>
      <c r="B95" s="465" t="s">
        <v>1769</v>
      </c>
      <c r="C95" s="465" t="s">
        <v>1756</v>
      </c>
      <c r="D95" s="465" t="s">
        <v>1809</v>
      </c>
      <c r="E95" s="465" t="s">
        <v>1774</v>
      </c>
      <c r="F95" s="468">
        <v>2078</v>
      </c>
      <c r="G95" s="468">
        <v>145460</v>
      </c>
      <c r="H95" s="468">
        <v>1</v>
      </c>
      <c r="I95" s="468">
        <v>70</v>
      </c>
      <c r="J95" s="468">
        <v>1949</v>
      </c>
      <c r="K95" s="468">
        <v>136430</v>
      </c>
      <c r="L95" s="468">
        <v>0.93792107795957647</v>
      </c>
      <c r="M95" s="468">
        <v>70</v>
      </c>
      <c r="N95" s="468">
        <v>2091</v>
      </c>
      <c r="O95" s="468">
        <v>147903</v>
      </c>
      <c r="P95" s="517">
        <v>1.0167949951876805</v>
      </c>
      <c r="Q95" s="469">
        <v>70.733142037302727</v>
      </c>
    </row>
    <row r="96" spans="1:17" ht="14.4" customHeight="1" x14ac:dyDescent="0.3">
      <c r="A96" s="464" t="s">
        <v>1869</v>
      </c>
      <c r="B96" s="465" t="s">
        <v>1769</v>
      </c>
      <c r="C96" s="465" t="s">
        <v>1756</v>
      </c>
      <c r="D96" s="465" t="s">
        <v>1814</v>
      </c>
      <c r="E96" s="465" t="s">
        <v>1815</v>
      </c>
      <c r="F96" s="468">
        <v>1</v>
      </c>
      <c r="G96" s="468">
        <v>215</v>
      </c>
      <c r="H96" s="468">
        <v>1</v>
      </c>
      <c r="I96" s="468">
        <v>215</v>
      </c>
      <c r="J96" s="468">
        <v>7</v>
      </c>
      <c r="K96" s="468">
        <v>1512</v>
      </c>
      <c r="L96" s="468">
        <v>7.032558139534884</v>
      </c>
      <c r="M96" s="468">
        <v>216</v>
      </c>
      <c r="N96" s="468"/>
      <c r="O96" s="468"/>
      <c r="P96" s="517"/>
      <c r="Q96" s="469"/>
    </row>
    <row r="97" spans="1:17" ht="14.4" customHeight="1" x14ac:dyDescent="0.3">
      <c r="A97" s="464" t="s">
        <v>1869</v>
      </c>
      <c r="B97" s="465" t="s">
        <v>1769</v>
      </c>
      <c r="C97" s="465" t="s">
        <v>1756</v>
      </c>
      <c r="D97" s="465" t="s">
        <v>1816</v>
      </c>
      <c r="E97" s="465" t="s">
        <v>1817</v>
      </c>
      <c r="F97" s="468">
        <v>32</v>
      </c>
      <c r="G97" s="468">
        <v>37952</v>
      </c>
      <c r="H97" s="468">
        <v>1</v>
      </c>
      <c r="I97" s="468">
        <v>1186</v>
      </c>
      <c r="J97" s="468">
        <v>33</v>
      </c>
      <c r="K97" s="468">
        <v>39237</v>
      </c>
      <c r="L97" s="468">
        <v>1.0338585581787521</v>
      </c>
      <c r="M97" s="468">
        <v>1189</v>
      </c>
      <c r="N97" s="468">
        <v>43</v>
      </c>
      <c r="O97" s="468">
        <v>51251</v>
      </c>
      <c r="P97" s="517">
        <v>1.3504163153456998</v>
      </c>
      <c r="Q97" s="469">
        <v>1191.8837209302326</v>
      </c>
    </row>
    <row r="98" spans="1:17" ht="14.4" customHeight="1" x14ac:dyDescent="0.3">
      <c r="A98" s="464" t="s">
        <v>1869</v>
      </c>
      <c r="B98" s="465" t="s">
        <v>1769</v>
      </c>
      <c r="C98" s="465" t="s">
        <v>1756</v>
      </c>
      <c r="D98" s="465" t="s">
        <v>1818</v>
      </c>
      <c r="E98" s="465" t="s">
        <v>1819</v>
      </c>
      <c r="F98" s="468">
        <v>33</v>
      </c>
      <c r="G98" s="468">
        <v>3531</v>
      </c>
      <c r="H98" s="468">
        <v>1</v>
      </c>
      <c r="I98" s="468">
        <v>107</v>
      </c>
      <c r="J98" s="468">
        <v>50</v>
      </c>
      <c r="K98" s="468">
        <v>5400</v>
      </c>
      <c r="L98" s="468">
        <v>1.5293118096856415</v>
      </c>
      <c r="M98" s="468">
        <v>108</v>
      </c>
      <c r="N98" s="468">
        <v>47</v>
      </c>
      <c r="O98" s="468">
        <v>5103</v>
      </c>
      <c r="P98" s="517">
        <v>1.4451996601529311</v>
      </c>
      <c r="Q98" s="469">
        <v>108.57446808510639</v>
      </c>
    </row>
    <row r="99" spans="1:17" ht="14.4" customHeight="1" x14ac:dyDescent="0.3">
      <c r="A99" s="464" t="s">
        <v>1869</v>
      </c>
      <c r="B99" s="465" t="s">
        <v>1769</v>
      </c>
      <c r="C99" s="465" t="s">
        <v>1756</v>
      </c>
      <c r="D99" s="465" t="s">
        <v>1822</v>
      </c>
      <c r="E99" s="465" t="s">
        <v>1823</v>
      </c>
      <c r="F99" s="468">
        <v>3</v>
      </c>
      <c r="G99" s="468">
        <v>954</v>
      </c>
      <c r="H99" s="468">
        <v>1</v>
      </c>
      <c r="I99" s="468">
        <v>318</v>
      </c>
      <c r="J99" s="468">
        <v>4</v>
      </c>
      <c r="K99" s="468">
        <v>1276</v>
      </c>
      <c r="L99" s="468">
        <v>1.3375262054507338</v>
      </c>
      <c r="M99" s="468">
        <v>319</v>
      </c>
      <c r="N99" s="468">
        <v>1</v>
      </c>
      <c r="O99" s="468">
        <v>322</v>
      </c>
      <c r="P99" s="517">
        <v>0.33752620545073375</v>
      </c>
      <c r="Q99" s="469">
        <v>322</v>
      </c>
    </row>
    <row r="100" spans="1:17" ht="14.4" customHeight="1" x14ac:dyDescent="0.3">
      <c r="A100" s="464" t="s">
        <v>1869</v>
      </c>
      <c r="B100" s="465" t="s">
        <v>1769</v>
      </c>
      <c r="C100" s="465" t="s">
        <v>1756</v>
      </c>
      <c r="D100" s="465" t="s">
        <v>1830</v>
      </c>
      <c r="E100" s="465" t="s">
        <v>1831</v>
      </c>
      <c r="F100" s="468">
        <v>2</v>
      </c>
      <c r="G100" s="468">
        <v>580</v>
      </c>
      <c r="H100" s="468">
        <v>1</v>
      </c>
      <c r="I100" s="468">
        <v>290</v>
      </c>
      <c r="J100" s="468"/>
      <c r="K100" s="468"/>
      <c r="L100" s="468"/>
      <c r="M100" s="468"/>
      <c r="N100" s="468">
        <v>2</v>
      </c>
      <c r="O100" s="468">
        <v>584</v>
      </c>
      <c r="P100" s="517">
        <v>1.0068965517241379</v>
      </c>
      <c r="Q100" s="469">
        <v>292</v>
      </c>
    </row>
    <row r="101" spans="1:17" ht="14.4" customHeight="1" x14ac:dyDescent="0.3">
      <c r="A101" s="464" t="s">
        <v>1870</v>
      </c>
      <c r="B101" s="465" t="s">
        <v>1769</v>
      </c>
      <c r="C101" s="465" t="s">
        <v>1756</v>
      </c>
      <c r="D101" s="465" t="s">
        <v>1773</v>
      </c>
      <c r="E101" s="465" t="s">
        <v>1774</v>
      </c>
      <c r="F101" s="468">
        <v>652</v>
      </c>
      <c r="G101" s="468">
        <v>131704</v>
      </c>
      <c r="H101" s="468">
        <v>1</v>
      </c>
      <c r="I101" s="468">
        <v>202</v>
      </c>
      <c r="J101" s="468">
        <v>536</v>
      </c>
      <c r="K101" s="468">
        <v>108808</v>
      </c>
      <c r="L101" s="468">
        <v>0.82615562169713908</v>
      </c>
      <c r="M101" s="468">
        <v>203</v>
      </c>
      <c r="N101" s="468">
        <v>545</v>
      </c>
      <c r="O101" s="468">
        <v>111521</v>
      </c>
      <c r="P101" s="517">
        <v>0.84675484419607605</v>
      </c>
      <c r="Q101" s="469">
        <v>204.62568807339449</v>
      </c>
    </row>
    <row r="102" spans="1:17" ht="14.4" customHeight="1" x14ac:dyDescent="0.3">
      <c r="A102" s="464" t="s">
        <v>1870</v>
      </c>
      <c r="B102" s="465" t="s">
        <v>1769</v>
      </c>
      <c r="C102" s="465" t="s">
        <v>1756</v>
      </c>
      <c r="D102" s="465" t="s">
        <v>1775</v>
      </c>
      <c r="E102" s="465" t="s">
        <v>1774</v>
      </c>
      <c r="F102" s="468"/>
      <c r="G102" s="468"/>
      <c r="H102" s="468"/>
      <c r="I102" s="468"/>
      <c r="J102" s="468"/>
      <c r="K102" s="468"/>
      <c r="L102" s="468"/>
      <c r="M102" s="468"/>
      <c r="N102" s="468">
        <v>1</v>
      </c>
      <c r="O102" s="468">
        <v>85</v>
      </c>
      <c r="P102" s="517"/>
      <c r="Q102" s="469">
        <v>85</v>
      </c>
    </row>
    <row r="103" spans="1:17" ht="14.4" customHeight="1" x14ac:dyDescent="0.3">
      <c r="A103" s="464" t="s">
        <v>1870</v>
      </c>
      <c r="B103" s="465" t="s">
        <v>1769</v>
      </c>
      <c r="C103" s="465" t="s">
        <v>1756</v>
      </c>
      <c r="D103" s="465" t="s">
        <v>1776</v>
      </c>
      <c r="E103" s="465" t="s">
        <v>1777</v>
      </c>
      <c r="F103" s="468">
        <v>339</v>
      </c>
      <c r="G103" s="468">
        <v>98649</v>
      </c>
      <c r="H103" s="468">
        <v>1</v>
      </c>
      <c r="I103" s="468">
        <v>291</v>
      </c>
      <c r="J103" s="468">
        <v>573</v>
      </c>
      <c r="K103" s="468">
        <v>167316</v>
      </c>
      <c r="L103" s="468">
        <v>1.6960739591886385</v>
      </c>
      <c r="M103" s="468">
        <v>292</v>
      </c>
      <c r="N103" s="468">
        <v>658</v>
      </c>
      <c r="O103" s="468">
        <v>193216</v>
      </c>
      <c r="P103" s="517">
        <v>1.9586209692951779</v>
      </c>
      <c r="Q103" s="469">
        <v>293.64133738601822</v>
      </c>
    </row>
    <row r="104" spans="1:17" ht="14.4" customHeight="1" x14ac:dyDescent="0.3">
      <c r="A104" s="464" t="s">
        <v>1870</v>
      </c>
      <c r="B104" s="465" t="s">
        <v>1769</v>
      </c>
      <c r="C104" s="465" t="s">
        <v>1756</v>
      </c>
      <c r="D104" s="465" t="s">
        <v>1778</v>
      </c>
      <c r="E104" s="465" t="s">
        <v>1779</v>
      </c>
      <c r="F104" s="468">
        <v>3</v>
      </c>
      <c r="G104" s="468">
        <v>276</v>
      </c>
      <c r="H104" s="468">
        <v>1</v>
      </c>
      <c r="I104" s="468">
        <v>92</v>
      </c>
      <c r="J104" s="468">
        <v>3</v>
      </c>
      <c r="K104" s="468">
        <v>279</v>
      </c>
      <c r="L104" s="468">
        <v>1.0108695652173914</v>
      </c>
      <c r="M104" s="468">
        <v>93</v>
      </c>
      <c r="N104" s="468">
        <v>11</v>
      </c>
      <c r="O104" s="468">
        <v>1034</v>
      </c>
      <c r="P104" s="517">
        <v>3.7463768115942031</v>
      </c>
      <c r="Q104" s="469">
        <v>94</v>
      </c>
    </row>
    <row r="105" spans="1:17" ht="14.4" customHeight="1" x14ac:dyDescent="0.3">
      <c r="A105" s="464" t="s">
        <v>1870</v>
      </c>
      <c r="B105" s="465" t="s">
        <v>1769</v>
      </c>
      <c r="C105" s="465" t="s">
        <v>1756</v>
      </c>
      <c r="D105" s="465" t="s">
        <v>1782</v>
      </c>
      <c r="E105" s="465" t="s">
        <v>1783</v>
      </c>
      <c r="F105" s="468">
        <v>261</v>
      </c>
      <c r="G105" s="468">
        <v>34713</v>
      </c>
      <c r="H105" s="468">
        <v>1</v>
      </c>
      <c r="I105" s="468">
        <v>133</v>
      </c>
      <c r="J105" s="468">
        <v>310</v>
      </c>
      <c r="K105" s="468">
        <v>41540</v>
      </c>
      <c r="L105" s="468">
        <v>1.196669835508311</v>
      </c>
      <c r="M105" s="468">
        <v>134</v>
      </c>
      <c r="N105" s="468">
        <v>295</v>
      </c>
      <c r="O105" s="468">
        <v>39755</v>
      </c>
      <c r="P105" s="517">
        <v>1.1452481779160546</v>
      </c>
      <c r="Q105" s="469">
        <v>134.76271186440678</v>
      </c>
    </row>
    <row r="106" spans="1:17" ht="14.4" customHeight="1" x14ac:dyDescent="0.3">
      <c r="A106" s="464" t="s">
        <v>1870</v>
      </c>
      <c r="B106" s="465" t="s">
        <v>1769</v>
      </c>
      <c r="C106" s="465" t="s">
        <v>1756</v>
      </c>
      <c r="D106" s="465" t="s">
        <v>1784</v>
      </c>
      <c r="E106" s="465" t="s">
        <v>1783</v>
      </c>
      <c r="F106" s="468"/>
      <c r="G106" s="468"/>
      <c r="H106" s="468"/>
      <c r="I106" s="468"/>
      <c r="J106" s="468"/>
      <c r="K106" s="468"/>
      <c r="L106" s="468"/>
      <c r="M106" s="468"/>
      <c r="N106" s="468">
        <v>1</v>
      </c>
      <c r="O106" s="468">
        <v>177</v>
      </c>
      <c r="P106" s="517"/>
      <c r="Q106" s="469">
        <v>177</v>
      </c>
    </row>
    <row r="107" spans="1:17" ht="14.4" customHeight="1" x14ac:dyDescent="0.3">
      <c r="A107" s="464" t="s">
        <v>1870</v>
      </c>
      <c r="B107" s="465" t="s">
        <v>1769</v>
      </c>
      <c r="C107" s="465" t="s">
        <v>1756</v>
      </c>
      <c r="D107" s="465" t="s">
        <v>1785</v>
      </c>
      <c r="E107" s="465" t="s">
        <v>1786</v>
      </c>
      <c r="F107" s="468">
        <v>2</v>
      </c>
      <c r="G107" s="468">
        <v>1218</v>
      </c>
      <c r="H107" s="468">
        <v>1</v>
      </c>
      <c r="I107" s="468">
        <v>609</v>
      </c>
      <c r="J107" s="468">
        <v>2</v>
      </c>
      <c r="K107" s="468">
        <v>1224</v>
      </c>
      <c r="L107" s="468">
        <v>1.0049261083743843</v>
      </c>
      <c r="M107" s="468">
        <v>612</v>
      </c>
      <c r="N107" s="468">
        <v>4</v>
      </c>
      <c r="O107" s="468">
        <v>2472</v>
      </c>
      <c r="P107" s="517">
        <v>2.0295566502463056</v>
      </c>
      <c r="Q107" s="469">
        <v>618</v>
      </c>
    </row>
    <row r="108" spans="1:17" ht="14.4" customHeight="1" x14ac:dyDescent="0.3">
      <c r="A108" s="464" t="s">
        <v>1870</v>
      </c>
      <c r="B108" s="465" t="s">
        <v>1769</v>
      </c>
      <c r="C108" s="465" t="s">
        <v>1756</v>
      </c>
      <c r="D108" s="465" t="s">
        <v>1789</v>
      </c>
      <c r="E108" s="465" t="s">
        <v>1790</v>
      </c>
      <c r="F108" s="468">
        <v>14</v>
      </c>
      <c r="G108" s="468">
        <v>2212</v>
      </c>
      <c r="H108" s="468">
        <v>1</v>
      </c>
      <c r="I108" s="468">
        <v>158</v>
      </c>
      <c r="J108" s="468">
        <v>19</v>
      </c>
      <c r="K108" s="468">
        <v>3021</v>
      </c>
      <c r="L108" s="468">
        <v>1.3657323688969258</v>
      </c>
      <c r="M108" s="468">
        <v>159</v>
      </c>
      <c r="N108" s="468">
        <v>31</v>
      </c>
      <c r="O108" s="468">
        <v>4953</v>
      </c>
      <c r="P108" s="517">
        <v>2.2391500904159134</v>
      </c>
      <c r="Q108" s="469">
        <v>159.7741935483871</v>
      </c>
    </row>
    <row r="109" spans="1:17" ht="14.4" customHeight="1" x14ac:dyDescent="0.3">
      <c r="A109" s="464" t="s">
        <v>1870</v>
      </c>
      <c r="B109" s="465" t="s">
        <v>1769</v>
      </c>
      <c r="C109" s="465" t="s">
        <v>1756</v>
      </c>
      <c r="D109" s="465" t="s">
        <v>1791</v>
      </c>
      <c r="E109" s="465" t="s">
        <v>1792</v>
      </c>
      <c r="F109" s="468"/>
      <c r="G109" s="468"/>
      <c r="H109" s="468"/>
      <c r="I109" s="468"/>
      <c r="J109" s="468"/>
      <c r="K109" s="468"/>
      <c r="L109" s="468"/>
      <c r="M109" s="468"/>
      <c r="N109" s="468">
        <v>2</v>
      </c>
      <c r="O109" s="468">
        <v>766</v>
      </c>
      <c r="P109" s="517"/>
      <c r="Q109" s="469">
        <v>383</v>
      </c>
    </row>
    <row r="110" spans="1:17" ht="14.4" customHeight="1" x14ac:dyDescent="0.3">
      <c r="A110" s="464" t="s">
        <v>1870</v>
      </c>
      <c r="B110" s="465" t="s">
        <v>1769</v>
      </c>
      <c r="C110" s="465" t="s">
        <v>1756</v>
      </c>
      <c r="D110" s="465" t="s">
        <v>1793</v>
      </c>
      <c r="E110" s="465" t="s">
        <v>1794</v>
      </c>
      <c r="F110" s="468">
        <v>442</v>
      </c>
      <c r="G110" s="468">
        <v>7072</v>
      </c>
      <c r="H110" s="468">
        <v>1</v>
      </c>
      <c r="I110" s="468">
        <v>16</v>
      </c>
      <c r="J110" s="468">
        <v>431</v>
      </c>
      <c r="K110" s="468">
        <v>6896</v>
      </c>
      <c r="L110" s="468">
        <v>0.97511312217194568</v>
      </c>
      <c r="M110" s="468">
        <v>16</v>
      </c>
      <c r="N110" s="468">
        <v>446</v>
      </c>
      <c r="O110" s="468">
        <v>7136</v>
      </c>
      <c r="P110" s="517">
        <v>1.0090497737556561</v>
      </c>
      <c r="Q110" s="469">
        <v>16</v>
      </c>
    </row>
    <row r="111" spans="1:17" ht="14.4" customHeight="1" x14ac:dyDescent="0.3">
      <c r="A111" s="464" t="s">
        <v>1870</v>
      </c>
      <c r="B111" s="465" t="s">
        <v>1769</v>
      </c>
      <c r="C111" s="465" t="s">
        <v>1756</v>
      </c>
      <c r="D111" s="465" t="s">
        <v>1797</v>
      </c>
      <c r="E111" s="465" t="s">
        <v>1798</v>
      </c>
      <c r="F111" s="468">
        <v>141</v>
      </c>
      <c r="G111" s="468">
        <v>36801</v>
      </c>
      <c r="H111" s="468">
        <v>1</v>
      </c>
      <c r="I111" s="468">
        <v>261</v>
      </c>
      <c r="J111" s="468">
        <v>94</v>
      </c>
      <c r="K111" s="468">
        <v>24628</v>
      </c>
      <c r="L111" s="468">
        <v>0.669220945083014</v>
      </c>
      <c r="M111" s="468">
        <v>262</v>
      </c>
      <c r="N111" s="468">
        <v>115</v>
      </c>
      <c r="O111" s="468">
        <v>30400</v>
      </c>
      <c r="P111" s="517">
        <v>0.82606450911660012</v>
      </c>
      <c r="Q111" s="469">
        <v>264.3478260869565</v>
      </c>
    </row>
    <row r="112" spans="1:17" ht="14.4" customHeight="1" x14ac:dyDescent="0.3">
      <c r="A112" s="464" t="s">
        <v>1870</v>
      </c>
      <c r="B112" s="465" t="s">
        <v>1769</v>
      </c>
      <c r="C112" s="465" t="s">
        <v>1756</v>
      </c>
      <c r="D112" s="465" t="s">
        <v>1799</v>
      </c>
      <c r="E112" s="465" t="s">
        <v>1796</v>
      </c>
      <c r="F112" s="468">
        <v>160</v>
      </c>
      <c r="G112" s="468">
        <v>22400</v>
      </c>
      <c r="H112" s="468">
        <v>1</v>
      </c>
      <c r="I112" s="468">
        <v>140</v>
      </c>
      <c r="J112" s="468">
        <v>98</v>
      </c>
      <c r="K112" s="468">
        <v>13818</v>
      </c>
      <c r="L112" s="468">
        <v>0.61687499999999995</v>
      </c>
      <c r="M112" s="468">
        <v>141</v>
      </c>
      <c r="N112" s="468">
        <v>118</v>
      </c>
      <c r="O112" s="468">
        <v>16638</v>
      </c>
      <c r="P112" s="517">
        <v>0.74276785714285709</v>
      </c>
      <c r="Q112" s="469">
        <v>141</v>
      </c>
    </row>
    <row r="113" spans="1:17" ht="14.4" customHeight="1" x14ac:dyDescent="0.3">
      <c r="A113" s="464" t="s">
        <v>1870</v>
      </c>
      <c r="B113" s="465" t="s">
        <v>1769</v>
      </c>
      <c r="C113" s="465" t="s">
        <v>1756</v>
      </c>
      <c r="D113" s="465" t="s">
        <v>1800</v>
      </c>
      <c r="E113" s="465" t="s">
        <v>1796</v>
      </c>
      <c r="F113" s="468">
        <v>261</v>
      </c>
      <c r="G113" s="468">
        <v>20358</v>
      </c>
      <c r="H113" s="468">
        <v>1</v>
      </c>
      <c r="I113" s="468">
        <v>78</v>
      </c>
      <c r="J113" s="468">
        <v>310</v>
      </c>
      <c r="K113" s="468">
        <v>24180</v>
      </c>
      <c r="L113" s="468">
        <v>1.1877394636015326</v>
      </c>
      <c r="M113" s="468">
        <v>78</v>
      </c>
      <c r="N113" s="468">
        <v>295</v>
      </c>
      <c r="O113" s="468">
        <v>23010</v>
      </c>
      <c r="P113" s="517">
        <v>1.1302681992337165</v>
      </c>
      <c r="Q113" s="469">
        <v>78</v>
      </c>
    </row>
    <row r="114" spans="1:17" ht="14.4" customHeight="1" x14ac:dyDescent="0.3">
      <c r="A114" s="464" t="s">
        <v>1870</v>
      </c>
      <c r="B114" s="465" t="s">
        <v>1769</v>
      </c>
      <c r="C114" s="465" t="s">
        <v>1756</v>
      </c>
      <c r="D114" s="465" t="s">
        <v>1801</v>
      </c>
      <c r="E114" s="465" t="s">
        <v>1802</v>
      </c>
      <c r="F114" s="468">
        <v>159</v>
      </c>
      <c r="G114" s="468">
        <v>48018</v>
      </c>
      <c r="H114" s="468">
        <v>1</v>
      </c>
      <c r="I114" s="468">
        <v>302</v>
      </c>
      <c r="J114" s="468">
        <v>98</v>
      </c>
      <c r="K114" s="468">
        <v>29694</v>
      </c>
      <c r="L114" s="468">
        <v>0.61839310258653002</v>
      </c>
      <c r="M114" s="468">
        <v>303</v>
      </c>
      <c r="N114" s="468">
        <v>118</v>
      </c>
      <c r="O114" s="468">
        <v>36033</v>
      </c>
      <c r="P114" s="517">
        <v>0.75040609771335753</v>
      </c>
      <c r="Q114" s="469">
        <v>305.36440677966101</v>
      </c>
    </row>
    <row r="115" spans="1:17" ht="14.4" customHeight="1" x14ac:dyDescent="0.3">
      <c r="A115" s="464" t="s">
        <v>1870</v>
      </c>
      <c r="B115" s="465" t="s">
        <v>1769</v>
      </c>
      <c r="C115" s="465" t="s">
        <v>1756</v>
      </c>
      <c r="D115" s="465" t="s">
        <v>1803</v>
      </c>
      <c r="E115" s="465" t="s">
        <v>1804</v>
      </c>
      <c r="F115" s="468"/>
      <c r="G115" s="468"/>
      <c r="H115" s="468"/>
      <c r="I115" s="468"/>
      <c r="J115" s="468"/>
      <c r="K115" s="468"/>
      <c r="L115" s="468"/>
      <c r="M115" s="468"/>
      <c r="N115" s="468">
        <v>3</v>
      </c>
      <c r="O115" s="468">
        <v>1461</v>
      </c>
      <c r="P115" s="517"/>
      <c r="Q115" s="469">
        <v>487</v>
      </c>
    </row>
    <row r="116" spans="1:17" ht="14.4" customHeight="1" x14ac:dyDescent="0.3">
      <c r="A116" s="464" t="s">
        <v>1870</v>
      </c>
      <c r="B116" s="465" t="s">
        <v>1769</v>
      </c>
      <c r="C116" s="465" t="s">
        <v>1756</v>
      </c>
      <c r="D116" s="465" t="s">
        <v>1805</v>
      </c>
      <c r="E116" s="465" t="s">
        <v>1806</v>
      </c>
      <c r="F116" s="468">
        <v>227</v>
      </c>
      <c r="G116" s="468">
        <v>36093</v>
      </c>
      <c r="H116" s="468">
        <v>1</v>
      </c>
      <c r="I116" s="468">
        <v>159</v>
      </c>
      <c r="J116" s="468">
        <v>274</v>
      </c>
      <c r="K116" s="468">
        <v>43840</v>
      </c>
      <c r="L116" s="468">
        <v>1.2146399578865708</v>
      </c>
      <c r="M116" s="468">
        <v>160</v>
      </c>
      <c r="N116" s="468">
        <v>270</v>
      </c>
      <c r="O116" s="468">
        <v>43408</v>
      </c>
      <c r="P116" s="517">
        <v>1.2026708780095863</v>
      </c>
      <c r="Q116" s="469">
        <v>160.77037037037036</v>
      </c>
    </row>
    <row r="117" spans="1:17" ht="14.4" customHeight="1" x14ac:dyDescent="0.3">
      <c r="A117" s="464" t="s">
        <v>1870</v>
      </c>
      <c r="B117" s="465" t="s">
        <v>1769</v>
      </c>
      <c r="C117" s="465" t="s">
        <v>1756</v>
      </c>
      <c r="D117" s="465" t="s">
        <v>1809</v>
      </c>
      <c r="E117" s="465" t="s">
        <v>1774</v>
      </c>
      <c r="F117" s="468">
        <v>710</v>
      </c>
      <c r="G117" s="468">
        <v>49700</v>
      </c>
      <c r="H117" s="468">
        <v>1</v>
      </c>
      <c r="I117" s="468">
        <v>70</v>
      </c>
      <c r="J117" s="468">
        <v>780</v>
      </c>
      <c r="K117" s="468">
        <v>54600</v>
      </c>
      <c r="L117" s="468">
        <v>1.0985915492957747</v>
      </c>
      <c r="M117" s="468">
        <v>70</v>
      </c>
      <c r="N117" s="468">
        <v>727</v>
      </c>
      <c r="O117" s="468">
        <v>51448</v>
      </c>
      <c r="P117" s="517">
        <v>1.0351710261569416</v>
      </c>
      <c r="Q117" s="469">
        <v>70.767537826685</v>
      </c>
    </row>
    <row r="118" spans="1:17" ht="14.4" customHeight="1" x14ac:dyDescent="0.3">
      <c r="A118" s="464" t="s">
        <v>1870</v>
      </c>
      <c r="B118" s="465" t="s">
        <v>1769</v>
      </c>
      <c r="C118" s="465" t="s">
        <v>1756</v>
      </c>
      <c r="D118" s="465" t="s">
        <v>1814</v>
      </c>
      <c r="E118" s="465" t="s">
        <v>1815</v>
      </c>
      <c r="F118" s="468"/>
      <c r="G118" s="468"/>
      <c r="H118" s="468"/>
      <c r="I118" s="468"/>
      <c r="J118" s="468"/>
      <c r="K118" s="468"/>
      <c r="L118" s="468"/>
      <c r="M118" s="468"/>
      <c r="N118" s="468">
        <v>1</v>
      </c>
      <c r="O118" s="468">
        <v>219</v>
      </c>
      <c r="P118" s="517"/>
      <c r="Q118" s="469">
        <v>219</v>
      </c>
    </row>
    <row r="119" spans="1:17" ht="14.4" customHeight="1" x14ac:dyDescent="0.3">
      <c r="A119" s="464" t="s">
        <v>1870</v>
      </c>
      <c r="B119" s="465" t="s">
        <v>1769</v>
      </c>
      <c r="C119" s="465" t="s">
        <v>1756</v>
      </c>
      <c r="D119" s="465" t="s">
        <v>1816</v>
      </c>
      <c r="E119" s="465" t="s">
        <v>1817</v>
      </c>
      <c r="F119" s="468">
        <v>9</v>
      </c>
      <c r="G119" s="468">
        <v>10674</v>
      </c>
      <c r="H119" s="468">
        <v>1</v>
      </c>
      <c r="I119" s="468">
        <v>1186</v>
      </c>
      <c r="J119" s="468">
        <v>18</v>
      </c>
      <c r="K119" s="468">
        <v>21402</v>
      </c>
      <c r="L119" s="468">
        <v>2.0050590219224285</v>
      </c>
      <c r="M119" s="468">
        <v>1189</v>
      </c>
      <c r="N119" s="468">
        <v>30</v>
      </c>
      <c r="O119" s="468">
        <v>35770</v>
      </c>
      <c r="P119" s="517">
        <v>3.3511335956529886</v>
      </c>
      <c r="Q119" s="469">
        <v>1192.3333333333333</v>
      </c>
    </row>
    <row r="120" spans="1:17" ht="14.4" customHeight="1" x14ac:dyDescent="0.3">
      <c r="A120" s="464" t="s">
        <v>1870</v>
      </c>
      <c r="B120" s="465" t="s">
        <v>1769</v>
      </c>
      <c r="C120" s="465" t="s">
        <v>1756</v>
      </c>
      <c r="D120" s="465" t="s">
        <v>1818</v>
      </c>
      <c r="E120" s="465" t="s">
        <v>1819</v>
      </c>
      <c r="F120" s="468">
        <v>11</v>
      </c>
      <c r="G120" s="468">
        <v>1177</v>
      </c>
      <c r="H120" s="468">
        <v>1</v>
      </c>
      <c r="I120" s="468">
        <v>107</v>
      </c>
      <c r="J120" s="468">
        <v>14</v>
      </c>
      <c r="K120" s="468">
        <v>1512</v>
      </c>
      <c r="L120" s="468">
        <v>1.2846219201359388</v>
      </c>
      <c r="M120" s="468">
        <v>108</v>
      </c>
      <c r="N120" s="468">
        <v>24</v>
      </c>
      <c r="O120" s="468">
        <v>2614</v>
      </c>
      <c r="P120" s="517">
        <v>2.2209005947323703</v>
      </c>
      <c r="Q120" s="469">
        <v>108.91666666666667</v>
      </c>
    </row>
    <row r="121" spans="1:17" ht="14.4" customHeight="1" x14ac:dyDescent="0.3">
      <c r="A121" s="464" t="s">
        <v>1870</v>
      </c>
      <c r="B121" s="465" t="s">
        <v>1769</v>
      </c>
      <c r="C121" s="465" t="s">
        <v>1756</v>
      </c>
      <c r="D121" s="465" t="s">
        <v>1822</v>
      </c>
      <c r="E121" s="465" t="s">
        <v>1823</v>
      </c>
      <c r="F121" s="468"/>
      <c r="G121" s="468"/>
      <c r="H121" s="468"/>
      <c r="I121" s="468"/>
      <c r="J121" s="468">
        <v>1</v>
      </c>
      <c r="K121" s="468">
        <v>319</v>
      </c>
      <c r="L121" s="468"/>
      <c r="M121" s="468">
        <v>319</v>
      </c>
      <c r="N121" s="468"/>
      <c r="O121" s="468"/>
      <c r="P121" s="517"/>
      <c r="Q121" s="469"/>
    </row>
    <row r="122" spans="1:17" ht="14.4" customHeight="1" x14ac:dyDescent="0.3">
      <c r="A122" s="464" t="s">
        <v>1870</v>
      </c>
      <c r="B122" s="465" t="s">
        <v>1769</v>
      </c>
      <c r="C122" s="465" t="s">
        <v>1756</v>
      </c>
      <c r="D122" s="465" t="s">
        <v>1828</v>
      </c>
      <c r="E122" s="465" t="s">
        <v>1829</v>
      </c>
      <c r="F122" s="468"/>
      <c r="G122" s="468"/>
      <c r="H122" s="468"/>
      <c r="I122" s="468"/>
      <c r="J122" s="468">
        <v>1</v>
      </c>
      <c r="K122" s="468">
        <v>1020</v>
      </c>
      <c r="L122" s="468"/>
      <c r="M122" s="468">
        <v>1020</v>
      </c>
      <c r="N122" s="468">
        <v>1</v>
      </c>
      <c r="O122" s="468">
        <v>1029</v>
      </c>
      <c r="P122" s="517"/>
      <c r="Q122" s="469">
        <v>1029</v>
      </c>
    </row>
    <row r="123" spans="1:17" ht="14.4" customHeight="1" x14ac:dyDescent="0.3">
      <c r="A123" s="464" t="s">
        <v>1870</v>
      </c>
      <c r="B123" s="465" t="s">
        <v>1769</v>
      </c>
      <c r="C123" s="465" t="s">
        <v>1756</v>
      </c>
      <c r="D123" s="465" t="s">
        <v>1830</v>
      </c>
      <c r="E123" s="465" t="s">
        <v>1831</v>
      </c>
      <c r="F123" s="468"/>
      <c r="G123" s="468"/>
      <c r="H123" s="468"/>
      <c r="I123" s="468"/>
      <c r="J123" s="468"/>
      <c r="K123" s="468"/>
      <c r="L123" s="468"/>
      <c r="M123" s="468"/>
      <c r="N123" s="468">
        <v>2</v>
      </c>
      <c r="O123" s="468">
        <v>586</v>
      </c>
      <c r="P123" s="517"/>
      <c r="Q123" s="469">
        <v>293</v>
      </c>
    </row>
    <row r="124" spans="1:17" ht="14.4" customHeight="1" x14ac:dyDescent="0.3">
      <c r="A124" s="464" t="s">
        <v>1871</v>
      </c>
      <c r="B124" s="465" t="s">
        <v>1769</v>
      </c>
      <c r="C124" s="465" t="s">
        <v>1756</v>
      </c>
      <c r="D124" s="465" t="s">
        <v>1773</v>
      </c>
      <c r="E124" s="465" t="s">
        <v>1774</v>
      </c>
      <c r="F124" s="468">
        <v>746</v>
      </c>
      <c r="G124" s="468">
        <v>150692</v>
      </c>
      <c r="H124" s="468">
        <v>1</v>
      </c>
      <c r="I124" s="468">
        <v>202</v>
      </c>
      <c r="J124" s="468">
        <v>678</v>
      </c>
      <c r="K124" s="468">
        <v>137634</v>
      </c>
      <c r="L124" s="468">
        <v>0.91334642847662784</v>
      </c>
      <c r="M124" s="468">
        <v>203</v>
      </c>
      <c r="N124" s="468">
        <v>736</v>
      </c>
      <c r="O124" s="468">
        <v>150526</v>
      </c>
      <c r="P124" s="517">
        <v>0.99889841531070001</v>
      </c>
      <c r="Q124" s="469">
        <v>204.51902173913044</v>
      </c>
    </row>
    <row r="125" spans="1:17" ht="14.4" customHeight="1" x14ac:dyDescent="0.3">
      <c r="A125" s="464" t="s">
        <v>1871</v>
      </c>
      <c r="B125" s="465" t="s">
        <v>1769</v>
      </c>
      <c r="C125" s="465" t="s">
        <v>1756</v>
      </c>
      <c r="D125" s="465" t="s">
        <v>1775</v>
      </c>
      <c r="E125" s="465" t="s">
        <v>1774</v>
      </c>
      <c r="F125" s="468"/>
      <c r="G125" s="468"/>
      <c r="H125" s="468"/>
      <c r="I125" s="468"/>
      <c r="J125" s="468"/>
      <c r="K125" s="468"/>
      <c r="L125" s="468"/>
      <c r="M125" s="468"/>
      <c r="N125" s="468">
        <v>2</v>
      </c>
      <c r="O125" s="468">
        <v>168</v>
      </c>
      <c r="P125" s="517"/>
      <c r="Q125" s="469">
        <v>84</v>
      </c>
    </row>
    <row r="126" spans="1:17" ht="14.4" customHeight="1" x14ac:dyDescent="0.3">
      <c r="A126" s="464" t="s">
        <v>1871</v>
      </c>
      <c r="B126" s="465" t="s">
        <v>1769</v>
      </c>
      <c r="C126" s="465" t="s">
        <v>1756</v>
      </c>
      <c r="D126" s="465" t="s">
        <v>1776</v>
      </c>
      <c r="E126" s="465" t="s">
        <v>1777</v>
      </c>
      <c r="F126" s="468">
        <v>460</v>
      </c>
      <c r="G126" s="468">
        <v>133860</v>
      </c>
      <c r="H126" s="468">
        <v>1</v>
      </c>
      <c r="I126" s="468">
        <v>291</v>
      </c>
      <c r="J126" s="468">
        <v>547</v>
      </c>
      <c r="K126" s="468">
        <v>159724</v>
      </c>
      <c r="L126" s="468">
        <v>1.1932167936650231</v>
      </c>
      <c r="M126" s="468">
        <v>292</v>
      </c>
      <c r="N126" s="468">
        <v>572</v>
      </c>
      <c r="O126" s="468">
        <v>167862</v>
      </c>
      <c r="P126" s="517">
        <v>1.2540116539668311</v>
      </c>
      <c r="Q126" s="469">
        <v>293.46503496503499</v>
      </c>
    </row>
    <row r="127" spans="1:17" ht="14.4" customHeight="1" x14ac:dyDescent="0.3">
      <c r="A127" s="464" t="s">
        <v>1871</v>
      </c>
      <c r="B127" s="465" t="s">
        <v>1769</v>
      </c>
      <c r="C127" s="465" t="s">
        <v>1756</v>
      </c>
      <c r="D127" s="465" t="s">
        <v>1778</v>
      </c>
      <c r="E127" s="465" t="s">
        <v>1779</v>
      </c>
      <c r="F127" s="468"/>
      <c r="G127" s="468"/>
      <c r="H127" s="468"/>
      <c r="I127" s="468"/>
      <c r="J127" s="468">
        <v>10</v>
      </c>
      <c r="K127" s="468">
        <v>930</v>
      </c>
      <c r="L127" s="468"/>
      <c r="M127" s="468">
        <v>93</v>
      </c>
      <c r="N127" s="468">
        <v>6</v>
      </c>
      <c r="O127" s="468">
        <v>561</v>
      </c>
      <c r="P127" s="517"/>
      <c r="Q127" s="469">
        <v>93.5</v>
      </c>
    </row>
    <row r="128" spans="1:17" ht="14.4" customHeight="1" x14ac:dyDescent="0.3">
      <c r="A128" s="464" t="s">
        <v>1871</v>
      </c>
      <c r="B128" s="465" t="s">
        <v>1769</v>
      </c>
      <c r="C128" s="465" t="s">
        <v>1756</v>
      </c>
      <c r="D128" s="465" t="s">
        <v>1780</v>
      </c>
      <c r="E128" s="465" t="s">
        <v>1781</v>
      </c>
      <c r="F128" s="468">
        <v>1</v>
      </c>
      <c r="G128" s="468">
        <v>219</v>
      </c>
      <c r="H128" s="468">
        <v>1</v>
      </c>
      <c r="I128" s="468">
        <v>219</v>
      </c>
      <c r="J128" s="468"/>
      <c r="K128" s="468"/>
      <c r="L128" s="468"/>
      <c r="M128" s="468"/>
      <c r="N128" s="468"/>
      <c r="O128" s="468"/>
      <c r="P128" s="517"/>
      <c r="Q128" s="469"/>
    </row>
    <row r="129" spans="1:17" ht="14.4" customHeight="1" x14ac:dyDescent="0.3">
      <c r="A129" s="464" t="s">
        <v>1871</v>
      </c>
      <c r="B129" s="465" t="s">
        <v>1769</v>
      </c>
      <c r="C129" s="465" t="s">
        <v>1756</v>
      </c>
      <c r="D129" s="465" t="s">
        <v>1782</v>
      </c>
      <c r="E129" s="465" t="s">
        <v>1783</v>
      </c>
      <c r="F129" s="468">
        <v>572</v>
      </c>
      <c r="G129" s="468">
        <v>76076</v>
      </c>
      <c r="H129" s="468">
        <v>1</v>
      </c>
      <c r="I129" s="468">
        <v>133</v>
      </c>
      <c r="J129" s="468">
        <v>598</v>
      </c>
      <c r="K129" s="468">
        <v>80132</v>
      </c>
      <c r="L129" s="468">
        <v>1.053315105946685</v>
      </c>
      <c r="M129" s="468">
        <v>134</v>
      </c>
      <c r="N129" s="468">
        <v>517</v>
      </c>
      <c r="O129" s="468">
        <v>69657</v>
      </c>
      <c r="P129" s="517">
        <v>0.91562384983437617</v>
      </c>
      <c r="Q129" s="469">
        <v>134.73307543520309</v>
      </c>
    </row>
    <row r="130" spans="1:17" ht="14.4" customHeight="1" x14ac:dyDescent="0.3">
      <c r="A130" s="464" t="s">
        <v>1871</v>
      </c>
      <c r="B130" s="465" t="s">
        <v>1769</v>
      </c>
      <c r="C130" s="465" t="s">
        <v>1756</v>
      </c>
      <c r="D130" s="465" t="s">
        <v>1784</v>
      </c>
      <c r="E130" s="465" t="s">
        <v>1783</v>
      </c>
      <c r="F130" s="468"/>
      <c r="G130" s="468"/>
      <c r="H130" s="468"/>
      <c r="I130" s="468"/>
      <c r="J130" s="468"/>
      <c r="K130" s="468"/>
      <c r="L130" s="468"/>
      <c r="M130" s="468"/>
      <c r="N130" s="468">
        <v>1</v>
      </c>
      <c r="O130" s="468">
        <v>175</v>
      </c>
      <c r="P130" s="517"/>
      <c r="Q130" s="469">
        <v>175</v>
      </c>
    </row>
    <row r="131" spans="1:17" ht="14.4" customHeight="1" x14ac:dyDescent="0.3">
      <c r="A131" s="464" t="s">
        <v>1871</v>
      </c>
      <c r="B131" s="465" t="s">
        <v>1769</v>
      </c>
      <c r="C131" s="465" t="s">
        <v>1756</v>
      </c>
      <c r="D131" s="465" t="s">
        <v>1785</v>
      </c>
      <c r="E131" s="465" t="s">
        <v>1786</v>
      </c>
      <c r="F131" s="468">
        <v>5</v>
      </c>
      <c r="G131" s="468">
        <v>3045</v>
      </c>
      <c r="H131" s="468">
        <v>1</v>
      </c>
      <c r="I131" s="468">
        <v>609</v>
      </c>
      <c r="J131" s="468">
        <v>4</v>
      </c>
      <c r="K131" s="468">
        <v>2448</v>
      </c>
      <c r="L131" s="468">
        <v>0.80394088669950736</v>
      </c>
      <c r="M131" s="468">
        <v>612</v>
      </c>
      <c r="N131" s="468">
        <v>3</v>
      </c>
      <c r="O131" s="468">
        <v>1842</v>
      </c>
      <c r="P131" s="517">
        <v>0.60492610837438421</v>
      </c>
      <c r="Q131" s="469">
        <v>614</v>
      </c>
    </row>
    <row r="132" spans="1:17" ht="14.4" customHeight="1" x14ac:dyDescent="0.3">
      <c r="A132" s="464" t="s">
        <v>1871</v>
      </c>
      <c r="B132" s="465" t="s">
        <v>1769</v>
      </c>
      <c r="C132" s="465" t="s">
        <v>1756</v>
      </c>
      <c r="D132" s="465" t="s">
        <v>1789</v>
      </c>
      <c r="E132" s="465" t="s">
        <v>1790</v>
      </c>
      <c r="F132" s="468">
        <v>22</v>
      </c>
      <c r="G132" s="468">
        <v>3476</v>
      </c>
      <c r="H132" s="468">
        <v>1</v>
      </c>
      <c r="I132" s="468">
        <v>158</v>
      </c>
      <c r="J132" s="468">
        <v>25</v>
      </c>
      <c r="K132" s="468">
        <v>3975</v>
      </c>
      <c r="L132" s="468">
        <v>1.1435558112773303</v>
      </c>
      <c r="M132" s="468">
        <v>159</v>
      </c>
      <c r="N132" s="468">
        <v>26</v>
      </c>
      <c r="O132" s="468">
        <v>4154</v>
      </c>
      <c r="P132" s="517">
        <v>1.1950517836593786</v>
      </c>
      <c r="Q132" s="469">
        <v>159.76923076923077</v>
      </c>
    </row>
    <row r="133" spans="1:17" ht="14.4" customHeight="1" x14ac:dyDescent="0.3">
      <c r="A133" s="464" t="s">
        <v>1871</v>
      </c>
      <c r="B133" s="465" t="s">
        <v>1769</v>
      </c>
      <c r="C133" s="465" t="s">
        <v>1756</v>
      </c>
      <c r="D133" s="465" t="s">
        <v>1793</v>
      </c>
      <c r="E133" s="465" t="s">
        <v>1794</v>
      </c>
      <c r="F133" s="468">
        <v>821</v>
      </c>
      <c r="G133" s="468">
        <v>13136</v>
      </c>
      <c r="H133" s="468">
        <v>1</v>
      </c>
      <c r="I133" s="468">
        <v>16</v>
      </c>
      <c r="J133" s="468">
        <v>845</v>
      </c>
      <c r="K133" s="468">
        <v>13520</v>
      </c>
      <c r="L133" s="468">
        <v>1.0292326431181487</v>
      </c>
      <c r="M133" s="468">
        <v>16</v>
      </c>
      <c r="N133" s="468">
        <v>757</v>
      </c>
      <c r="O133" s="468">
        <v>12112</v>
      </c>
      <c r="P133" s="517">
        <v>0.92204628501827035</v>
      </c>
      <c r="Q133" s="469">
        <v>16</v>
      </c>
    </row>
    <row r="134" spans="1:17" ht="14.4" customHeight="1" x14ac:dyDescent="0.3">
      <c r="A134" s="464" t="s">
        <v>1871</v>
      </c>
      <c r="B134" s="465" t="s">
        <v>1769</v>
      </c>
      <c r="C134" s="465" t="s">
        <v>1756</v>
      </c>
      <c r="D134" s="465" t="s">
        <v>1797</v>
      </c>
      <c r="E134" s="465" t="s">
        <v>1798</v>
      </c>
      <c r="F134" s="468">
        <v>204</v>
      </c>
      <c r="G134" s="468">
        <v>53244</v>
      </c>
      <c r="H134" s="468">
        <v>1</v>
      </c>
      <c r="I134" s="468">
        <v>261</v>
      </c>
      <c r="J134" s="468">
        <v>220</v>
      </c>
      <c r="K134" s="468">
        <v>57640</v>
      </c>
      <c r="L134" s="468">
        <v>1.0825632935166403</v>
      </c>
      <c r="M134" s="468">
        <v>262</v>
      </c>
      <c r="N134" s="468">
        <v>217</v>
      </c>
      <c r="O134" s="468">
        <v>57352</v>
      </c>
      <c r="P134" s="517">
        <v>1.0771542333408459</v>
      </c>
      <c r="Q134" s="469">
        <v>264.29493087557603</v>
      </c>
    </row>
    <row r="135" spans="1:17" ht="14.4" customHeight="1" x14ac:dyDescent="0.3">
      <c r="A135" s="464" t="s">
        <v>1871</v>
      </c>
      <c r="B135" s="465" t="s">
        <v>1769</v>
      </c>
      <c r="C135" s="465" t="s">
        <v>1756</v>
      </c>
      <c r="D135" s="465" t="s">
        <v>1799</v>
      </c>
      <c r="E135" s="465" t="s">
        <v>1796</v>
      </c>
      <c r="F135" s="468">
        <v>232</v>
      </c>
      <c r="G135" s="468">
        <v>32480</v>
      </c>
      <c r="H135" s="468">
        <v>1</v>
      </c>
      <c r="I135" s="468">
        <v>140</v>
      </c>
      <c r="J135" s="468">
        <v>222</v>
      </c>
      <c r="K135" s="468">
        <v>31302</v>
      </c>
      <c r="L135" s="468">
        <v>0.96373152709359611</v>
      </c>
      <c r="M135" s="468">
        <v>141</v>
      </c>
      <c r="N135" s="468">
        <v>232</v>
      </c>
      <c r="O135" s="468">
        <v>32712</v>
      </c>
      <c r="P135" s="517">
        <v>1.0071428571428571</v>
      </c>
      <c r="Q135" s="469">
        <v>141</v>
      </c>
    </row>
    <row r="136" spans="1:17" ht="14.4" customHeight="1" x14ac:dyDescent="0.3">
      <c r="A136" s="464" t="s">
        <v>1871</v>
      </c>
      <c r="B136" s="465" t="s">
        <v>1769</v>
      </c>
      <c r="C136" s="465" t="s">
        <v>1756</v>
      </c>
      <c r="D136" s="465" t="s">
        <v>1800</v>
      </c>
      <c r="E136" s="465" t="s">
        <v>1796</v>
      </c>
      <c r="F136" s="468">
        <v>572</v>
      </c>
      <c r="G136" s="468">
        <v>44616</v>
      </c>
      <c r="H136" s="468">
        <v>1</v>
      </c>
      <c r="I136" s="468">
        <v>78</v>
      </c>
      <c r="J136" s="468">
        <v>598</v>
      </c>
      <c r="K136" s="468">
        <v>46644</v>
      </c>
      <c r="L136" s="468">
        <v>1.0454545454545454</v>
      </c>
      <c r="M136" s="468">
        <v>78</v>
      </c>
      <c r="N136" s="468">
        <v>517</v>
      </c>
      <c r="O136" s="468">
        <v>40326</v>
      </c>
      <c r="P136" s="517">
        <v>0.90384615384615385</v>
      </c>
      <c r="Q136" s="469">
        <v>78</v>
      </c>
    </row>
    <row r="137" spans="1:17" ht="14.4" customHeight="1" x14ac:dyDescent="0.3">
      <c r="A137" s="464" t="s">
        <v>1871</v>
      </c>
      <c r="B137" s="465" t="s">
        <v>1769</v>
      </c>
      <c r="C137" s="465" t="s">
        <v>1756</v>
      </c>
      <c r="D137" s="465" t="s">
        <v>1801</v>
      </c>
      <c r="E137" s="465" t="s">
        <v>1802</v>
      </c>
      <c r="F137" s="468">
        <v>232</v>
      </c>
      <c r="G137" s="468">
        <v>70064</v>
      </c>
      <c r="H137" s="468">
        <v>1</v>
      </c>
      <c r="I137" s="468">
        <v>302</v>
      </c>
      <c r="J137" s="468">
        <v>223</v>
      </c>
      <c r="K137" s="468">
        <v>67569</v>
      </c>
      <c r="L137" s="468">
        <v>0.9643897008449418</v>
      </c>
      <c r="M137" s="468">
        <v>303</v>
      </c>
      <c r="N137" s="468">
        <v>232</v>
      </c>
      <c r="O137" s="468">
        <v>70839</v>
      </c>
      <c r="P137" s="517">
        <v>1.0110613153688057</v>
      </c>
      <c r="Q137" s="469">
        <v>305.3405172413793</v>
      </c>
    </row>
    <row r="138" spans="1:17" ht="14.4" customHeight="1" x14ac:dyDescent="0.3">
      <c r="A138" s="464" t="s">
        <v>1871</v>
      </c>
      <c r="B138" s="465" t="s">
        <v>1769</v>
      </c>
      <c r="C138" s="465" t="s">
        <v>1756</v>
      </c>
      <c r="D138" s="465" t="s">
        <v>1805</v>
      </c>
      <c r="E138" s="465" t="s">
        <v>1806</v>
      </c>
      <c r="F138" s="468">
        <v>507</v>
      </c>
      <c r="G138" s="468">
        <v>80613</v>
      </c>
      <c r="H138" s="468">
        <v>1</v>
      </c>
      <c r="I138" s="468">
        <v>159</v>
      </c>
      <c r="J138" s="468">
        <v>537</v>
      </c>
      <c r="K138" s="468">
        <v>85920</v>
      </c>
      <c r="L138" s="468">
        <v>1.0658330542220238</v>
      </c>
      <c r="M138" s="468">
        <v>160</v>
      </c>
      <c r="N138" s="468">
        <v>459</v>
      </c>
      <c r="O138" s="468">
        <v>73771</v>
      </c>
      <c r="P138" s="517">
        <v>0.91512535199037381</v>
      </c>
      <c r="Q138" s="469">
        <v>160.7211328976035</v>
      </c>
    </row>
    <row r="139" spans="1:17" ht="14.4" customHeight="1" x14ac:dyDescent="0.3">
      <c r="A139" s="464" t="s">
        <v>1871</v>
      </c>
      <c r="B139" s="465" t="s">
        <v>1769</v>
      </c>
      <c r="C139" s="465" t="s">
        <v>1756</v>
      </c>
      <c r="D139" s="465" t="s">
        <v>1809</v>
      </c>
      <c r="E139" s="465" t="s">
        <v>1774</v>
      </c>
      <c r="F139" s="468">
        <v>918</v>
      </c>
      <c r="G139" s="468">
        <v>64260</v>
      </c>
      <c r="H139" s="468">
        <v>1</v>
      </c>
      <c r="I139" s="468">
        <v>70</v>
      </c>
      <c r="J139" s="468">
        <v>898</v>
      </c>
      <c r="K139" s="468">
        <v>62860</v>
      </c>
      <c r="L139" s="468">
        <v>0.97821350762527237</v>
      </c>
      <c r="M139" s="468">
        <v>70</v>
      </c>
      <c r="N139" s="468">
        <v>843</v>
      </c>
      <c r="O139" s="468">
        <v>59635</v>
      </c>
      <c r="P139" s="517">
        <v>0.92802676626206038</v>
      </c>
      <c r="Q139" s="469">
        <v>70.741399762752081</v>
      </c>
    </row>
    <row r="140" spans="1:17" ht="14.4" customHeight="1" x14ac:dyDescent="0.3">
      <c r="A140" s="464" t="s">
        <v>1871</v>
      </c>
      <c r="B140" s="465" t="s">
        <v>1769</v>
      </c>
      <c r="C140" s="465" t="s">
        <v>1756</v>
      </c>
      <c r="D140" s="465" t="s">
        <v>1814</v>
      </c>
      <c r="E140" s="465" t="s">
        <v>1815</v>
      </c>
      <c r="F140" s="468">
        <v>1</v>
      </c>
      <c r="G140" s="468">
        <v>215</v>
      </c>
      <c r="H140" s="468">
        <v>1</v>
      </c>
      <c r="I140" s="468">
        <v>215</v>
      </c>
      <c r="J140" s="468"/>
      <c r="K140" s="468"/>
      <c r="L140" s="468"/>
      <c r="M140" s="468"/>
      <c r="N140" s="468">
        <v>3</v>
      </c>
      <c r="O140" s="468">
        <v>648</v>
      </c>
      <c r="P140" s="517">
        <v>3.0139534883720929</v>
      </c>
      <c r="Q140" s="469">
        <v>216</v>
      </c>
    </row>
    <row r="141" spans="1:17" ht="14.4" customHeight="1" x14ac:dyDescent="0.3">
      <c r="A141" s="464" t="s">
        <v>1871</v>
      </c>
      <c r="B141" s="465" t="s">
        <v>1769</v>
      </c>
      <c r="C141" s="465" t="s">
        <v>1756</v>
      </c>
      <c r="D141" s="465" t="s">
        <v>1816</v>
      </c>
      <c r="E141" s="465" t="s">
        <v>1817</v>
      </c>
      <c r="F141" s="468">
        <v>18</v>
      </c>
      <c r="G141" s="468">
        <v>21348</v>
      </c>
      <c r="H141" s="468">
        <v>1</v>
      </c>
      <c r="I141" s="468">
        <v>1186</v>
      </c>
      <c r="J141" s="468">
        <v>28</v>
      </c>
      <c r="K141" s="468">
        <v>33292</v>
      </c>
      <c r="L141" s="468">
        <v>1.5594903503841109</v>
      </c>
      <c r="M141" s="468">
        <v>1189</v>
      </c>
      <c r="N141" s="468">
        <v>35</v>
      </c>
      <c r="O141" s="468">
        <v>41707</v>
      </c>
      <c r="P141" s="517">
        <v>1.9536724751733183</v>
      </c>
      <c r="Q141" s="469">
        <v>1191.6285714285714</v>
      </c>
    </row>
    <row r="142" spans="1:17" ht="14.4" customHeight="1" x14ac:dyDescent="0.3">
      <c r="A142" s="464" t="s">
        <v>1871</v>
      </c>
      <c r="B142" s="465" t="s">
        <v>1769</v>
      </c>
      <c r="C142" s="465" t="s">
        <v>1756</v>
      </c>
      <c r="D142" s="465" t="s">
        <v>1818</v>
      </c>
      <c r="E142" s="465" t="s">
        <v>1819</v>
      </c>
      <c r="F142" s="468">
        <v>22</v>
      </c>
      <c r="G142" s="468">
        <v>2354</v>
      </c>
      <c r="H142" s="468">
        <v>1</v>
      </c>
      <c r="I142" s="468">
        <v>107</v>
      </c>
      <c r="J142" s="468">
        <v>25</v>
      </c>
      <c r="K142" s="468">
        <v>2700</v>
      </c>
      <c r="L142" s="468">
        <v>1.146983857264231</v>
      </c>
      <c r="M142" s="468">
        <v>108</v>
      </c>
      <c r="N142" s="468">
        <v>23</v>
      </c>
      <c r="O142" s="468">
        <v>2500</v>
      </c>
      <c r="P142" s="517">
        <v>1.0620220900594732</v>
      </c>
      <c r="Q142" s="469">
        <v>108.69565217391305</v>
      </c>
    </row>
    <row r="143" spans="1:17" ht="14.4" customHeight="1" x14ac:dyDescent="0.3">
      <c r="A143" s="464" t="s">
        <v>1871</v>
      </c>
      <c r="B143" s="465" t="s">
        <v>1769</v>
      </c>
      <c r="C143" s="465" t="s">
        <v>1756</v>
      </c>
      <c r="D143" s="465" t="s">
        <v>1822</v>
      </c>
      <c r="E143" s="465" t="s">
        <v>1823</v>
      </c>
      <c r="F143" s="468">
        <v>1</v>
      </c>
      <c r="G143" s="468">
        <v>318</v>
      </c>
      <c r="H143" s="468">
        <v>1</v>
      </c>
      <c r="I143" s="468">
        <v>318</v>
      </c>
      <c r="J143" s="468">
        <v>2</v>
      </c>
      <c r="K143" s="468">
        <v>638</v>
      </c>
      <c r="L143" s="468">
        <v>2.0062893081761008</v>
      </c>
      <c r="M143" s="468">
        <v>319</v>
      </c>
      <c r="N143" s="468">
        <v>2</v>
      </c>
      <c r="O143" s="468">
        <v>641</v>
      </c>
      <c r="P143" s="517">
        <v>2.0157232704402515</v>
      </c>
      <c r="Q143" s="469">
        <v>320.5</v>
      </c>
    </row>
    <row r="144" spans="1:17" ht="14.4" customHeight="1" x14ac:dyDescent="0.3">
      <c r="A144" s="464" t="s">
        <v>1871</v>
      </c>
      <c r="B144" s="465" t="s">
        <v>1769</v>
      </c>
      <c r="C144" s="465" t="s">
        <v>1756</v>
      </c>
      <c r="D144" s="465" t="s">
        <v>1828</v>
      </c>
      <c r="E144" s="465" t="s">
        <v>1829</v>
      </c>
      <c r="F144" s="468"/>
      <c r="G144" s="468"/>
      <c r="H144" s="468"/>
      <c r="I144" s="468"/>
      <c r="J144" s="468"/>
      <c r="K144" s="468"/>
      <c r="L144" s="468"/>
      <c r="M144" s="468"/>
      <c r="N144" s="468">
        <v>1</v>
      </c>
      <c r="O144" s="468">
        <v>1020</v>
      </c>
      <c r="P144" s="517"/>
      <c r="Q144" s="469">
        <v>1020</v>
      </c>
    </row>
    <row r="145" spans="1:17" ht="14.4" customHeight="1" x14ac:dyDescent="0.3">
      <c r="A145" s="464" t="s">
        <v>1871</v>
      </c>
      <c r="B145" s="465" t="s">
        <v>1769</v>
      </c>
      <c r="C145" s="465" t="s">
        <v>1756</v>
      </c>
      <c r="D145" s="465" t="s">
        <v>1830</v>
      </c>
      <c r="E145" s="465" t="s">
        <v>1831</v>
      </c>
      <c r="F145" s="468"/>
      <c r="G145" s="468"/>
      <c r="H145" s="468"/>
      <c r="I145" s="468"/>
      <c r="J145" s="468"/>
      <c r="K145" s="468"/>
      <c r="L145" s="468"/>
      <c r="M145" s="468"/>
      <c r="N145" s="468">
        <v>1</v>
      </c>
      <c r="O145" s="468">
        <v>293</v>
      </c>
      <c r="P145" s="517"/>
      <c r="Q145" s="469">
        <v>293</v>
      </c>
    </row>
    <row r="146" spans="1:17" ht="14.4" customHeight="1" x14ac:dyDescent="0.3">
      <c r="A146" s="464" t="s">
        <v>1872</v>
      </c>
      <c r="B146" s="465" t="s">
        <v>1769</v>
      </c>
      <c r="C146" s="465" t="s">
        <v>1756</v>
      </c>
      <c r="D146" s="465" t="s">
        <v>1773</v>
      </c>
      <c r="E146" s="465" t="s">
        <v>1774</v>
      </c>
      <c r="F146" s="468">
        <v>992</v>
      </c>
      <c r="G146" s="468">
        <v>200384</v>
      </c>
      <c r="H146" s="468">
        <v>1</v>
      </c>
      <c r="I146" s="468">
        <v>202</v>
      </c>
      <c r="J146" s="468">
        <v>859</v>
      </c>
      <c r="K146" s="468">
        <v>174377</v>
      </c>
      <c r="L146" s="468">
        <v>0.87021418875758538</v>
      </c>
      <c r="M146" s="468">
        <v>203</v>
      </c>
      <c r="N146" s="468">
        <v>963</v>
      </c>
      <c r="O146" s="468">
        <v>196867</v>
      </c>
      <c r="P146" s="517">
        <v>0.98244869849888217</v>
      </c>
      <c r="Q146" s="469">
        <v>204.43094496365524</v>
      </c>
    </row>
    <row r="147" spans="1:17" ht="14.4" customHeight="1" x14ac:dyDescent="0.3">
      <c r="A147" s="464" t="s">
        <v>1872</v>
      </c>
      <c r="B147" s="465" t="s">
        <v>1769</v>
      </c>
      <c r="C147" s="465" t="s">
        <v>1756</v>
      </c>
      <c r="D147" s="465" t="s">
        <v>1775</v>
      </c>
      <c r="E147" s="465" t="s">
        <v>1774</v>
      </c>
      <c r="F147" s="468"/>
      <c r="G147" s="468"/>
      <c r="H147" s="468"/>
      <c r="I147" s="468"/>
      <c r="J147" s="468"/>
      <c r="K147" s="468"/>
      <c r="L147" s="468"/>
      <c r="M147" s="468"/>
      <c r="N147" s="468">
        <v>1</v>
      </c>
      <c r="O147" s="468">
        <v>85</v>
      </c>
      <c r="P147" s="517"/>
      <c r="Q147" s="469">
        <v>85</v>
      </c>
    </row>
    <row r="148" spans="1:17" ht="14.4" customHeight="1" x14ac:dyDescent="0.3">
      <c r="A148" s="464" t="s">
        <v>1872</v>
      </c>
      <c r="B148" s="465" t="s">
        <v>1769</v>
      </c>
      <c r="C148" s="465" t="s">
        <v>1756</v>
      </c>
      <c r="D148" s="465" t="s">
        <v>1776</v>
      </c>
      <c r="E148" s="465" t="s">
        <v>1777</v>
      </c>
      <c r="F148" s="468">
        <v>98</v>
      </c>
      <c r="G148" s="468">
        <v>28518</v>
      </c>
      <c r="H148" s="468">
        <v>1</v>
      </c>
      <c r="I148" s="468">
        <v>291</v>
      </c>
      <c r="J148" s="468">
        <v>284</v>
      </c>
      <c r="K148" s="468">
        <v>82928</v>
      </c>
      <c r="L148" s="468">
        <v>2.9079178062977769</v>
      </c>
      <c r="M148" s="468">
        <v>292</v>
      </c>
      <c r="N148" s="468">
        <v>522</v>
      </c>
      <c r="O148" s="468">
        <v>152998</v>
      </c>
      <c r="P148" s="517">
        <v>5.3649624798372955</v>
      </c>
      <c r="Q148" s="469">
        <v>293.09961685823754</v>
      </c>
    </row>
    <row r="149" spans="1:17" ht="14.4" customHeight="1" x14ac:dyDescent="0.3">
      <c r="A149" s="464" t="s">
        <v>1872</v>
      </c>
      <c r="B149" s="465" t="s">
        <v>1769</v>
      </c>
      <c r="C149" s="465" t="s">
        <v>1756</v>
      </c>
      <c r="D149" s="465" t="s">
        <v>1778</v>
      </c>
      <c r="E149" s="465" t="s">
        <v>1779</v>
      </c>
      <c r="F149" s="468"/>
      <c r="G149" s="468"/>
      <c r="H149" s="468"/>
      <c r="I149" s="468"/>
      <c r="J149" s="468">
        <v>15</v>
      </c>
      <c r="K149" s="468">
        <v>1395</v>
      </c>
      <c r="L149" s="468"/>
      <c r="M149" s="468">
        <v>93</v>
      </c>
      <c r="N149" s="468">
        <v>12</v>
      </c>
      <c r="O149" s="468">
        <v>1125</v>
      </c>
      <c r="P149" s="517"/>
      <c r="Q149" s="469">
        <v>93.75</v>
      </c>
    </row>
    <row r="150" spans="1:17" ht="14.4" customHeight="1" x14ac:dyDescent="0.3">
      <c r="A150" s="464" t="s">
        <v>1872</v>
      </c>
      <c r="B150" s="465" t="s">
        <v>1769</v>
      </c>
      <c r="C150" s="465" t="s">
        <v>1756</v>
      </c>
      <c r="D150" s="465" t="s">
        <v>1780</v>
      </c>
      <c r="E150" s="465" t="s">
        <v>1781</v>
      </c>
      <c r="F150" s="468"/>
      <c r="G150" s="468"/>
      <c r="H150" s="468"/>
      <c r="I150" s="468"/>
      <c r="J150" s="468">
        <v>2</v>
      </c>
      <c r="K150" s="468">
        <v>440</v>
      </c>
      <c r="L150" s="468"/>
      <c r="M150" s="468">
        <v>220</v>
      </c>
      <c r="N150" s="468"/>
      <c r="O150" s="468"/>
      <c r="P150" s="517"/>
      <c r="Q150" s="469"/>
    </row>
    <row r="151" spans="1:17" ht="14.4" customHeight="1" x14ac:dyDescent="0.3">
      <c r="A151" s="464" t="s">
        <v>1872</v>
      </c>
      <c r="B151" s="465" t="s">
        <v>1769</v>
      </c>
      <c r="C151" s="465" t="s">
        <v>1756</v>
      </c>
      <c r="D151" s="465" t="s">
        <v>1782</v>
      </c>
      <c r="E151" s="465" t="s">
        <v>1783</v>
      </c>
      <c r="F151" s="468">
        <v>157</v>
      </c>
      <c r="G151" s="468">
        <v>20881</v>
      </c>
      <c r="H151" s="468">
        <v>1</v>
      </c>
      <c r="I151" s="468">
        <v>133</v>
      </c>
      <c r="J151" s="468">
        <v>137</v>
      </c>
      <c r="K151" s="468">
        <v>18358</v>
      </c>
      <c r="L151" s="468">
        <v>0.87917245342656003</v>
      </c>
      <c r="M151" s="468">
        <v>134</v>
      </c>
      <c r="N151" s="468">
        <v>178</v>
      </c>
      <c r="O151" s="468">
        <v>23993</v>
      </c>
      <c r="P151" s="517">
        <v>1.1490350079019205</v>
      </c>
      <c r="Q151" s="469">
        <v>134.79213483146069</v>
      </c>
    </row>
    <row r="152" spans="1:17" ht="14.4" customHeight="1" x14ac:dyDescent="0.3">
      <c r="A152" s="464" t="s">
        <v>1872</v>
      </c>
      <c r="B152" s="465" t="s">
        <v>1769</v>
      </c>
      <c r="C152" s="465" t="s">
        <v>1756</v>
      </c>
      <c r="D152" s="465" t="s">
        <v>1784</v>
      </c>
      <c r="E152" s="465" t="s">
        <v>1783</v>
      </c>
      <c r="F152" s="468">
        <v>1</v>
      </c>
      <c r="G152" s="468">
        <v>174</v>
      </c>
      <c r="H152" s="468">
        <v>1</v>
      </c>
      <c r="I152" s="468">
        <v>174</v>
      </c>
      <c r="J152" s="468"/>
      <c r="K152" s="468"/>
      <c r="L152" s="468"/>
      <c r="M152" s="468"/>
      <c r="N152" s="468">
        <v>2</v>
      </c>
      <c r="O152" s="468">
        <v>352</v>
      </c>
      <c r="P152" s="517">
        <v>2.0229885057471266</v>
      </c>
      <c r="Q152" s="469">
        <v>176</v>
      </c>
    </row>
    <row r="153" spans="1:17" ht="14.4" customHeight="1" x14ac:dyDescent="0.3">
      <c r="A153" s="464" t="s">
        <v>1872</v>
      </c>
      <c r="B153" s="465" t="s">
        <v>1769</v>
      </c>
      <c r="C153" s="465" t="s">
        <v>1756</v>
      </c>
      <c r="D153" s="465" t="s">
        <v>1785</v>
      </c>
      <c r="E153" s="465" t="s">
        <v>1786</v>
      </c>
      <c r="F153" s="468"/>
      <c r="G153" s="468"/>
      <c r="H153" s="468"/>
      <c r="I153" s="468"/>
      <c r="J153" s="468">
        <v>1</v>
      </c>
      <c r="K153" s="468">
        <v>612</v>
      </c>
      <c r="L153" s="468"/>
      <c r="M153" s="468">
        <v>612</v>
      </c>
      <c r="N153" s="468"/>
      <c r="O153" s="468"/>
      <c r="P153" s="517"/>
      <c r="Q153" s="469"/>
    </row>
    <row r="154" spans="1:17" ht="14.4" customHeight="1" x14ac:dyDescent="0.3">
      <c r="A154" s="464" t="s">
        <v>1872</v>
      </c>
      <c r="B154" s="465" t="s">
        <v>1769</v>
      </c>
      <c r="C154" s="465" t="s">
        <v>1756</v>
      </c>
      <c r="D154" s="465" t="s">
        <v>1789</v>
      </c>
      <c r="E154" s="465" t="s">
        <v>1790</v>
      </c>
      <c r="F154" s="468">
        <v>3</v>
      </c>
      <c r="G154" s="468">
        <v>474</v>
      </c>
      <c r="H154" s="468">
        <v>1</v>
      </c>
      <c r="I154" s="468">
        <v>158</v>
      </c>
      <c r="J154" s="468">
        <v>10</v>
      </c>
      <c r="K154" s="468">
        <v>1590</v>
      </c>
      <c r="L154" s="468">
        <v>3.3544303797468356</v>
      </c>
      <c r="M154" s="468">
        <v>159</v>
      </c>
      <c r="N154" s="468">
        <v>16</v>
      </c>
      <c r="O154" s="468">
        <v>2555</v>
      </c>
      <c r="P154" s="517">
        <v>5.390295358649789</v>
      </c>
      <c r="Q154" s="469">
        <v>159.6875</v>
      </c>
    </row>
    <row r="155" spans="1:17" ht="14.4" customHeight="1" x14ac:dyDescent="0.3">
      <c r="A155" s="464" t="s">
        <v>1872</v>
      </c>
      <c r="B155" s="465" t="s">
        <v>1769</v>
      </c>
      <c r="C155" s="465" t="s">
        <v>1756</v>
      </c>
      <c r="D155" s="465" t="s">
        <v>1791</v>
      </c>
      <c r="E155" s="465" t="s">
        <v>1792</v>
      </c>
      <c r="F155" s="468">
        <v>27</v>
      </c>
      <c r="G155" s="468">
        <v>10314</v>
      </c>
      <c r="H155" s="468">
        <v>1</v>
      </c>
      <c r="I155" s="468">
        <v>382</v>
      </c>
      <c r="J155" s="468">
        <v>18</v>
      </c>
      <c r="K155" s="468">
        <v>6876</v>
      </c>
      <c r="L155" s="468">
        <v>0.66666666666666663</v>
      </c>
      <c r="M155" s="468">
        <v>382</v>
      </c>
      <c r="N155" s="468">
        <v>2</v>
      </c>
      <c r="O155" s="468">
        <v>764</v>
      </c>
      <c r="P155" s="517">
        <v>7.407407407407407E-2</v>
      </c>
      <c r="Q155" s="469">
        <v>382</v>
      </c>
    </row>
    <row r="156" spans="1:17" ht="14.4" customHeight="1" x14ac:dyDescent="0.3">
      <c r="A156" s="464" t="s">
        <v>1872</v>
      </c>
      <c r="B156" s="465" t="s">
        <v>1769</v>
      </c>
      <c r="C156" s="465" t="s">
        <v>1756</v>
      </c>
      <c r="D156" s="465" t="s">
        <v>1793</v>
      </c>
      <c r="E156" s="465" t="s">
        <v>1794</v>
      </c>
      <c r="F156" s="468">
        <v>397</v>
      </c>
      <c r="G156" s="468">
        <v>6352</v>
      </c>
      <c r="H156" s="468">
        <v>1</v>
      </c>
      <c r="I156" s="468">
        <v>16</v>
      </c>
      <c r="J156" s="468">
        <v>352</v>
      </c>
      <c r="K156" s="468">
        <v>5632</v>
      </c>
      <c r="L156" s="468">
        <v>0.88664987405541562</v>
      </c>
      <c r="M156" s="468">
        <v>16</v>
      </c>
      <c r="N156" s="468">
        <v>376</v>
      </c>
      <c r="O156" s="468">
        <v>6016</v>
      </c>
      <c r="P156" s="517">
        <v>0.94710327455919396</v>
      </c>
      <c r="Q156" s="469">
        <v>16</v>
      </c>
    </row>
    <row r="157" spans="1:17" ht="14.4" customHeight="1" x14ac:dyDescent="0.3">
      <c r="A157" s="464" t="s">
        <v>1872</v>
      </c>
      <c r="B157" s="465" t="s">
        <v>1769</v>
      </c>
      <c r="C157" s="465" t="s">
        <v>1756</v>
      </c>
      <c r="D157" s="465" t="s">
        <v>1797</v>
      </c>
      <c r="E157" s="465" t="s">
        <v>1798</v>
      </c>
      <c r="F157" s="468">
        <v>119</v>
      </c>
      <c r="G157" s="468">
        <v>31059</v>
      </c>
      <c r="H157" s="468">
        <v>1</v>
      </c>
      <c r="I157" s="468">
        <v>261</v>
      </c>
      <c r="J157" s="468">
        <v>127</v>
      </c>
      <c r="K157" s="468">
        <v>33274</v>
      </c>
      <c r="L157" s="468">
        <v>1.071315882674909</v>
      </c>
      <c r="M157" s="468">
        <v>262</v>
      </c>
      <c r="N157" s="468">
        <v>143</v>
      </c>
      <c r="O157" s="468">
        <v>37781</v>
      </c>
      <c r="P157" s="517">
        <v>1.2164268006052996</v>
      </c>
      <c r="Q157" s="469">
        <v>264.20279720279723</v>
      </c>
    </row>
    <row r="158" spans="1:17" ht="14.4" customHeight="1" x14ac:dyDescent="0.3">
      <c r="A158" s="464" t="s">
        <v>1872</v>
      </c>
      <c r="B158" s="465" t="s">
        <v>1769</v>
      </c>
      <c r="C158" s="465" t="s">
        <v>1756</v>
      </c>
      <c r="D158" s="465" t="s">
        <v>1799</v>
      </c>
      <c r="E158" s="465" t="s">
        <v>1796</v>
      </c>
      <c r="F158" s="468">
        <v>176</v>
      </c>
      <c r="G158" s="468">
        <v>24640</v>
      </c>
      <c r="H158" s="468">
        <v>1</v>
      </c>
      <c r="I158" s="468">
        <v>140</v>
      </c>
      <c r="J158" s="468">
        <v>154</v>
      </c>
      <c r="K158" s="468">
        <v>21714</v>
      </c>
      <c r="L158" s="468">
        <v>0.88124999999999998</v>
      </c>
      <c r="M158" s="468">
        <v>141</v>
      </c>
      <c r="N158" s="468">
        <v>166</v>
      </c>
      <c r="O158" s="468">
        <v>23406</v>
      </c>
      <c r="P158" s="517">
        <v>0.94991883116883113</v>
      </c>
      <c r="Q158" s="469">
        <v>141</v>
      </c>
    </row>
    <row r="159" spans="1:17" ht="14.4" customHeight="1" x14ac:dyDescent="0.3">
      <c r="A159" s="464" t="s">
        <v>1872</v>
      </c>
      <c r="B159" s="465" t="s">
        <v>1769</v>
      </c>
      <c r="C159" s="465" t="s">
        <v>1756</v>
      </c>
      <c r="D159" s="465" t="s">
        <v>1800</v>
      </c>
      <c r="E159" s="465" t="s">
        <v>1796</v>
      </c>
      <c r="F159" s="468">
        <v>157</v>
      </c>
      <c r="G159" s="468">
        <v>12246</v>
      </c>
      <c r="H159" s="468">
        <v>1</v>
      </c>
      <c r="I159" s="468">
        <v>78</v>
      </c>
      <c r="J159" s="468">
        <v>137</v>
      </c>
      <c r="K159" s="468">
        <v>10686</v>
      </c>
      <c r="L159" s="468">
        <v>0.87261146496815289</v>
      </c>
      <c r="M159" s="468">
        <v>78</v>
      </c>
      <c r="N159" s="468">
        <v>179</v>
      </c>
      <c r="O159" s="468">
        <v>13962</v>
      </c>
      <c r="P159" s="517">
        <v>1.1401273885350318</v>
      </c>
      <c r="Q159" s="469">
        <v>78</v>
      </c>
    </row>
    <row r="160" spans="1:17" ht="14.4" customHeight="1" x14ac:dyDescent="0.3">
      <c r="A160" s="464" t="s">
        <v>1872</v>
      </c>
      <c r="B160" s="465" t="s">
        <v>1769</v>
      </c>
      <c r="C160" s="465" t="s">
        <v>1756</v>
      </c>
      <c r="D160" s="465" t="s">
        <v>1801</v>
      </c>
      <c r="E160" s="465" t="s">
        <v>1802</v>
      </c>
      <c r="F160" s="468">
        <v>176</v>
      </c>
      <c r="G160" s="468">
        <v>53152</v>
      </c>
      <c r="H160" s="468">
        <v>1</v>
      </c>
      <c r="I160" s="468">
        <v>302</v>
      </c>
      <c r="J160" s="468">
        <v>152</v>
      </c>
      <c r="K160" s="468">
        <v>46056</v>
      </c>
      <c r="L160" s="468">
        <v>0.86649608669476219</v>
      </c>
      <c r="M160" s="468">
        <v>303</v>
      </c>
      <c r="N160" s="468">
        <v>166</v>
      </c>
      <c r="O160" s="468">
        <v>50670</v>
      </c>
      <c r="P160" s="517">
        <v>0.95330373269114987</v>
      </c>
      <c r="Q160" s="469">
        <v>305.24096385542168</v>
      </c>
    </row>
    <row r="161" spans="1:17" ht="14.4" customHeight="1" x14ac:dyDescent="0.3">
      <c r="A161" s="464" t="s">
        <v>1872</v>
      </c>
      <c r="B161" s="465" t="s">
        <v>1769</v>
      </c>
      <c r="C161" s="465" t="s">
        <v>1756</v>
      </c>
      <c r="D161" s="465" t="s">
        <v>1803</v>
      </c>
      <c r="E161" s="465" t="s">
        <v>1804</v>
      </c>
      <c r="F161" s="468">
        <v>2</v>
      </c>
      <c r="G161" s="468">
        <v>972</v>
      </c>
      <c r="H161" s="468">
        <v>1</v>
      </c>
      <c r="I161" s="468">
        <v>486</v>
      </c>
      <c r="J161" s="468">
        <v>2</v>
      </c>
      <c r="K161" s="468">
        <v>972</v>
      </c>
      <c r="L161" s="468">
        <v>1</v>
      </c>
      <c r="M161" s="468">
        <v>486</v>
      </c>
      <c r="N161" s="468">
        <v>2</v>
      </c>
      <c r="O161" s="468">
        <v>972</v>
      </c>
      <c r="P161" s="517">
        <v>1</v>
      </c>
      <c r="Q161" s="469">
        <v>486</v>
      </c>
    </row>
    <row r="162" spans="1:17" ht="14.4" customHeight="1" x14ac:dyDescent="0.3">
      <c r="A162" s="464" t="s">
        <v>1872</v>
      </c>
      <c r="B162" s="465" t="s">
        <v>1769</v>
      </c>
      <c r="C162" s="465" t="s">
        <v>1756</v>
      </c>
      <c r="D162" s="465" t="s">
        <v>1805</v>
      </c>
      <c r="E162" s="465" t="s">
        <v>1806</v>
      </c>
      <c r="F162" s="468">
        <v>65</v>
      </c>
      <c r="G162" s="468">
        <v>10335</v>
      </c>
      <c r="H162" s="468">
        <v>1</v>
      </c>
      <c r="I162" s="468">
        <v>159</v>
      </c>
      <c r="J162" s="468">
        <v>57</v>
      </c>
      <c r="K162" s="468">
        <v>9120</v>
      </c>
      <c r="L162" s="468">
        <v>0.88243831640058057</v>
      </c>
      <c r="M162" s="468">
        <v>160</v>
      </c>
      <c r="N162" s="468">
        <v>71</v>
      </c>
      <c r="O162" s="468">
        <v>11415</v>
      </c>
      <c r="P162" s="517">
        <v>1.104499274310595</v>
      </c>
      <c r="Q162" s="469">
        <v>160.77464788732394</v>
      </c>
    </row>
    <row r="163" spans="1:17" ht="14.4" customHeight="1" x14ac:dyDescent="0.3">
      <c r="A163" s="464" t="s">
        <v>1872</v>
      </c>
      <c r="B163" s="465" t="s">
        <v>1769</v>
      </c>
      <c r="C163" s="465" t="s">
        <v>1756</v>
      </c>
      <c r="D163" s="465" t="s">
        <v>1809</v>
      </c>
      <c r="E163" s="465" t="s">
        <v>1774</v>
      </c>
      <c r="F163" s="468">
        <v>415</v>
      </c>
      <c r="G163" s="468">
        <v>29050</v>
      </c>
      <c r="H163" s="468">
        <v>1</v>
      </c>
      <c r="I163" s="468">
        <v>70</v>
      </c>
      <c r="J163" s="468">
        <v>404</v>
      </c>
      <c r="K163" s="468">
        <v>28280</v>
      </c>
      <c r="L163" s="468">
        <v>0.97349397590361442</v>
      </c>
      <c r="M163" s="468">
        <v>70</v>
      </c>
      <c r="N163" s="468">
        <v>491</v>
      </c>
      <c r="O163" s="468">
        <v>34767</v>
      </c>
      <c r="P163" s="517">
        <v>1.1967986230636833</v>
      </c>
      <c r="Q163" s="469">
        <v>70.808553971486759</v>
      </c>
    </row>
    <row r="164" spans="1:17" ht="14.4" customHeight="1" x14ac:dyDescent="0.3">
      <c r="A164" s="464" t="s">
        <v>1872</v>
      </c>
      <c r="B164" s="465" t="s">
        <v>1769</v>
      </c>
      <c r="C164" s="465" t="s">
        <v>1756</v>
      </c>
      <c r="D164" s="465" t="s">
        <v>1814</v>
      </c>
      <c r="E164" s="465" t="s">
        <v>1815</v>
      </c>
      <c r="F164" s="468">
        <v>3</v>
      </c>
      <c r="G164" s="468">
        <v>645</v>
      </c>
      <c r="H164" s="468">
        <v>1</v>
      </c>
      <c r="I164" s="468">
        <v>215</v>
      </c>
      <c r="J164" s="468">
        <v>4</v>
      </c>
      <c r="K164" s="468">
        <v>864</v>
      </c>
      <c r="L164" s="468">
        <v>1.3395348837209302</v>
      </c>
      <c r="M164" s="468">
        <v>216</v>
      </c>
      <c r="N164" s="468">
        <v>1</v>
      </c>
      <c r="O164" s="468">
        <v>219</v>
      </c>
      <c r="P164" s="517">
        <v>0.33953488372093021</v>
      </c>
      <c r="Q164" s="469">
        <v>219</v>
      </c>
    </row>
    <row r="165" spans="1:17" ht="14.4" customHeight="1" x14ac:dyDescent="0.3">
      <c r="A165" s="464" t="s">
        <v>1872</v>
      </c>
      <c r="B165" s="465" t="s">
        <v>1769</v>
      </c>
      <c r="C165" s="465" t="s">
        <v>1756</v>
      </c>
      <c r="D165" s="465" t="s">
        <v>1816</v>
      </c>
      <c r="E165" s="465" t="s">
        <v>1817</v>
      </c>
      <c r="F165" s="468">
        <v>2</v>
      </c>
      <c r="G165" s="468">
        <v>2372</v>
      </c>
      <c r="H165" s="468">
        <v>1</v>
      </c>
      <c r="I165" s="468">
        <v>1186</v>
      </c>
      <c r="J165" s="468">
        <v>13</v>
      </c>
      <c r="K165" s="468">
        <v>15457</v>
      </c>
      <c r="L165" s="468">
        <v>6.5164418212478923</v>
      </c>
      <c r="M165" s="468">
        <v>1189</v>
      </c>
      <c r="N165" s="468">
        <v>22</v>
      </c>
      <c r="O165" s="468">
        <v>26230</v>
      </c>
      <c r="P165" s="517">
        <v>11.058178752107926</v>
      </c>
      <c r="Q165" s="469">
        <v>1192.2727272727273</v>
      </c>
    </row>
    <row r="166" spans="1:17" ht="14.4" customHeight="1" x14ac:dyDescent="0.3">
      <c r="A166" s="464" t="s">
        <v>1872</v>
      </c>
      <c r="B166" s="465" t="s">
        <v>1769</v>
      </c>
      <c r="C166" s="465" t="s">
        <v>1756</v>
      </c>
      <c r="D166" s="465" t="s">
        <v>1818</v>
      </c>
      <c r="E166" s="465" t="s">
        <v>1819</v>
      </c>
      <c r="F166" s="468">
        <v>2</v>
      </c>
      <c r="G166" s="468">
        <v>214</v>
      </c>
      <c r="H166" s="468">
        <v>1</v>
      </c>
      <c r="I166" s="468">
        <v>107</v>
      </c>
      <c r="J166" s="468">
        <v>12</v>
      </c>
      <c r="K166" s="468">
        <v>1296</v>
      </c>
      <c r="L166" s="468">
        <v>6.05607476635514</v>
      </c>
      <c r="M166" s="468">
        <v>108</v>
      </c>
      <c r="N166" s="468">
        <v>10</v>
      </c>
      <c r="O166" s="468">
        <v>1088</v>
      </c>
      <c r="P166" s="517">
        <v>5.08411214953271</v>
      </c>
      <c r="Q166" s="469">
        <v>108.8</v>
      </c>
    </row>
    <row r="167" spans="1:17" ht="14.4" customHeight="1" x14ac:dyDescent="0.3">
      <c r="A167" s="464" t="s">
        <v>1872</v>
      </c>
      <c r="B167" s="465" t="s">
        <v>1769</v>
      </c>
      <c r="C167" s="465" t="s">
        <v>1756</v>
      </c>
      <c r="D167" s="465" t="s">
        <v>1822</v>
      </c>
      <c r="E167" s="465" t="s">
        <v>1823</v>
      </c>
      <c r="F167" s="468">
        <v>1</v>
      </c>
      <c r="G167" s="468">
        <v>318</v>
      </c>
      <c r="H167" s="468">
        <v>1</v>
      </c>
      <c r="I167" s="468">
        <v>318</v>
      </c>
      <c r="J167" s="468">
        <v>2</v>
      </c>
      <c r="K167" s="468">
        <v>638</v>
      </c>
      <c r="L167" s="468">
        <v>2.0062893081761008</v>
      </c>
      <c r="M167" s="468">
        <v>319</v>
      </c>
      <c r="N167" s="468"/>
      <c r="O167" s="468"/>
      <c r="P167" s="517"/>
      <c r="Q167" s="469"/>
    </row>
    <row r="168" spans="1:17" ht="14.4" customHeight="1" x14ac:dyDescent="0.3">
      <c r="A168" s="464" t="s">
        <v>1872</v>
      </c>
      <c r="B168" s="465" t="s">
        <v>1769</v>
      </c>
      <c r="C168" s="465" t="s">
        <v>1756</v>
      </c>
      <c r="D168" s="465" t="s">
        <v>1828</v>
      </c>
      <c r="E168" s="465" t="s">
        <v>1829</v>
      </c>
      <c r="F168" s="468"/>
      <c r="G168" s="468"/>
      <c r="H168" s="468"/>
      <c r="I168" s="468"/>
      <c r="J168" s="468"/>
      <c r="K168" s="468"/>
      <c r="L168" s="468"/>
      <c r="M168" s="468"/>
      <c r="N168" s="468">
        <v>1</v>
      </c>
      <c r="O168" s="468">
        <v>1029</v>
      </c>
      <c r="P168" s="517"/>
      <c r="Q168" s="469">
        <v>1029</v>
      </c>
    </row>
    <row r="169" spans="1:17" ht="14.4" customHeight="1" x14ac:dyDescent="0.3">
      <c r="A169" s="464" t="s">
        <v>1872</v>
      </c>
      <c r="B169" s="465" t="s">
        <v>1769</v>
      </c>
      <c r="C169" s="465" t="s">
        <v>1756</v>
      </c>
      <c r="D169" s="465" t="s">
        <v>1830</v>
      </c>
      <c r="E169" s="465" t="s">
        <v>1831</v>
      </c>
      <c r="F169" s="468"/>
      <c r="G169" s="468"/>
      <c r="H169" s="468"/>
      <c r="I169" s="468"/>
      <c r="J169" s="468">
        <v>2</v>
      </c>
      <c r="K169" s="468">
        <v>582</v>
      </c>
      <c r="L169" s="468"/>
      <c r="M169" s="468">
        <v>291</v>
      </c>
      <c r="N169" s="468"/>
      <c r="O169" s="468"/>
      <c r="P169" s="517"/>
      <c r="Q169" s="469"/>
    </row>
    <row r="170" spans="1:17" ht="14.4" customHeight="1" x14ac:dyDescent="0.3">
      <c r="A170" s="464" t="s">
        <v>1873</v>
      </c>
      <c r="B170" s="465" t="s">
        <v>1769</v>
      </c>
      <c r="C170" s="465" t="s">
        <v>1756</v>
      </c>
      <c r="D170" s="465" t="s">
        <v>1773</v>
      </c>
      <c r="E170" s="465" t="s">
        <v>1774</v>
      </c>
      <c r="F170" s="468">
        <v>511</v>
      </c>
      <c r="G170" s="468">
        <v>103222</v>
      </c>
      <c r="H170" s="468">
        <v>1</v>
      </c>
      <c r="I170" s="468">
        <v>202</v>
      </c>
      <c r="J170" s="468">
        <v>493</v>
      </c>
      <c r="K170" s="468">
        <v>100079</v>
      </c>
      <c r="L170" s="468">
        <v>0.96955106469551067</v>
      </c>
      <c r="M170" s="468">
        <v>203</v>
      </c>
      <c r="N170" s="468">
        <v>375</v>
      </c>
      <c r="O170" s="468">
        <v>76737</v>
      </c>
      <c r="P170" s="517">
        <v>0.74341710100559955</v>
      </c>
      <c r="Q170" s="469">
        <v>204.63200000000001</v>
      </c>
    </row>
    <row r="171" spans="1:17" ht="14.4" customHeight="1" x14ac:dyDescent="0.3">
      <c r="A171" s="464" t="s">
        <v>1873</v>
      </c>
      <c r="B171" s="465" t="s">
        <v>1769</v>
      </c>
      <c r="C171" s="465" t="s">
        <v>1756</v>
      </c>
      <c r="D171" s="465" t="s">
        <v>1775</v>
      </c>
      <c r="E171" s="465" t="s">
        <v>1774</v>
      </c>
      <c r="F171" s="468"/>
      <c r="G171" s="468"/>
      <c r="H171" s="468"/>
      <c r="I171" s="468"/>
      <c r="J171" s="468">
        <v>2</v>
      </c>
      <c r="K171" s="468">
        <v>168</v>
      </c>
      <c r="L171" s="468"/>
      <c r="M171" s="468">
        <v>84</v>
      </c>
      <c r="N171" s="468">
        <v>22</v>
      </c>
      <c r="O171" s="468">
        <v>1848</v>
      </c>
      <c r="P171" s="517"/>
      <c r="Q171" s="469">
        <v>84</v>
      </c>
    </row>
    <row r="172" spans="1:17" ht="14.4" customHeight="1" x14ac:dyDescent="0.3">
      <c r="A172" s="464" t="s">
        <v>1873</v>
      </c>
      <c r="B172" s="465" t="s">
        <v>1769</v>
      </c>
      <c r="C172" s="465" t="s">
        <v>1756</v>
      </c>
      <c r="D172" s="465" t="s">
        <v>1776</v>
      </c>
      <c r="E172" s="465" t="s">
        <v>1777</v>
      </c>
      <c r="F172" s="468">
        <v>951</v>
      </c>
      <c r="G172" s="468">
        <v>276741</v>
      </c>
      <c r="H172" s="468">
        <v>1</v>
      </c>
      <c r="I172" s="468">
        <v>291</v>
      </c>
      <c r="J172" s="468">
        <v>417</v>
      </c>
      <c r="K172" s="468">
        <v>121764</v>
      </c>
      <c r="L172" s="468">
        <v>0.43999262848656323</v>
      </c>
      <c r="M172" s="468">
        <v>292</v>
      </c>
      <c r="N172" s="468">
        <v>706</v>
      </c>
      <c r="O172" s="468">
        <v>207492</v>
      </c>
      <c r="P172" s="517">
        <v>0.74976964020510151</v>
      </c>
      <c r="Q172" s="469">
        <v>293.89801699716713</v>
      </c>
    </row>
    <row r="173" spans="1:17" ht="14.4" customHeight="1" x14ac:dyDescent="0.3">
      <c r="A173" s="464" t="s">
        <v>1873</v>
      </c>
      <c r="B173" s="465" t="s">
        <v>1769</v>
      </c>
      <c r="C173" s="465" t="s">
        <v>1756</v>
      </c>
      <c r="D173" s="465" t="s">
        <v>1778</v>
      </c>
      <c r="E173" s="465" t="s">
        <v>1779</v>
      </c>
      <c r="F173" s="468">
        <v>12</v>
      </c>
      <c r="G173" s="468">
        <v>1104</v>
      </c>
      <c r="H173" s="468">
        <v>1</v>
      </c>
      <c r="I173" s="468">
        <v>92</v>
      </c>
      <c r="J173" s="468">
        <v>7</v>
      </c>
      <c r="K173" s="468">
        <v>651</v>
      </c>
      <c r="L173" s="468">
        <v>0.58967391304347827</v>
      </c>
      <c r="M173" s="468">
        <v>93</v>
      </c>
      <c r="N173" s="468">
        <v>7</v>
      </c>
      <c r="O173" s="468">
        <v>658</v>
      </c>
      <c r="P173" s="517">
        <v>0.59601449275362317</v>
      </c>
      <c r="Q173" s="469">
        <v>94</v>
      </c>
    </row>
    <row r="174" spans="1:17" ht="14.4" customHeight="1" x14ac:dyDescent="0.3">
      <c r="A174" s="464" t="s">
        <v>1873</v>
      </c>
      <c r="B174" s="465" t="s">
        <v>1769</v>
      </c>
      <c r="C174" s="465" t="s">
        <v>1756</v>
      </c>
      <c r="D174" s="465" t="s">
        <v>1780</v>
      </c>
      <c r="E174" s="465" t="s">
        <v>1781</v>
      </c>
      <c r="F174" s="468">
        <v>1</v>
      </c>
      <c r="G174" s="468">
        <v>219</v>
      </c>
      <c r="H174" s="468">
        <v>1</v>
      </c>
      <c r="I174" s="468">
        <v>219</v>
      </c>
      <c r="J174" s="468">
        <v>1</v>
      </c>
      <c r="K174" s="468">
        <v>220</v>
      </c>
      <c r="L174" s="468">
        <v>1.004566210045662</v>
      </c>
      <c r="M174" s="468">
        <v>220</v>
      </c>
      <c r="N174" s="468"/>
      <c r="O174" s="468"/>
      <c r="P174" s="517"/>
      <c r="Q174" s="469"/>
    </row>
    <row r="175" spans="1:17" ht="14.4" customHeight="1" x14ac:dyDescent="0.3">
      <c r="A175" s="464" t="s">
        <v>1873</v>
      </c>
      <c r="B175" s="465" t="s">
        <v>1769</v>
      </c>
      <c r="C175" s="465" t="s">
        <v>1756</v>
      </c>
      <c r="D175" s="465" t="s">
        <v>1782</v>
      </c>
      <c r="E175" s="465" t="s">
        <v>1783</v>
      </c>
      <c r="F175" s="468">
        <v>1010</v>
      </c>
      <c r="G175" s="468">
        <v>134330</v>
      </c>
      <c r="H175" s="468">
        <v>1</v>
      </c>
      <c r="I175" s="468">
        <v>133</v>
      </c>
      <c r="J175" s="468">
        <v>579</v>
      </c>
      <c r="K175" s="468">
        <v>77586</v>
      </c>
      <c r="L175" s="468">
        <v>0.57757760738479857</v>
      </c>
      <c r="M175" s="468">
        <v>134</v>
      </c>
      <c r="N175" s="468">
        <v>423</v>
      </c>
      <c r="O175" s="468">
        <v>56988</v>
      </c>
      <c r="P175" s="517">
        <v>0.4242388148589295</v>
      </c>
      <c r="Q175" s="469">
        <v>134.72340425531914</v>
      </c>
    </row>
    <row r="176" spans="1:17" ht="14.4" customHeight="1" x14ac:dyDescent="0.3">
      <c r="A176" s="464" t="s">
        <v>1873</v>
      </c>
      <c r="B176" s="465" t="s">
        <v>1769</v>
      </c>
      <c r="C176" s="465" t="s">
        <v>1756</v>
      </c>
      <c r="D176" s="465" t="s">
        <v>1784</v>
      </c>
      <c r="E176" s="465" t="s">
        <v>1783</v>
      </c>
      <c r="F176" s="468"/>
      <c r="G176" s="468"/>
      <c r="H176" s="468"/>
      <c r="I176" s="468"/>
      <c r="J176" s="468"/>
      <c r="K176" s="468"/>
      <c r="L176" s="468"/>
      <c r="M176" s="468"/>
      <c r="N176" s="468">
        <v>1</v>
      </c>
      <c r="O176" s="468">
        <v>175</v>
      </c>
      <c r="P176" s="517"/>
      <c r="Q176" s="469">
        <v>175</v>
      </c>
    </row>
    <row r="177" spans="1:17" ht="14.4" customHeight="1" x14ac:dyDescent="0.3">
      <c r="A177" s="464" t="s">
        <v>1873</v>
      </c>
      <c r="B177" s="465" t="s">
        <v>1769</v>
      </c>
      <c r="C177" s="465" t="s">
        <v>1756</v>
      </c>
      <c r="D177" s="465" t="s">
        <v>1785</v>
      </c>
      <c r="E177" s="465" t="s">
        <v>1786</v>
      </c>
      <c r="F177" s="468">
        <v>8</v>
      </c>
      <c r="G177" s="468">
        <v>4872</v>
      </c>
      <c r="H177" s="468">
        <v>1</v>
      </c>
      <c r="I177" s="468">
        <v>609</v>
      </c>
      <c r="J177" s="468">
        <v>3</v>
      </c>
      <c r="K177" s="468">
        <v>1836</v>
      </c>
      <c r="L177" s="468">
        <v>0.37684729064039407</v>
      </c>
      <c r="M177" s="468">
        <v>612</v>
      </c>
      <c r="N177" s="468">
        <v>3</v>
      </c>
      <c r="O177" s="468">
        <v>1848</v>
      </c>
      <c r="P177" s="517">
        <v>0.37931034482758619</v>
      </c>
      <c r="Q177" s="469">
        <v>616</v>
      </c>
    </row>
    <row r="178" spans="1:17" ht="14.4" customHeight="1" x14ac:dyDescent="0.3">
      <c r="A178" s="464" t="s">
        <v>1873</v>
      </c>
      <c r="B178" s="465" t="s">
        <v>1769</v>
      </c>
      <c r="C178" s="465" t="s">
        <v>1756</v>
      </c>
      <c r="D178" s="465" t="s">
        <v>1787</v>
      </c>
      <c r="E178" s="465" t="s">
        <v>1788</v>
      </c>
      <c r="F178" s="468">
        <v>22</v>
      </c>
      <c r="G178" s="468">
        <v>12804</v>
      </c>
      <c r="H178" s="468">
        <v>1</v>
      </c>
      <c r="I178" s="468">
        <v>582</v>
      </c>
      <c r="J178" s="468">
        <v>2</v>
      </c>
      <c r="K178" s="468">
        <v>1170</v>
      </c>
      <c r="L178" s="468">
        <v>9.1377694470477971E-2</v>
      </c>
      <c r="M178" s="468">
        <v>585</v>
      </c>
      <c r="N178" s="468">
        <v>1</v>
      </c>
      <c r="O178" s="468">
        <v>585</v>
      </c>
      <c r="P178" s="517">
        <v>4.5688847235238986E-2</v>
      </c>
      <c r="Q178" s="469">
        <v>585</v>
      </c>
    </row>
    <row r="179" spans="1:17" ht="14.4" customHeight="1" x14ac:dyDescent="0.3">
      <c r="A179" s="464" t="s">
        <v>1873</v>
      </c>
      <c r="B179" s="465" t="s">
        <v>1769</v>
      </c>
      <c r="C179" s="465" t="s">
        <v>1756</v>
      </c>
      <c r="D179" s="465" t="s">
        <v>1789</v>
      </c>
      <c r="E179" s="465" t="s">
        <v>1790</v>
      </c>
      <c r="F179" s="468">
        <v>135</v>
      </c>
      <c r="G179" s="468">
        <v>21330</v>
      </c>
      <c r="H179" s="468">
        <v>1</v>
      </c>
      <c r="I179" s="468">
        <v>158</v>
      </c>
      <c r="J179" s="468">
        <v>92</v>
      </c>
      <c r="K179" s="468">
        <v>14628</v>
      </c>
      <c r="L179" s="468">
        <v>0.68579465541490858</v>
      </c>
      <c r="M179" s="468">
        <v>159</v>
      </c>
      <c r="N179" s="468">
        <v>52</v>
      </c>
      <c r="O179" s="468">
        <v>8311</v>
      </c>
      <c r="P179" s="517">
        <v>0.38963900609470231</v>
      </c>
      <c r="Q179" s="469">
        <v>159.82692307692307</v>
      </c>
    </row>
    <row r="180" spans="1:17" ht="14.4" customHeight="1" x14ac:dyDescent="0.3">
      <c r="A180" s="464" t="s">
        <v>1873</v>
      </c>
      <c r="B180" s="465" t="s">
        <v>1769</v>
      </c>
      <c r="C180" s="465" t="s">
        <v>1756</v>
      </c>
      <c r="D180" s="465" t="s">
        <v>1791</v>
      </c>
      <c r="E180" s="465" t="s">
        <v>1792</v>
      </c>
      <c r="F180" s="468">
        <v>5</v>
      </c>
      <c r="G180" s="468">
        <v>1910</v>
      </c>
      <c r="H180" s="468">
        <v>1</v>
      </c>
      <c r="I180" s="468">
        <v>382</v>
      </c>
      <c r="J180" s="468">
        <v>5</v>
      </c>
      <c r="K180" s="468">
        <v>1910</v>
      </c>
      <c r="L180" s="468">
        <v>1</v>
      </c>
      <c r="M180" s="468">
        <v>382</v>
      </c>
      <c r="N180" s="468">
        <v>5</v>
      </c>
      <c r="O180" s="468">
        <v>1912</v>
      </c>
      <c r="P180" s="517">
        <v>1.0010471204188482</v>
      </c>
      <c r="Q180" s="469">
        <v>382.4</v>
      </c>
    </row>
    <row r="181" spans="1:17" ht="14.4" customHeight="1" x14ac:dyDescent="0.3">
      <c r="A181" s="464" t="s">
        <v>1873</v>
      </c>
      <c r="B181" s="465" t="s">
        <v>1769</v>
      </c>
      <c r="C181" s="465" t="s">
        <v>1756</v>
      </c>
      <c r="D181" s="465" t="s">
        <v>1793</v>
      </c>
      <c r="E181" s="465" t="s">
        <v>1794</v>
      </c>
      <c r="F181" s="468">
        <v>1244</v>
      </c>
      <c r="G181" s="468">
        <v>19904</v>
      </c>
      <c r="H181" s="468">
        <v>1</v>
      </c>
      <c r="I181" s="468">
        <v>16</v>
      </c>
      <c r="J181" s="468">
        <v>825</v>
      </c>
      <c r="K181" s="468">
        <v>13200</v>
      </c>
      <c r="L181" s="468">
        <v>0.66318327974276525</v>
      </c>
      <c r="M181" s="468">
        <v>16</v>
      </c>
      <c r="N181" s="468">
        <v>628</v>
      </c>
      <c r="O181" s="468">
        <v>10048</v>
      </c>
      <c r="P181" s="517">
        <v>0.50482315112540188</v>
      </c>
      <c r="Q181" s="469">
        <v>16</v>
      </c>
    </row>
    <row r="182" spans="1:17" ht="14.4" customHeight="1" x14ac:dyDescent="0.3">
      <c r="A182" s="464" t="s">
        <v>1873</v>
      </c>
      <c r="B182" s="465" t="s">
        <v>1769</v>
      </c>
      <c r="C182" s="465" t="s">
        <v>1756</v>
      </c>
      <c r="D182" s="465" t="s">
        <v>1797</v>
      </c>
      <c r="E182" s="465" t="s">
        <v>1798</v>
      </c>
      <c r="F182" s="468">
        <v>158</v>
      </c>
      <c r="G182" s="468">
        <v>41238</v>
      </c>
      <c r="H182" s="468">
        <v>1</v>
      </c>
      <c r="I182" s="468">
        <v>261</v>
      </c>
      <c r="J182" s="468">
        <v>143</v>
      </c>
      <c r="K182" s="468">
        <v>37466</v>
      </c>
      <c r="L182" s="468">
        <v>0.90853096658421839</v>
      </c>
      <c r="M182" s="468">
        <v>262</v>
      </c>
      <c r="N182" s="468">
        <v>112</v>
      </c>
      <c r="O182" s="468">
        <v>29614</v>
      </c>
      <c r="P182" s="517">
        <v>0.71812406033270282</v>
      </c>
      <c r="Q182" s="469">
        <v>264.41071428571428</v>
      </c>
    </row>
    <row r="183" spans="1:17" ht="14.4" customHeight="1" x14ac:dyDescent="0.3">
      <c r="A183" s="464" t="s">
        <v>1873</v>
      </c>
      <c r="B183" s="465" t="s">
        <v>1769</v>
      </c>
      <c r="C183" s="465" t="s">
        <v>1756</v>
      </c>
      <c r="D183" s="465" t="s">
        <v>1799</v>
      </c>
      <c r="E183" s="465" t="s">
        <v>1796</v>
      </c>
      <c r="F183" s="468">
        <v>163</v>
      </c>
      <c r="G183" s="468">
        <v>22820</v>
      </c>
      <c r="H183" s="468">
        <v>1</v>
      </c>
      <c r="I183" s="468">
        <v>140</v>
      </c>
      <c r="J183" s="468">
        <v>146</v>
      </c>
      <c r="K183" s="468">
        <v>20586</v>
      </c>
      <c r="L183" s="468">
        <v>0.90210341805433825</v>
      </c>
      <c r="M183" s="468">
        <v>141</v>
      </c>
      <c r="N183" s="468">
        <v>114</v>
      </c>
      <c r="O183" s="468">
        <v>16074</v>
      </c>
      <c r="P183" s="517">
        <v>0.70438212094653807</v>
      </c>
      <c r="Q183" s="469">
        <v>141</v>
      </c>
    </row>
    <row r="184" spans="1:17" ht="14.4" customHeight="1" x14ac:dyDescent="0.3">
      <c r="A184" s="464" t="s">
        <v>1873</v>
      </c>
      <c r="B184" s="465" t="s">
        <v>1769</v>
      </c>
      <c r="C184" s="465" t="s">
        <v>1756</v>
      </c>
      <c r="D184" s="465" t="s">
        <v>1800</v>
      </c>
      <c r="E184" s="465" t="s">
        <v>1796</v>
      </c>
      <c r="F184" s="468">
        <v>1010</v>
      </c>
      <c r="G184" s="468">
        <v>78780</v>
      </c>
      <c r="H184" s="468">
        <v>1</v>
      </c>
      <c r="I184" s="468">
        <v>78</v>
      </c>
      <c r="J184" s="468">
        <v>579</v>
      </c>
      <c r="K184" s="468">
        <v>45162</v>
      </c>
      <c r="L184" s="468">
        <v>0.57326732673267322</v>
      </c>
      <c r="M184" s="468">
        <v>78</v>
      </c>
      <c r="N184" s="468">
        <v>424</v>
      </c>
      <c r="O184" s="468">
        <v>33072</v>
      </c>
      <c r="P184" s="517">
        <v>0.41980198019801979</v>
      </c>
      <c r="Q184" s="469">
        <v>78</v>
      </c>
    </row>
    <row r="185" spans="1:17" ht="14.4" customHeight="1" x14ac:dyDescent="0.3">
      <c r="A185" s="464" t="s">
        <v>1873</v>
      </c>
      <c r="B185" s="465" t="s">
        <v>1769</v>
      </c>
      <c r="C185" s="465" t="s">
        <v>1756</v>
      </c>
      <c r="D185" s="465" t="s">
        <v>1801</v>
      </c>
      <c r="E185" s="465" t="s">
        <v>1802</v>
      </c>
      <c r="F185" s="468">
        <v>163</v>
      </c>
      <c r="G185" s="468">
        <v>49226</v>
      </c>
      <c r="H185" s="468">
        <v>1</v>
      </c>
      <c r="I185" s="468">
        <v>302</v>
      </c>
      <c r="J185" s="468">
        <v>146</v>
      </c>
      <c r="K185" s="468">
        <v>44238</v>
      </c>
      <c r="L185" s="468">
        <v>0.89867143379514891</v>
      </c>
      <c r="M185" s="468">
        <v>303</v>
      </c>
      <c r="N185" s="468">
        <v>114</v>
      </c>
      <c r="O185" s="468">
        <v>34818</v>
      </c>
      <c r="P185" s="517">
        <v>0.70730914557347746</v>
      </c>
      <c r="Q185" s="469">
        <v>305.42105263157896</v>
      </c>
    </row>
    <row r="186" spans="1:17" ht="14.4" customHeight="1" x14ac:dyDescent="0.3">
      <c r="A186" s="464" t="s">
        <v>1873</v>
      </c>
      <c r="B186" s="465" t="s">
        <v>1769</v>
      </c>
      <c r="C186" s="465" t="s">
        <v>1756</v>
      </c>
      <c r="D186" s="465" t="s">
        <v>1803</v>
      </c>
      <c r="E186" s="465" t="s">
        <v>1804</v>
      </c>
      <c r="F186" s="468">
        <v>34</v>
      </c>
      <c r="G186" s="468">
        <v>16524</v>
      </c>
      <c r="H186" s="468">
        <v>1</v>
      </c>
      <c r="I186" s="468">
        <v>486</v>
      </c>
      <c r="J186" s="468">
        <v>22</v>
      </c>
      <c r="K186" s="468">
        <v>10692</v>
      </c>
      <c r="L186" s="468">
        <v>0.6470588235294118</v>
      </c>
      <c r="M186" s="468">
        <v>486</v>
      </c>
      <c r="N186" s="468">
        <v>17</v>
      </c>
      <c r="O186" s="468">
        <v>8274</v>
      </c>
      <c r="P186" s="517">
        <v>0.50072621641249093</v>
      </c>
      <c r="Q186" s="469">
        <v>486.70588235294116</v>
      </c>
    </row>
    <row r="187" spans="1:17" ht="14.4" customHeight="1" x14ac:dyDescent="0.3">
      <c r="A187" s="464" t="s">
        <v>1873</v>
      </c>
      <c r="B187" s="465" t="s">
        <v>1769</v>
      </c>
      <c r="C187" s="465" t="s">
        <v>1756</v>
      </c>
      <c r="D187" s="465" t="s">
        <v>1805</v>
      </c>
      <c r="E187" s="465" t="s">
        <v>1806</v>
      </c>
      <c r="F187" s="468">
        <v>712</v>
      </c>
      <c r="G187" s="468">
        <v>113208</v>
      </c>
      <c r="H187" s="468">
        <v>1</v>
      </c>
      <c r="I187" s="468">
        <v>159</v>
      </c>
      <c r="J187" s="468">
        <v>354</v>
      </c>
      <c r="K187" s="468">
        <v>56640</v>
      </c>
      <c r="L187" s="468">
        <v>0.50031799872800509</v>
      </c>
      <c r="M187" s="468">
        <v>160</v>
      </c>
      <c r="N187" s="468">
        <v>335</v>
      </c>
      <c r="O187" s="468">
        <v>53842</v>
      </c>
      <c r="P187" s="517">
        <v>0.47560243092360965</v>
      </c>
      <c r="Q187" s="469">
        <v>160.7223880597015</v>
      </c>
    </row>
    <row r="188" spans="1:17" ht="14.4" customHeight="1" x14ac:dyDescent="0.3">
      <c r="A188" s="464" t="s">
        <v>1873</v>
      </c>
      <c r="B188" s="465" t="s">
        <v>1769</v>
      </c>
      <c r="C188" s="465" t="s">
        <v>1756</v>
      </c>
      <c r="D188" s="465" t="s">
        <v>1809</v>
      </c>
      <c r="E188" s="465" t="s">
        <v>1774</v>
      </c>
      <c r="F188" s="468">
        <v>957</v>
      </c>
      <c r="G188" s="468">
        <v>66990</v>
      </c>
      <c r="H188" s="468">
        <v>1</v>
      </c>
      <c r="I188" s="468">
        <v>70</v>
      </c>
      <c r="J188" s="468">
        <v>532</v>
      </c>
      <c r="K188" s="468">
        <v>37240</v>
      </c>
      <c r="L188" s="468">
        <v>0.55590386624869381</v>
      </c>
      <c r="M188" s="468">
        <v>70</v>
      </c>
      <c r="N188" s="468">
        <v>560</v>
      </c>
      <c r="O188" s="468">
        <v>39598</v>
      </c>
      <c r="P188" s="517">
        <v>0.59110314972383937</v>
      </c>
      <c r="Q188" s="469">
        <v>70.710714285714289</v>
      </c>
    </row>
    <row r="189" spans="1:17" ht="14.4" customHeight="1" x14ac:dyDescent="0.3">
      <c r="A189" s="464" t="s">
        <v>1873</v>
      </c>
      <c r="B189" s="465" t="s">
        <v>1769</v>
      </c>
      <c r="C189" s="465" t="s">
        <v>1756</v>
      </c>
      <c r="D189" s="465" t="s">
        <v>1814</v>
      </c>
      <c r="E189" s="465" t="s">
        <v>1815</v>
      </c>
      <c r="F189" s="468">
        <v>1</v>
      </c>
      <c r="G189" s="468">
        <v>215</v>
      </c>
      <c r="H189" s="468">
        <v>1</v>
      </c>
      <c r="I189" s="468">
        <v>215</v>
      </c>
      <c r="J189" s="468">
        <v>6</v>
      </c>
      <c r="K189" s="468">
        <v>1296</v>
      </c>
      <c r="L189" s="468">
        <v>6.0279069767441857</v>
      </c>
      <c r="M189" s="468">
        <v>216</v>
      </c>
      <c r="N189" s="468"/>
      <c r="O189" s="468"/>
      <c r="P189" s="517"/>
      <c r="Q189" s="469"/>
    </row>
    <row r="190" spans="1:17" ht="14.4" customHeight="1" x14ac:dyDescent="0.3">
      <c r="A190" s="464" t="s">
        <v>1873</v>
      </c>
      <c r="B190" s="465" t="s">
        <v>1769</v>
      </c>
      <c r="C190" s="465" t="s">
        <v>1756</v>
      </c>
      <c r="D190" s="465" t="s">
        <v>1816</v>
      </c>
      <c r="E190" s="465" t="s">
        <v>1817</v>
      </c>
      <c r="F190" s="468">
        <v>126</v>
      </c>
      <c r="G190" s="468">
        <v>149436</v>
      </c>
      <c r="H190" s="468">
        <v>1</v>
      </c>
      <c r="I190" s="468">
        <v>1186</v>
      </c>
      <c r="J190" s="468">
        <v>86</v>
      </c>
      <c r="K190" s="468">
        <v>102254</v>
      </c>
      <c r="L190" s="468">
        <v>0.68426617414813029</v>
      </c>
      <c r="M190" s="468">
        <v>1189</v>
      </c>
      <c r="N190" s="468">
        <v>52</v>
      </c>
      <c r="O190" s="468">
        <v>62004</v>
      </c>
      <c r="P190" s="517">
        <v>0.41492009957439974</v>
      </c>
      <c r="Q190" s="469">
        <v>1192.3846153846155</v>
      </c>
    </row>
    <row r="191" spans="1:17" ht="14.4" customHeight="1" x14ac:dyDescent="0.3">
      <c r="A191" s="464" t="s">
        <v>1873</v>
      </c>
      <c r="B191" s="465" t="s">
        <v>1769</v>
      </c>
      <c r="C191" s="465" t="s">
        <v>1756</v>
      </c>
      <c r="D191" s="465" t="s">
        <v>1818</v>
      </c>
      <c r="E191" s="465" t="s">
        <v>1819</v>
      </c>
      <c r="F191" s="468">
        <v>66</v>
      </c>
      <c r="G191" s="468">
        <v>7062</v>
      </c>
      <c r="H191" s="468">
        <v>1</v>
      </c>
      <c r="I191" s="468">
        <v>107</v>
      </c>
      <c r="J191" s="468">
        <v>39</v>
      </c>
      <c r="K191" s="468">
        <v>4212</v>
      </c>
      <c r="L191" s="468">
        <v>0.59643160577740018</v>
      </c>
      <c r="M191" s="468">
        <v>108</v>
      </c>
      <c r="N191" s="468">
        <v>38</v>
      </c>
      <c r="O191" s="468">
        <v>4136</v>
      </c>
      <c r="P191" s="517">
        <v>0.58566978193146413</v>
      </c>
      <c r="Q191" s="469">
        <v>108.84210526315789</v>
      </c>
    </row>
    <row r="192" spans="1:17" ht="14.4" customHeight="1" x14ac:dyDescent="0.3">
      <c r="A192" s="464" t="s">
        <v>1873</v>
      </c>
      <c r="B192" s="465" t="s">
        <v>1769</v>
      </c>
      <c r="C192" s="465" t="s">
        <v>1756</v>
      </c>
      <c r="D192" s="465" t="s">
        <v>1822</v>
      </c>
      <c r="E192" s="465" t="s">
        <v>1823</v>
      </c>
      <c r="F192" s="468">
        <v>3</v>
      </c>
      <c r="G192" s="468">
        <v>954</v>
      </c>
      <c r="H192" s="468">
        <v>1</v>
      </c>
      <c r="I192" s="468">
        <v>318</v>
      </c>
      <c r="J192" s="468">
        <v>2</v>
      </c>
      <c r="K192" s="468">
        <v>638</v>
      </c>
      <c r="L192" s="468">
        <v>0.66876310272536688</v>
      </c>
      <c r="M192" s="468">
        <v>319</v>
      </c>
      <c r="N192" s="468"/>
      <c r="O192" s="468"/>
      <c r="P192" s="517"/>
      <c r="Q192" s="469"/>
    </row>
    <row r="193" spans="1:17" ht="14.4" customHeight="1" x14ac:dyDescent="0.3">
      <c r="A193" s="464" t="s">
        <v>1873</v>
      </c>
      <c r="B193" s="465" t="s">
        <v>1769</v>
      </c>
      <c r="C193" s="465" t="s">
        <v>1756</v>
      </c>
      <c r="D193" s="465" t="s">
        <v>1828</v>
      </c>
      <c r="E193" s="465" t="s">
        <v>1829</v>
      </c>
      <c r="F193" s="468"/>
      <c r="G193" s="468"/>
      <c r="H193" s="468"/>
      <c r="I193" s="468"/>
      <c r="J193" s="468">
        <v>2</v>
      </c>
      <c r="K193" s="468">
        <v>2040</v>
      </c>
      <c r="L193" s="468"/>
      <c r="M193" s="468">
        <v>1020</v>
      </c>
      <c r="N193" s="468"/>
      <c r="O193" s="468"/>
      <c r="P193" s="517"/>
      <c r="Q193" s="469"/>
    </row>
    <row r="194" spans="1:17" ht="14.4" customHeight="1" x14ac:dyDescent="0.3">
      <c r="A194" s="464" t="s">
        <v>1873</v>
      </c>
      <c r="B194" s="465" t="s">
        <v>1769</v>
      </c>
      <c r="C194" s="465" t="s">
        <v>1756</v>
      </c>
      <c r="D194" s="465" t="s">
        <v>1830</v>
      </c>
      <c r="E194" s="465" t="s">
        <v>1831</v>
      </c>
      <c r="F194" s="468">
        <v>2</v>
      </c>
      <c r="G194" s="468">
        <v>580</v>
      </c>
      <c r="H194" s="468">
        <v>1</v>
      </c>
      <c r="I194" s="468">
        <v>290</v>
      </c>
      <c r="J194" s="468">
        <v>1</v>
      </c>
      <c r="K194" s="468">
        <v>291</v>
      </c>
      <c r="L194" s="468">
        <v>0.50172413793103443</v>
      </c>
      <c r="M194" s="468">
        <v>291</v>
      </c>
      <c r="N194" s="468">
        <v>1</v>
      </c>
      <c r="O194" s="468">
        <v>293</v>
      </c>
      <c r="P194" s="517">
        <v>0.5051724137931034</v>
      </c>
      <c r="Q194" s="469">
        <v>293</v>
      </c>
    </row>
    <row r="195" spans="1:17" ht="14.4" customHeight="1" x14ac:dyDescent="0.3">
      <c r="A195" s="464" t="s">
        <v>1874</v>
      </c>
      <c r="B195" s="465" t="s">
        <v>1769</v>
      </c>
      <c r="C195" s="465" t="s">
        <v>1756</v>
      </c>
      <c r="D195" s="465" t="s">
        <v>1773</v>
      </c>
      <c r="E195" s="465" t="s">
        <v>1774</v>
      </c>
      <c r="F195" s="468">
        <v>32</v>
      </c>
      <c r="G195" s="468">
        <v>6464</v>
      </c>
      <c r="H195" s="468">
        <v>1</v>
      </c>
      <c r="I195" s="468">
        <v>202</v>
      </c>
      <c r="J195" s="468">
        <v>32</v>
      </c>
      <c r="K195" s="468">
        <v>6496</v>
      </c>
      <c r="L195" s="468">
        <v>1.004950495049505</v>
      </c>
      <c r="M195" s="468">
        <v>203</v>
      </c>
      <c r="N195" s="468">
        <v>20</v>
      </c>
      <c r="O195" s="468">
        <v>4090</v>
      </c>
      <c r="P195" s="517">
        <v>0.63273514851485146</v>
      </c>
      <c r="Q195" s="469">
        <v>204.5</v>
      </c>
    </row>
    <row r="196" spans="1:17" ht="14.4" customHeight="1" x14ac:dyDescent="0.3">
      <c r="A196" s="464" t="s">
        <v>1874</v>
      </c>
      <c r="B196" s="465" t="s">
        <v>1769</v>
      </c>
      <c r="C196" s="465" t="s">
        <v>1756</v>
      </c>
      <c r="D196" s="465" t="s">
        <v>1775</v>
      </c>
      <c r="E196" s="465" t="s">
        <v>1774</v>
      </c>
      <c r="F196" s="468"/>
      <c r="G196" s="468"/>
      <c r="H196" s="468"/>
      <c r="I196" s="468"/>
      <c r="J196" s="468"/>
      <c r="K196" s="468"/>
      <c r="L196" s="468"/>
      <c r="M196" s="468"/>
      <c r="N196" s="468">
        <v>6</v>
      </c>
      <c r="O196" s="468">
        <v>510</v>
      </c>
      <c r="P196" s="517"/>
      <c r="Q196" s="469">
        <v>85</v>
      </c>
    </row>
    <row r="197" spans="1:17" ht="14.4" customHeight="1" x14ac:dyDescent="0.3">
      <c r="A197" s="464" t="s">
        <v>1874</v>
      </c>
      <c r="B197" s="465" t="s">
        <v>1769</v>
      </c>
      <c r="C197" s="465" t="s">
        <v>1756</v>
      </c>
      <c r="D197" s="465" t="s">
        <v>1776</v>
      </c>
      <c r="E197" s="465" t="s">
        <v>1777</v>
      </c>
      <c r="F197" s="468">
        <v>81</v>
      </c>
      <c r="G197" s="468">
        <v>23571</v>
      </c>
      <c r="H197" s="468">
        <v>1</v>
      </c>
      <c r="I197" s="468">
        <v>291</v>
      </c>
      <c r="J197" s="468">
        <v>51</v>
      </c>
      <c r="K197" s="468">
        <v>14892</v>
      </c>
      <c r="L197" s="468">
        <v>0.63179330533282418</v>
      </c>
      <c r="M197" s="468">
        <v>292</v>
      </c>
      <c r="N197" s="468">
        <v>70</v>
      </c>
      <c r="O197" s="468">
        <v>20566</v>
      </c>
      <c r="P197" s="517">
        <v>0.87251283356667086</v>
      </c>
      <c r="Q197" s="469">
        <v>293.8</v>
      </c>
    </row>
    <row r="198" spans="1:17" ht="14.4" customHeight="1" x14ac:dyDescent="0.3">
      <c r="A198" s="464" t="s">
        <v>1874</v>
      </c>
      <c r="B198" s="465" t="s">
        <v>1769</v>
      </c>
      <c r="C198" s="465" t="s">
        <v>1756</v>
      </c>
      <c r="D198" s="465" t="s">
        <v>1778</v>
      </c>
      <c r="E198" s="465" t="s">
        <v>1779</v>
      </c>
      <c r="F198" s="468">
        <v>28</v>
      </c>
      <c r="G198" s="468">
        <v>2576</v>
      </c>
      <c r="H198" s="468">
        <v>1</v>
      </c>
      <c r="I198" s="468">
        <v>92</v>
      </c>
      <c r="J198" s="468">
        <v>24</v>
      </c>
      <c r="K198" s="468">
        <v>2232</v>
      </c>
      <c r="L198" s="468">
        <v>0.86645962732919257</v>
      </c>
      <c r="M198" s="468">
        <v>93</v>
      </c>
      <c r="N198" s="468">
        <v>14</v>
      </c>
      <c r="O198" s="468">
        <v>1316</v>
      </c>
      <c r="P198" s="517">
        <v>0.51086956521739135</v>
      </c>
      <c r="Q198" s="469">
        <v>94</v>
      </c>
    </row>
    <row r="199" spans="1:17" ht="14.4" customHeight="1" x14ac:dyDescent="0.3">
      <c r="A199" s="464" t="s">
        <v>1874</v>
      </c>
      <c r="B199" s="465" t="s">
        <v>1769</v>
      </c>
      <c r="C199" s="465" t="s">
        <v>1756</v>
      </c>
      <c r="D199" s="465" t="s">
        <v>1780</v>
      </c>
      <c r="E199" s="465" t="s">
        <v>1781</v>
      </c>
      <c r="F199" s="468">
        <v>8</v>
      </c>
      <c r="G199" s="468">
        <v>1752</v>
      </c>
      <c r="H199" s="468">
        <v>1</v>
      </c>
      <c r="I199" s="468">
        <v>219</v>
      </c>
      <c r="J199" s="468">
        <v>5</v>
      </c>
      <c r="K199" s="468">
        <v>1100</v>
      </c>
      <c r="L199" s="468">
        <v>0.62785388127853881</v>
      </c>
      <c r="M199" s="468">
        <v>220</v>
      </c>
      <c r="N199" s="468">
        <v>8</v>
      </c>
      <c r="O199" s="468">
        <v>1781</v>
      </c>
      <c r="P199" s="517">
        <v>1.0165525114155252</v>
      </c>
      <c r="Q199" s="469">
        <v>222.625</v>
      </c>
    </row>
    <row r="200" spans="1:17" ht="14.4" customHeight="1" x14ac:dyDescent="0.3">
      <c r="A200" s="464" t="s">
        <v>1874</v>
      </c>
      <c r="B200" s="465" t="s">
        <v>1769</v>
      </c>
      <c r="C200" s="465" t="s">
        <v>1756</v>
      </c>
      <c r="D200" s="465" t="s">
        <v>1782</v>
      </c>
      <c r="E200" s="465" t="s">
        <v>1783</v>
      </c>
      <c r="F200" s="468">
        <v>28</v>
      </c>
      <c r="G200" s="468">
        <v>3724</v>
      </c>
      <c r="H200" s="468">
        <v>1</v>
      </c>
      <c r="I200" s="468">
        <v>133</v>
      </c>
      <c r="J200" s="468">
        <v>27</v>
      </c>
      <c r="K200" s="468">
        <v>3618</v>
      </c>
      <c r="L200" s="468">
        <v>0.9715359828141783</v>
      </c>
      <c r="M200" s="468">
        <v>134</v>
      </c>
      <c r="N200" s="468">
        <v>30</v>
      </c>
      <c r="O200" s="468">
        <v>4046</v>
      </c>
      <c r="P200" s="517">
        <v>1.0864661654135339</v>
      </c>
      <c r="Q200" s="469">
        <v>134.86666666666667</v>
      </c>
    </row>
    <row r="201" spans="1:17" ht="14.4" customHeight="1" x14ac:dyDescent="0.3">
      <c r="A201" s="464" t="s">
        <v>1874</v>
      </c>
      <c r="B201" s="465" t="s">
        <v>1769</v>
      </c>
      <c r="C201" s="465" t="s">
        <v>1756</v>
      </c>
      <c r="D201" s="465" t="s">
        <v>1875</v>
      </c>
      <c r="E201" s="465" t="s">
        <v>1876</v>
      </c>
      <c r="F201" s="468">
        <v>12</v>
      </c>
      <c r="G201" s="468">
        <v>3336</v>
      </c>
      <c r="H201" s="468">
        <v>1</v>
      </c>
      <c r="I201" s="468">
        <v>278</v>
      </c>
      <c r="J201" s="468">
        <v>16</v>
      </c>
      <c r="K201" s="468">
        <v>4480</v>
      </c>
      <c r="L201" s="468">
        <v>1.3429256594724222</v>
      </c>
      <c r="M201" s="468">
        <v>280</v>
      </c>
      <c r="N201" s="468">
        <v>13</v>
      </c>
      <c r="O201" s="468">
        <v>3676</v>
      </c>
      <c r="P201" s="517">
        <v>1.1019184652278178</v>
      </c>
      <c r="Q201" s="469">
        <v>282.76923076923077</v>
      </c>
    </row>
    <row r="202" spans="1:17" ht="14.4" customHeight="1" x14ac:dyDescent="0.3">
      <c r="A202" s="464" t="s">
        <v>1874</v>
      </c>
      <c r="B202" s="465" t="s">
        <v>1769</v>
      </c>
      <c r="C202" s="465" t="s">
        <v>1756</v>
      </c>
      <c r="D202" s="465" t="s">
        <v>1785</v>
      </c>
      <c r="E202" s="465" t="s">
        <v>1786</v>
      </c>
      <c r="F202" s="468"/>
      <c r="G202" s="468"/>
      <c r="H202" s="468"/>
      <c r="I202" s="468"/>
      <c r="J202" s="468">
        <v>2</v>
      </c>
      <c r="K202" s="468">
        <v>1224</v>
      </c>
      <c r="L202" s="468"/>
      <c r="M202" s="468">
        <v>612</v>
      </c>
      <c r="N202" s="468"/>
      <c r="O202" s="468"/>
      <c r="P202" s="517"/>
      <c r="Q202" s="469"/>
    </row>
    <row r="203" spans="1:17" ht="14.4" customHeight="1" x14ac:dyDescent="0.3">
      <c r="A203" s="464" t="s">
        <v>1874</v>
      </c>
      <c r="B203" s="465" t="s">
        <v>1769</v>
      </c>
      <c r="C203" s="465" t="s">
        <v>1756</v>
      </c>
      <c r="D203" s="465" t="s">
        <v>1787</v>
      </c>
      <c r="E203" s="465" t="s">
        <v>1788</v>
      </c>
      <c r="F203" s="468">
        <v>1</v>
      </c>
      <c r="G203" s="468">
        <v>582</v>
      </c>
      <c r="H203" s="468">
        <v>1</v>
      </c>
      <c r="I203" s="468">
        <v>582</v>
      </c>
      <c r="J203" s="468"/>
      <c r="K203" s="468"/>
      <c r="L203" s="468"/>
      <c r="M203" s="468"/>
      <c r="N203" s="468"/>
      <c r="O203" s="468"/>
      <c r="P203" s="517"/>
      <c r="Q203" s="469"/>
    </row>
    <row r="204" spans="1:17" ht="14.4" customHeight="1" x14ac:dyDescent="0.3">
      <c r="A204" s="464" t="s">
        <v>1874</v>
      </c>
      <c r="B204" s="465" t="s">
        <v>1769</v>
      </c>
      <c r="C204" s="465" t="s">
        <v>1756</v>
      </c>
      <c r="D204" s="465" t="s">
        <v>1789</v>
      </c>
      <c r="E204" s="465" t="s">
        <v>1790</v>
      </c>
      <c r="F204" s="468">
        <v>21</v>
      </c>
      <c r="G204" s="468">
        <v>3318</v>
      </c>
      <c r="H204" s="468">
        <v>1</v>
      </c>
      <c r="I204" s="468">
        <v>158</v>
      </c>
      <c r="J204" s="468">
        <v>21</v>
      </c>
      <c r="K204" s="468">
        <v>3339</v>
      </c>
      <c r="L204" s="468">
        <v>1.0063291139240507</v>
      </c>
      <c r="M204" s="468">
        <v>159</v>
      </c>
      <c r="N204" s="468">
        <v>33</v>
      </c>
      <c r="O204" s="468">
        <v>5274</v>
      </c>
      <c r="P204" s="517">
        <v>1.589511754068716</v>
      </c>
      <c r="Q204" s="469">
        <v>159.81818181818181</v>
      </c>
    </row>
    <row r="205" spans="1:17" ht="14.4" customHeight="1" x14ac:dyDescent="0.3">
      <c r="A205" s="464" t="s">
        <v>1874</v>
      </c>
      <c r="B205" s="465" t="s">
        <v>1769</v>
      </c>
      <c r="C205" s="465" t="s">
        <v>1756</v>
      </c>
      <c r="D205" s="465" t="s">
        <v>1791</v>
      </c>
      <c r="E205" s="465" t="s">
        <v>1792</v>
      </c>
      <c r="F205" s="468"/>
      <c r="G205" s="468"/>
      <c r="H205" s="468"/>
      <c r="I205" s="468"/>
      <c r="J205" s="468"/>
      <c r="K205" s="468"/>
      <c r="L205" s="468"/>
      <c r="M205" s="468"/>
      <c r="N205" s="468">
        <v>1</v>
      </c>
      <c r="O205" s="468">
        <v>382</v>
      </c>
      <c r="P205" s="517"/>
      <c r="Q205" s="469">
        <v>382</v>
      </c>
    </row>
    <row r="206" spans="1:17" ht="14.4" customHeight="1" x14ac:dyDescent="0.3">
      <c r="A206" s="464" t="s">
        <v>1874</v>
      </c>
      <c r="B206" s="465" t="s">
        <v>1769</v>
      </c>
      <c r="C206" s="465" t="s">
        <v>1756</v>
      </c>
      <c r="D206" s="465" t="s">
        <v>1793</v>
      </c>
      <c r="E206" s="465" t="s">
        <v>1794</v>
      </c>
      <c r="F206" s="468">
        <v>2309</v>
      </c>
      <c r="G206" s="468">
        <v>36944</v>
      </c>
      <c r="H206" s="468">
        <v>1</v>
      </c>
      <c r="I206" s="468">
        <v>16</v>
      </c>
      <c r="J206" s="468">
        <v>2356</v>
      </c>
      <c r="K206" s="468">
        <v>37696</v>
      </c>
      <c r="L206" s="468">
        <v>1.0203551320918147</v>
      </c>
      <c r="M206" s="468">
        <v>16</v>
      </c>
      <c r="N206" s="468">
        <v>2406</v>
      </c>
      <c r="O206" s="468">
        <v>38496</v>
      </c>
      <c r="P206" s="517">
        <v>1.0420095279341706</v>
      </c>
      <c r="Q206" s="469">
        <v>16</v>
      </c>
    </row>
    <row r="207" spans="1:17" ht="14.4" customHeight="1" x14ac:dyDescent="0.3">
      <c r="A207" s="464" t="s">
        <v>1874</v>
      </c>
      <c r="B207" s="465" t="s">
        <v>1769</v>
      </c>
      <c r="C207" s="465" t="s">
        <v>1756</v>
      </c>
      <c r="D207" s="465" t="s">
        <v>1797</v>
      </c>
      <c r="E207" s="465" t="s">
        <v>1798</v>
      </c>
      <c r="F207" s="468"/>
      <c r="G207" s="468"/>
      <c r="H207" s="468"/>
      <c r="I207" s="468"/>
      <c r="J207" s="468"/>
      <c r="K207" s="468"/>
      <c r="L207" s="468"/>
      <c r="M207" s="468"/>
      <c r="N207" s="468">
        <v>2</v>
      </c>
      <c r="O207" s="468">
        <v>530</v>
      </c>
      <c r="P207" s="517"/>
      <c r="Q207" s="469">
        <v>265</v>
      </c>
    </row>
    <row r="208" spans="1:17" ht="14.4" customHeight="1" x14ac:dyDescent="0.3">
      <c r="A208" s="464" t="s">
        <v>1874</v>
      </c>
      <c r="B208" s="465" t="s">
        <v>1769</v>
      </c>
      <c r="C208" s="465" t="s">
        <v>1756</v>
      </c>
      <c r="D208" s="465" t="s">
        <v>1799</v>
      </c>
      <c r="E208" s="465" t="s">
        <v>1796</v>
      </c>
      <c r="F208" s="468">
        <v>2</v>
      </c>
      <c r="G208" s="468">
        <v>280</v>
      </c>
      <c r="H208" s="468">
        <v>1</v>
      </c>
      <c r="I208" s="468">
        <v>140</v>
      </c>
      <c r="J208" s="468"/>
      <c r="K208" s="468"/>
      <c r="L208" s="468"/>
      <c r="M208" s="468"/>
      <c r="N208" s="468">
        <v>1</v>
      </c>
      <c r="O208" s="468">
        <v>141</v>
      </c>
      <c r="P208" s="517">
        <v>0.50357142857142856</v>
      </c>
      <c r="Q208" s="469">
        <v>141</v>
      </c>
    </row>
    <row r="209" spans="1:17" ht="14.4" customHeight="1" x14ac:dyDescent="0.3">
      <c r="A209" s="464" t="s">
        <v>1874</v>
      </c>
      <c r="B209" s="465" t="s">
        <v>1769</v>
      </c>
      <c r="C209" s="465" t="s">
        <v>1756</v>
      </c>
      <c r="D209" s="465" t="s">
        <v>1800</v>
      </c>
      <c r="E209" s="465" t="s">
        <v>1796</v>
      </c>
      <c r="F209" s="468">
        <v>28</v>
      </c>
      <c r="G209" s="468">
        <v>2184</v>
      </c>
      <c r="H209" s="468">
        <v>1</v>
      </c>
      <c r="I209" s="468">
        <v>78</v>
      </c>
      <c r="J209" s="468">
        <v>27</v>
      </c>
      <c r="K209" s="468">
        <v>2106</v>
      </c>
      <c r="L209" s="468">
        <v>0.9642857142857143</v>
      </c>
      <c r="M209" s="468">
        <v>78</v>
      </c>
      <c r="N209" s="468">
        <v>31</v>
      </c>
      <c r="O209" s="468">
        <v>2418</v>
      </c>
      <c r="P209" s="517">
        <v>1.1071428571428572</v>
      </c>
      <c r="Q209" s="469">
        <v>78</v>
      </c>
    </row>
    <row r="210" spans="1:17" ht="14.4" customHeight="1" x14ac:dyDescent="0.3">
      <c r="A210" s="464" t="s">
        <v>1874</v>
      </c>
      <c r="B210" s="465" t="s">
        <v>1769</v>
      </c>
      <c r="C210" s="465" t="s">
        <v>1756</v>
      </c>
      <c r="D210" s="465" t="s">
        <v>1801</v>
      </c>
      <c r="E210" s="465" t="s">
        <v>1802</v>
      </c>
      <c r="F210" s="468">
        <v>2</v>
      </c>
      <c r="G210" s="468">
        <v>604</v>
      </c>
      <c r="H210" s="468">
        <v>1</v>
      </c>
      <c r="I210" s="468">
        <v>302</v>
      </c>
      <c r="J210" s="468"/>
      <c r="K210" s="468"/>
      <c r="L210" s="468"/>
      <c r="M210" s="468"/>
      <c r="N210" s="468">
        <v>4</v>
      </c>
      <c r="O210" s="468">
        <v>1221</v>
      </c>
      <c r="P210" s="517">
        <v>2.0215231788079469</v>
      </c>
      <c r="Q210" s="469">
        <v>305.25</v>
      </c>
    </row>
    <row r="211" spans="1:17" ht="14.4" customHeight="1" x14ac:dyDescent="0.3">
      <c r="A211" s="464" t="s">
        <v>1874</v>
      </c>
      <c r="B211" s="465" t="s">
        <v>1769</v>
      </c>
      <c r="C211" s="465" t="s">
        <v>1756</v>
      </c>
      <c r="D211" s="465" t="s">
        <v>1803</v>
      </c>
      <c r="E211" s="465" t="s">
        <v>1804</v>
      </c>
      <c r="F211" s="468">
        <v>2093</v>
      </c>
      <c r="G211" s="468">
        <v>1017198</v>
      </c>
      <c r="H211" s="468">
        <v>1</v>
      </c>
      <c r="I211" s="468">
        <v>486</v>
      </c>
      <c r="J211" s="468">
        <v>2161</v>
      </c>
      <c r="K211" s="468">
        <v>1050246</v>
      </c>
      <c r="L211" s="468">
        <v>1.0324892498805542</v>
      </c>
      <c r="M211" s="468">
        <v>486</v>
      </c>
      <c r="N211" s="468">
        <v>2270</v>
      </c>
      <c r="O211" s="468">
        <v>1104994</v>
      </c>
      <c r="P211" s="517">
        <v>1.0863116128816612</v>
      </c>
      <c r="Q211" s="469">
        <v>486.78149779735685</v>
      </c>
    </row>
    <row r="212" spans="1:17" ht="14.4" customHeight="1" x14ac:dyDescent="0.3">
      <c r="A212" s="464" t="s">
        <v>1874</v>
      </c>
      <c r="B212" s="465" t="s">
        <v>1769</v>
      </c>
      <c r="C212" s="465" t="s">
        <v>1756</v>
      </c>
      <c r="D212" s="465" t="s">
        <v>1805</v>
      </c>
      <c r="E212" s="465" t="s">
        <v>1806</v>
      </c>
      <c r="F212" s="468">
        <v>65</v>
      </c>
      <c r="G212" s="468">
        <v>10335</v>
      </c>
      <c r="H212" s="468">
        <v>1</v>
      </c>
      <c r="I212" s="468">
        <v>159</v>
      </c>
      <c r="J212" s="468">
        <v>38</v>
      </c>
      <c r="K212" s="468">
        <v>6080</v>
      </c>
      <c r="L212" s="468">
        <v>0.58829221093372042</v>
      </c>
      <c r="M212" s="468">
        <v>160</v>
      </c>
      <c r="N212" s="468">
        <v>28</v>
      </c>
      <c r="O212" s="468">
        <v>4503</v>
      </c>
      <c r="P212" s="517">
        <v>0.43570391872278663</v>
      </c>
      <c r="Q212" s="469">
        <v>160.82142857142858</v>
      </c>
    </row>
    <row r="213" spans="1:17" ht="14.4" customHeight="1" x14ac:dyDescent="0.3">
      <c r="A213" s="464" t="s">
        <v>1874</v>
      </c>
      <c r="B213" s="465" t="s">
        <v>1769</v>
      </c>
      <c r="C213" s="465" t="s">
        <v>1756</v>
      </c>
      <c r="D213" s="465" t="s">
        <v>1809</v>
      </c>
      <c r="E213" s="465" t="s">
        <v>1774</v>
      </c>
      <c r="F213" s="468">
        <v>157</v>
      </c>
      <c r="G213" s="468">
        <v>10990</v>
      </c>
      <c r="H213" s="468">
        <v>1</v>
      </c>
      <c r="I213" s="468">
        <v>70</v>
      </c>
      <c r="J213" s="468">
        <v>118</v>
      </c>
      <c r="K213" s="468">
        <v>8260</v>
      </c>
      <c r="L213" s="468">
        <v>0.75159235668789814</v>
      </c>
      <c r="M213" s="468">
        <v>70</v>
      </c>
      <c r="N213" s="468">
        <v>88</v>
      </c>
      <c r="O213" s="468">
        <v>6225</v>
      </c>
      <c r="P213" s="517">
        <v>0.56642402183803453</v>
      </c>
      <c r="Q213" s="469">
        <v>70.73863636363636</v>
      </c>
    </row>
    <row r="214" spans="1:17" ht="14.4" customHeight="1" x14ac:dyDescent="0.3">
      <c r="A214" s="464" t="s">
        <v>1874</v>
      </c>
      <c r="B214" s="465" t="s">
        <v>1769</v>
      </c>
      <c r="C214" s="465" t="s">
        <v>1756</v>
      </c>
      <c r="D214" s="465" t="s">
        <v>1816</v>
      </c>
      <c r="E214" s="465" t="s">
        <v>1817</v>
      </c>
      <c r="F214" s="468">
        <v>11</v>
      </c>
      <c r="G214" s="468">
        <v>13046</v>
      </c>
      <c r="H214" s="468">
        <v>1</v>
      </c>
      <c r="I214" s="468">
        <v>1186</v>
      </c>
      <c r="J214" s="468">
        <v>8</v>
      </c>
      <c r="K214" s="468">
        <v>9512</v>
      </c>
      <c r="L214" s="468">
        <v>0.72911237160815578</v>
      </c>
      <c r="M214" s="468">
        <v>1189</v>
      </c>
      <c r="N214" s="468">
        <v>8</v>
      </c>
      <c r="O214" s="468">
        <v>9536</v>
      </c>
      <c r="P214" s="517">
        <v>0.73095201594358428</v>
      </c>
      <c r="Q214" s="469">
        <v>1192</v>
      </c>
    </row>
    <row r="215" spans="1:17" ht="14.4" customHeight="1" x14ac:dyDescent="0.3">
      <c r="A215" s="464" t="s">
        <v>1874</v>
      </c>
      <c r="B215" s="465" t="s">
        <v>1769</v>
      </c>
      <c r="C215" s="465" t="s">
        <v>1756</v>
      </c>
      <c r="D215" s="465" t="s">
        <v>1818</v>
      </c>
      <c r="E215" s="465" t="s">
        <v>1819</v>
      </c>
      <c r="F215" s="468">
        <v>484</v>
      </c>
      <c r="G215" s="468">
        <v>51788</v>
      </c>
      <c r="H215" s="468">
        <v>1</v>
      </c>
      <c r="I215" s="468">
        <v>107</v>
      </c>
      <c r="J215" s="468">
        <v>424</v>
      </c>
      <c r="K215" s="468">
        <v>45792</v>
      </c>
      <c r="L215" s="468">
        <v>0.88422028269097086</v>
      </c>
      <c r="M215" s="468">
        <v>108</v>
      </c>
      <c r="N215" s="468">
        <v>410</v>
      </c>
      <c r="O215" s="468">
        <v>44590</v>
      </c>
      <c r="P215" s="517">
        <v>0.86101027265003471</v>
      </c>
      <c r="Q215" s="469">
        <v>108.7560975609756</v>
      </c>
    </row>
    <row r="216" spans="1:17" ht="14.4" customHeight="1" x14ac:dyDescent="0.3">
      <c r="A216" s="464" t="s">
        <v>1874</v>
      </c>
      <c r="B216" s="465" t="s">
        <v>1769</v>
      </c>
      <c r="C216" s="465" t="s">
        <v>1756</v>
      </c>
      <c r="D216" s="465" t="s">
        <v>1822</v>
      </c>
      <c r="E216" s="465" t="s">
        <v>1823</v>
      </c>
      <c r="F216" s="468">
        <v>2</v>
      </c>
      <c r="G216" s="468">
        <v>636</v>
      </c>
      <c r="H216" s="468">
        <v>1</v>
      </c>
      <c r="I216" s="468">
        <v>318</v>
      </c>
      <c r="J216" s="468">
        <v>2</v>
      </c>
      <c r="K216" s="468">
        <v>638</v>
      </c>
      <c r="L216" s="468">
        <v>1.0031446540880504</v>
      </c>
      <c r="M216" s="468">
        <v>319</v>
      </c>
      <c r="N216" s="468">
        <v>1</v>
      </c>
      <c r="O216" s="468">
        <v>322</v>
      </c>
      <c r="P216" s="517">
        <v>0.50628930817610063</v>
      </c>
      <c r="Q216" s="469">
        <v>322</v>
      </c>
    </row>
    <row r="217" spans="1:17" ht="14.4" customHeight="1" x14ac:dyDescent="0.3">
      <c r="A217" s="464" t="s">
        <v>1874</v>
      </c>
      <c r="B217" s="465" t="s">
        <v>1769</v>
      </c>
      <c r="C217" s="465" t="s">
        <v>1756</v>
      </c>
      <c r="D217" s="465" t="s">
        <v>1826</v>
      </c>
      <c r="E217" s="465" t="s">
        <v>1827</v>
      </c>
      <c r="F217" s="468">
        <v>1007</v>
      </c>
      <c r="G217" s="468">
        <v>144001</v>
      </c>
      <c r="H217" s="468">
        <v>1</v>
      </c>
      <c r="I217" s="468">
        <v>143</v>
      </c>
      <c r="J217" s="468">
        <v>1036</v>
      </c>
      <c r="K217" s="468">
        <v>149184</v>
      </c>
      <c r="L217" s="468">
        <v>1.0359928056055165</v>
      </c>
      <c r="M217" s="468">
        <v>144</v>
      </c>
      <c r="N217" s="468">
        <v>1043</v>
      </c>
      <c r="O217" s="468">
        <v>150997</v>
      </c>
      <c r="P217" s="517">
        <v>1.048582995951417</v>
      </c>
      <c r="Q217" s="469">
        <v>144.7718120805369</v>
      </c>
    </row>
    <row r="218" spans="1:17" ht="14.4" customHeight="1" x14ac:dyDescent="0.3">
      <c r="A218" s="464" t="s">
        <v>1874</v>
      </c>
      <c r="B218" s="465" t="s">
        <v>1769</v>
      </c>
      <c r="C218" s="465" t="s">
        <v>1756</v>
      </c>
      <c r="D218" s="465" t="s">
        <v>1828</v>
      </c>
      <c r="E218" s="465" t="s">
        <v>1829</v>
      </c>
      <c r="F218" s="468"/>
      <c r="G218" s="468"/>
      <c r="H218" s="468"/>
      <c r="I218" s="468"/>
      <c r="J218" s="468">
        <v>1</v>
      </c>
      <c r="K218" s="468">
        <v>1020</v>
      </c>
      <c r="L218" s="468"/>
      <c r="M218" s="468">
        <v>1020</v>
      </c>
      <c r="N218" s="468"/>
      <c r="O218" s="468"/>
      <c r="P218" s="517"/>
      <c r="Q218" s="469"/>
    </row>
    <row r="219" spans="1:17" ht="14.4" customHeight="1" x14ac:dyDescent="0.3">
      <c r="A219" s="464" t="s">
        <v>1874</v>
      </c>
      <c r="B219" s="465" t="s">
        <v>1769</v>
      </c>
      <c r="C219" s="465" t="s">
        <v>1756</v>
      </c>
      <c r="D219" s="465" t="s">
        <v>1830</v>
      </c>
      <c r="E219" s="465" t="s">
        <v>1831</v>
      </c>
      <c r="F219" s="468">
        <v>9</v>
      </c>
      <c r="G219" s="468">
        <v>2610</v>
      </c>
      <c r="H219" s="468">
        <v>1</v>
      </c>
      <c r="I219" s="468">
        <v>290</v>
      </c>
      <c r="J219" s="468">
        <v>4</v>
      </c>
      <c r="K219" s="468">
        <v>1164</v>
      </c>
      <c r="L219" s="468">
        <v>0.4459770114942529</v>
      </c>
      <c r="M219" s="468">
        <v>291</v>
      </c>
      <c r="N219" s="468">
        <v>6</v>
      </c>
      <c r="O219" s="468">
        <v>1758</v>
      </c>
      <c r="P219" s="517">
        <v>0.67356321839080457</v>
      </c>
      <c r="Q219" s="469">
        <v>293</v>
      </c>
    </row>
    <row r="220" spans="1:17" ht="14.4" customHeight="1" x14ac:dyDescent="0.3">
      <c r="A220" s="464" t="s">
        <v>1874</v>
      </c>
      <c r="B220" s="465" t="s">
        <v>1769</v>
      </c>
      <c r="C220" s="465" t="s">
        <v>1756</v>
      </c>
      <c r="D220" s="465" t="s">
        <v>1836</v>
      </c>
      <c r="E220" s="465" t="s">
        <v>1837</v>
      </c>
      <c r="F220" s="468"/>
      <c r="G220" s="468"/>
      <c r="H220" s="468"/>
      <c r="I220" s="468"/>
      <c r="J220" s="468">
        <v>4</v>
      </c>
      <c r="K220" s="468">
        <v>2896</v>
      </c>
      <c r="L220" s="468"/>
      <c r="M220" s="468">
        <v>724</v>
      </c>
      <c r="N220" s="468"/>
      <c r="O220" s="468"/>
      <c r="P220" s="517"/>
      <c r="Q220" s="469"/>
    </row>
    <row r="221" spans="1:17" ht="14.4" customHeight="1" x14ac:dyDescent="0.3">
      <c r="A221" s="464" t="s">
        <v>1877</v>
      </c>
      <c r="B221" s="465" t="s">
        <v>1755</v>
      </c>
      <c r="C221" s="465" t="s">
        <v>1756</v>
      </c>
      <c r="D221" s="465" t="s">
        <v>1765</v>
      </c>
      <c r="E221" s="465" t="s">
        <v>1766</v>
      </c>
      <c r="F221" s="468"/>
      <c r="G221" s="468"/>
      <c r="H221" s="468"/>
      <c r="I221" s="468"/>
      <c r="J221" s="468"/>
      <c r="K221" s="468"/>
      <c r="L221" s="468"/>
      <c r="M221" s="468"/>
      <c r="N221" s="468">
        <v>1</v>
      </c>
      <c r="O221" s="468">
        <v>8998</v>
      </c>
      <c r="P221" s="517"/>
      <c r="Q221" s="469">
        <v>8998</v>
      </c>
    </row>
    <row r="222" spans="1:17" ht="14.4" customHeight="1" x14ac:dyDescent="0.3">
      <c r="A222" s="464" t="s">
        <v>1877</v>
      </c>
      <c r="B222" s="465" t="s">
        <v>1755</v>
      </c>
      <c r="C222" s="465" t="s">
        <v>1756</v>
      </c>
      <c r="D222" s="465" t="s">
        <v>1767</v>
      </c>
      <c r="E222" s="465" t="s">
        <v>1768</v>
      </c>
      <c r="F222" s="468"/>
      <c r="G222" s="468"/>
      <c r="H222" s="468"/>
      <c r="I222" s="468"/>
      <c r="J222" s="468"/>
      <c r="K222" s="468"/>
      <c r="L222" s="468"/>
      <c r="M222" s="468"/>
      <c r="N222" s="468">
        <v>1</v>
      </c>
      <c r="O222" s="468">
        <v>164</v>
      </c>
      <c r="P222" s="517"/>
      <c r="Q222" s="469">
        <v>164</v>
      </c>
    </row>
    <row r="223" spans="1:17" ht="14.4" customHeight="1" x14ac:dyDescent="0.3">
      <c r="A223" s="464" t="s">
        <v>1877</v>
      </c>
      <c r="B223" s="465" t="s">
        <v>1769</v>
      </c>
      <c r="C223" s="465" t="s">
        <v>1756</v>
      </c>
      <c r="D223" s="465" t="s">
        <v>1773</v>
      </c>
      <c r="E223" s="465" t="s">
        <v>1774</v>
      </c>
      <c r="F223" s="468">
        <v>178</v>
      </c>
      <c r="G223" s="468">
        <v>35956</v>
      </c>
      <c r="H223" s="468">
        <v>1</v>
      </c>
      <c r="I223" s="468">
        <v>202</v>
      </c>
      <c r="J223" s="468">
        <v>179</v>
      </c>
      <c r="K223" s="468">
        <v>36337</v>
      </c>
      <c r="L223" s="468">
        <v>1.0105962843475358</v>
      </c>
      <c r="M223" s="468">
        <v>203</v>
      </c>
      <c r="N223" s="468">
        <v>127</v>
      </c>
      <c r="O223" s="468">
        <v>25969</v>
      </c>
      <c r="P223" s="517">
        <v>0.72224385359884302</v>
      </c>
      <c r="Q223" s="469">
        <v>204.48031496062993</v>
      </c>
    </row>
    <row r="224" spans="1:17" ht="14.4" customHeight="1" x14ac:dyDescent="0.3">
      <c r="A224" s="464" t="s">
        <v>1877</v>
      </c>
      <c r="B224" s="465" t="s">
        <v>1769</v>
      </c>
      <c r="C224" s="465" t="s">
        <v>1756</v>
      </c>
      <c r="D224" s="465" t="s">
        <v>1775</v>
      </c>
      <c r="E224" s="465" t="s">
        <v>1774</v>
      </c>
      <c r="F224" s="468"/>
      <c r="G224" s="468"/>
      <c r="H224" s="468"/>
      <c r="I224" s="468"/>
      <c r="J224" s="468"/>
      <c r="K224" s="468"/>
      <c r="L224" s="468"/>
      <c r="M224" s="468"/>
      <c r="N224" s="468">
        <v>12</v>
      </c>
      <c r="O224" s="468">
        <v>1013</v>
      </c>
      <c r="P224" s="517"/>
      <c r="Q224" s="469">
        <v>84.416666666666671</v>
      </c>
    </row>
    <row r="225" spans="1:17" ht="14.4" customHeight="1" x14ac:dyDescent="0.3">
      <c r="A225" s="464" t="s">
        <v>1877</v>
      </c>
      <c r="B225" s="465" t="s">
        <v>1769</v>
      </c>
      <c r="C225" s="465" t="s">
        <v>1756</v>
      </c>
      <c r="D225" s="465" t="s">
        <v>1776</v>
      </c>
      <c r="E225" s="465" t="s">
        <v>1777</v>
      </c>
      <c r="F225" s="468">
        <v>175</v>
      </c>
      <c r="G225" s="468">
        <v>50925</v>
      </c>
      <c r="H225" s="468">
        <v>1</v>
      </c>
      <c r="I225" s="468">
        <v>291</v>
      </c>
      <c r="J225" s="468">
        <v>171</v>
      </c>
      <c r="K225" s="468">
        <v>49932</v>
      </c>
      <c r="L225" s="468">
        <v>0.98050073637702506</v>
      </c>
      <c r="M225" s="468">
        <v>292</v>
      </c>
      <c r="N225" s="468">
        <v>98</v>
      </c>
      <c r="O225" s="468">
        <v>28714</v>
      </c>
      <c r="P225" s="517">
        <v>0.56384879725085912</v>
      </c>
      <c r="Q225" s="469">
        <v>293</v>
      </c>
    </row>
    <row r="226" spans="1:17" ht="14.4" customHeight="1" x14ac:dyDescent="0.3">
      <c r="A226" s="464" t="s">
        <v>1877</v>
      </c>
      <c r="B226" s="465" t="s">
        <v>1769</v>
      </c>
      <c r="C226" s="465" t="s">
        <v>1756</v>
      </c>
      <c r="D226" s="465" t="s">
        <v>1778</v>
      </c>
      <c r="E226" s="465" t="s">
        <v>1779</v>
      </c>
      <c r="F226" s="468">
        <v>9</v>
      </c>
      <c r="G226" s="468">
        <v>828</v>
      </c>
      <c r="H226" s="468">
        <v>1</v>
      </c>
      <c r="I226" s="468">
        <v>92</v>
      </c>
      <c r="J226" s="468">
        <v>21</v>
      </c>
      <c r="K226" s="468">
        <v>1953</v>
      </c>
      <c r="L226" s="468">
        <v>2.3586956521739131</v>
      </c>
      <c r="M226" s="468">
        <v>93</v>
      </c>
      <c r="N226" s="468">
        <v>3</v>
      </c>
      <c r="O226" s="468">
        <v>279</v>
      </c>
      <c r="P226" s="517">
        <v>0.33695652173913043</v>
      </c>
      <c r="Q226" s="469">
        <v>93</v>
      </c>
    </row>
    <row r="227" spans="1:17" ht="14.4" customHeight="1" x14ac:dyDescent="0.3">
      <c r="A227" s="464" t="s">
        <v>1877</v>
      </c>
      <c r="B227" s="465" t="s">
        <v>1769</v>
      </c>
      <c r="C227" s="465" t="s">
        <v>1756</v>
      </c>
      <c r="D227" s="465" t="s">
        <v>1780</v>
      </c>
      <c r="E227" s="465" t="s">
        <v>1781</v>
      </c>
      <c r="F227" s="468">
        <v>3</v>
      </c>
      <c r="G227" s="468">
        <v>657</v>
      </c>
      <c r="H227" s="468">
        <v>1</v>
      </c>
      <c r="I227" s="468">
        <v>219</v>
      </c>
      <c r="J227" s="468">
        <v>5</v>
      </c>
      <c r="K227" s="468">
        <v>1100</v>
      </c>
      <c r="L227" s="468">
        <v>1.6742770167427701</v>
      </c>
      <c r="M227" s="468">
        <v>220</v>
      </c>
      <c r="N227" s="468"/>
      <c r="O227" s="468"/>
      <c r="P227" s="517"/>
      <c r="Q227" s="469"/>
    </row>
    <row r="228" spans="1:17" ht="14.4" customHeight="1" x14ac:dyDescent="0.3">
      <c r="A228" s="464" t="s">
        <v>1877</v>
      </c>
      <c r="B228" s="465" t="s">
        <v>1769</v>
      </c>
      <c r="C228" s="465" t="s">
        <v>1756</v>
      </c>
      <c r="D228" s="465" t="s">
        <v>1782</v>
      </c>
      <c r="E228" s="465" t="s">
        <v>1783</v>
      </c>
      <c r="F228" s="468">
        <v>170</v>
      </c>
      <c r="G228" s="468">
        <v>22610</v>
      </c>
      <c r="H228" s="468">
        <v>1</v>
      </c>
      <c r="I228" s="468">
        <v>133</v>
      </c>
      <c r="J228" s="468">
        <v>209</v>
      </c>
      <c r="K228" s="468">
        <v>28006</v>
      </c>
      <c r="L228" s="468">
        <v>1.238655462184874</v>
      </c>
      <c r="M228" s="468">
        <v>134</v>
      </c>
      <c r="N228" s="468">
        <v>114</v>
      </c>
      <c r="O228" s="468">
        <v>15359</v>
      </c>
      <c r="P228" s="517">
        <v>0.67930119416187529</v>
      </c>
      <c r="Q228" s="469">
        <v>134.7280701754386</v>
      </c>
    </row>
    <row r="229" spans="1:17" ht="14.4" customHeight="1" x14ac:dyDescent="0.3">
      <c r="A229" s="464" t="s">
        <v>1877</v>
      </c>
      <c r="B229" s="465" t="s">
        <v>1769</v>
      </c>
      <c r="C229" s="465" t="s">
        <v>1756</v>
      </c>
      <c r="D229" s="465" t="s">
        <v>1784</v>
      </c>
      <c r="E229" s="465" t="s">
        <v>1783</v>
      </c>
      <c r="F229" s="468">
        <v>2</v>
      </c>
      <c r="G229" s="468">
        <v>348</v>
      </c>
      <c r="H229" s="468">
        <v>1</v>
      </c>
      <c r="I229" s="468">
        <v>174</v>
      </c>
      <c r="J229" s="468">
        <v>5</v>
      </c>
      <c r="K229" s="468">
        <v>875</v>
      </c>
      <c r="L229" s="468">
        <v>2.514367816091954</v>
      </c>
      <c r="M229" s="468">
        <v>175</v>
      </c>
      <c r="N229" s="468">
        <v>5</v>
      </c>
      <c r="O229" s="468">
        <v>879</v>
      </c>
      <c r="P229" s="517">
        <v>2.5258620689655173</v>
      </c>
      <c r="Q229" s="469">
        <v>175.8</v>
      </c>
    </row>
    <row r="230" spans="1:17" ht="14.4" customHeight="1" x14ac:dyDescent="0.3">
      <c r="A230" s="464" t="s">
        <v>1877</v>
      </c>
      <c r="B230" s="465" t="s">
        <v>1769</v>
      </c>
      <c r="C230" s="465" t="s">
        <v>1756</v>
      </c>
      <c r="D230" s="465" t="s">
        <v>1785</v>
      </c>
      <c r="E230" s="465" t="s">
        <v>1786</v>
      </c>
      <c r="F230" s="468">
        <v>1</v>
      </c>
      <c r="G230" s="468">
        <v>609</v>
      </c>
      <c r="H230" s="468">
        <v>1</v>
      </c>
      <c r="I230" s="468">
        <v>609</v>
      </c>
      <c r="J230" s="468">
        <v>2</v>
      </c>
      <c r="K230" s="468">
        <v>1224</v>
      </c>
      <c r="L230" s="468">
        <v>2.0098522167487687</v>
      </c>
      <c r="M230" s="468">
        <v>612</v>
      </c>
      <c r="N230" s="468"/>
      <c r="O230" s="468"/>
      <c r="P230" s="517"/>
      <c r="Q230" s="469"/>
    </row>
    <row r="231" spans="1:17" ht="14.4" customHeight="1" x14ac:dyDescent="0.3">
      <c r="A231" s="464" t="s">
        <v>1877</v>
      </c>
      <c r="B231" s="465" t="s">
        <v>1769</v>
      </c>
      <c r="C231" s="465" t="s">
        <v>1756</v>
      </c>
      <c r="D231" s="465" t="s">
        <v>1787</v>
      </c>
      <c r="E231" s="465" t="s">
        <v>1788</v>
      </c>
      <c r="F231" s="468">
        <v>1</v>
      </c>
      <c r="G231" s="468">
        <v>582</v>
      </c>
      <c r="H231" s="468">
        <v>1</v>
      </c>
      <c r="I231" s="468">
        <v>582</v>
      </c>
      <c r="J231" s="468"/>
      <c r="K231" s="468"/>
      <c r="L231" s="468"/>
      <c r="M231" s="468"/>
      <c r="N231" s="468">
        <v>1</v>
      </c>
      <c r="O231" s="468">
        <v>591</v>
      </c>
      <c r="P231" s="517">
        <v>1.0154639175257731</v>
      </c>
      <c r="Q231" s="469">
        <v>591</v>
      </c>
    </row>
    <row r="232" spans="1:17" ht="14.4" customHeight="1" x14ac:dyDescent="0.3">
      <c r="A232" s="464" t="s">
        <v>1877</v>
      </c>
      <c r="B232" s="465" t="s">
        <v>1769</v>
      </c>
      <c r="C232" s="465" t="s">
        <v>1756</v>
      </c>
      <c r="D232" s="465" t="s">
        <v>1789</v>
      </c>
      <c r="E232" s="465" t="s">
        <v>1790</v>
      </c>
      <c r="F232" s="468">
        <v>7</v>
      </c>
      <c r="G232" s="468">
        <v>1106</v>
      </c>
      <c r="H232" s="468">
        <v>1</v>
      </c>
      <c r="I232" s="468">
        <v>158</v>
      </c>
      <c r="J232" s="468">
        <v>13</v>
      </c>
      <c r="K232" s="468">
        <v>2067</v>
      </c>
      <c r="L232" s="468">
        <v>1.8688969258589512</v>
      </c>
      <c r="M232" s="468">
        <v>159</v>
      </c>
      <c r="N232" s="468">
        <v>11</v>
      </c>
      <c r="O232" s="468">
        <v>1758</v>
      </c>
      <c r="P232" s="517">
        <v>1.589511754068716</v>
      </c>
      <c r="Q232" s="469">
        <v>159.81818181818181</v>
      </c>
    </row>
    <row r="233" spans="1:17" ht="14.4" customHeight="1" x14ac:dyDescent="0.3">
      <c r="A233" s="464" t="s">
        <v>1877</v>
      </c>
      <c r="B233" s="465" t="s">
        <v>1769</v>
      </c>
      <c r="C233" s="465" t="s">
        <v>1756</v>
      </c>
      <c r="D233" s="465" t="s">
        <v>1791</v>
      </c>
      <c r="E233" s="465" t="s">
        <v>1792</v>
      </c>
      <c r="F233" s="468">
        <v>7</v>
      </c>
      <c r="G233" s="468">
        <v>2674</v>
      </c>
      <c r="H233" s="468">
        <v>1</v>
      </c>
      <c r="I233" s="468">
        <v>382</v>
      </c>
      <c r="J233" s="468">
        <v>4</v>
      </c>
      <c r="K233" s="468">
        <v>1528</v>
      </c>
      <c r="L233" s="468">
        <v>0.5714285714285714</v>
      </c>
      <c r="M233" s="468">
        <v>382</v>
      </c>
      <c r="N233" s="468">
        <v>2</v>
      </c>
      <c r="O233" s="468">
        <v>766</v>
      </c>
      <c r="P233" s="517">
        <v>0.28646222887060585</v>
      </c>
      <c r="Q233" s="469">
        <v>383</v>
      </c>
    </row>
    <row r="234" spans="1:17" ht="14.4" customHeight="1" x14ac:dyDescent="0.3">
      <c r="A234" s="464" t="s">
        <v>1877</v>
      </c>
      <c r="B234" s="465" t="s">
        <v>1769</v>
      </c>
      <c r="C234" s="465" t="s">
        <v>1756</v>
      </c>
      <c r="D234" s="465" t="s">
        <v>1793</v>
      </c>
      <c r="E234" s="465" t="s">
        <v>1794</v>
      </c>
      <c r="F234" s="468">
        <v>392</v>
      </c>
      <c r="G234" s="468">
        <v>6272</v>
      </c>
      <c r="H234" s="468">
        <v>1</v>
      </c>
      <c r="I234" s="468">
        <v>16</v>
      </c>
      <c r="J234" s="468">
        <v>453</v>
      </c>
      <c r="K234" s="468">
        <v>7248</v>
      </c>
      <c r="L234" s="468">
        <v>1.1556122448979591</v>
      </c>
      <c r="M234" s="468">
        <v>16</v>
      </c>
      <c r="N234" s="468">
        <v>292</v>
      </c>
      <c r="O234" s="468">
        <v>4672</v>
      </c>
      <c r="P234" s="517">
        <v>0.74489795918367352</v>
      </c>
      <c r="Q234" s="469">
        <v>16</v>
      </c>
    </row>
    <row r="235" spans="1:17" ht="14.4" customHeight="1" x14ac:dyDescent="0.3">
      <c r="A235" s="464" t="s">
        <v>1877</v>
      </c>
      <c r="B235" s="465" t="s">
        <v>1769</v>
      </c>
      <c r="C235" s="465" t="s">
        <v>1756</v>
      </c>
      <c r="D235" s="465" t="s">
        <v>1797</v>
      </c>
      <c r="E235" s="465" t="s">
        <v>1798</v>
      </c>
      <c r="F235" s="468">
        <v>81</v>
      </c>
      <c r="G235" s="468">
        <v>21141</v>
      </c>
      <c r="H235" s="468">
        <v>1</v>
      </c>
      <c r="I235" s="468">
        <v>261</v>
      </c>
      <c r="J235" s="468">
        <v>116</v>
      </c>
      <c r="K235" s="468">
        <v>30392</v>
      </c>
      <c r="L235" s="468">
        <v>1.4375857338820301</v>
      </c>
      <c r="M235" s="468">
        <v>262</v>
      </c>
      <c r="N235" s="468">
        <v>75</v>
      </c>
      <c r="O235" s="468">
        <v>19818</v>
      </c>
      <c r="P235" s="517">
        <v>0.93742017879948913</v>
      </c>
      <c r="Q235" s="469">
        <v>264.24</v>
      </c>
    </row>
    <row r="236" spans="1:17" ht="14.4" customHeight="1" x14ac:dyDescent="0.3">
      <c r="A236" s="464" t="s">
        <v>1877</v>
      </c>
      <c r="B236" s="465" t="s">
        <v>1769</v>
      </c>
      <c r="C236" s="465" t="s">
        <v>1756</v>
      </c>
      <c r="D236" s="465" t="s">
        <v>1799</v>
      </c>
      <c r="E236" s="465" t="s">
        <v>1796</v>
      </c>
      <c r="F236" s="468">
        <v>94</v>
      </c>
      <c r="G236" s="468">
        <v>13160</v>
      </c>
      <c r="H236" s="468">
        <v>1</v>
      </c>
      <c r="I236" s="468">
        <v>140</v>
      </c>
      <c r="J236" s="468">
        <v>110</v>
      </c>
      <c r="K236" s="468">
        <v>15510</v>
      </c>
      <c r="L236" s="468">
        <v>1.1785714285714286</v>
      </c>
      <c r="M236" s="468">
        <v>141</v>
      </c>
      <c r="N236" s="468">
        <v>74</v>
      </c>
      <c r="O236" s="468">
        <v>10434</v>
      </c>
      <c r="P236" s="517">
        <v>0.79285714285714282</v>
      </c>
      <c r="Q236" s="469">
        <v>141</v>
      </c>
    </row>
    <row r="237" spans="1:17" ht="14.4" customHeight="1" x14ac:dyDescent="0.3">
      <c r="A237" s="464" t="s">
        <v>1877</v>
      </c>
      <c r="B237" s="465" t="s">
        <v>1769</v>
      </c>
      <c r="C237" s="465" t="s">
        <v>1756</v>
      </c>
      <c r="D237" s="465" t="s">
        <v>1800</v>
      </c>
      <c r="E237" s="465" t="s">
        <v>1796</v>
      </c>
      <c r="F237" s="468">
        <v>170</v>
      </c>
      <c r="G237" s="468">
        <v>13260</v>
      </c>
      <c r="H237" s="468">
        <v>1</v>
      </c>
      <c r="I237" s="468">
        <v>78</v>
      </c>
      <c r="J237" s="468">
        <v>207</v>
      </c>
      <c r="K237" s="468">
        <v>16146</v>
      </c>
      <c r="L237" s="468">
        <v>1.2176470588235293</v>
      </c>
      <c r="M237" s="468">
        <v>78</v>
      </c>
      <c r="N237" s="468">
        <v>114</v>
      </c>
      <c r="O237" s="468">
        <v>8892</v>
      </c>
      <c r="P237" s="517">
        <v>0.6705882352941176</v>
      </c>
      <c r="Q237" s="469">
        <v>78</v>
      </c>
    </row>
    <row r="238" spans="1:17" ht="14.4" customHeight="1" x14ac:dyDescent="0.3">
      <c r="A238" s="464" t="s">
        <v>1877</v>
      </c>
      <c r="B238" s="465" t="s">
        <v>1769</v>
      </c>
      <c r="C238" s="465" t="s">
        <v>1756</v>
      </c>
      <c r="D238" s="465" t="s">
        <v>1801</v>
      </c>
      <c r="E238" s="465" t="s">
        <v>1802</v>
      </c>
      <c r="F238" s="468">
        <v>94</v>
      </c>
      <c r="G238" s="468">
        <v>28388</v>
      </c>
      <c r="H238" s="468">
        <v>1</v>
      </c>
      <c r="I238" s="468">
        <v>302</v>
      </c>
      <c r="J238" s="468">
        <v>111</v>
      </c>
      <c r="K238" s="468">
        <v>33633</v>
      </c>
      <c r="L238" s="468">
        <v>1.1847611666901507</v>
      </c>
      <c r="M238" s="468">
        <v>303</v>
      </c>
      <c r="N238" s="468">
        <v>73</v>
      </c>
      <c r="O238" s="468">
        <v>22278</v>
      </c>
      <c r="P238" s="517">
        <v>0.78476821192052981</v>
      </c>
      <c r="Q238" s="469">
        <v>305.17808219178085</v>
      </c>
    </row>
    <row r="239" spans="1:17" ht="14.4" customHeight="1" x14ac:dyDescent="0.3">
      <c r="A239" s="464" t="s">
        <v>1877</v>
      </c>
      <c r="B239" s="465" t="s">
        <v>1769</v>
      </c>
      <c r="C239" s="465" t="s">
        <v>1756</v>
      </c>
      <c r="D239" s="465" t="s">
        <v>1803</v>
      </c>
      <c r="E239" s="465" t="s">
        <v>1804</v>
      </c>
      <c r="F239" s="468">
        <v>7</v>
      </c>
      <c r="G239" s="468">
        <v>3402</v>
      </c>
      <c r="H239" s="468">
        <v>1</v>
      </c>
      <c r="I239" s="468">
        <v>486</v>
      </c>
      <c r="J239" s="468">
        <v>4</v>
      </c>
      <c r="K239" s="468">
        <v>1944</v>
      </c>
      <c r="L239" s="468">
        <v>0.5714285714285714</v>
      </c>
      <c r="M239" s="468">
        <v>486</v>
      </c>
      <c r="N239" s="468">
        <v>1</v>
      </c>
      <c r="O239" s="468">
        <v>487</v>
      </c>
      <c r="P239" s="517">
        <v>0.14315108759553205</v>
      </c>
      <c r="Q239" s="469">
        <v>487</v>
      </c>
    </row>
    <row r="240" spans="1:17" ht="14.4" customHeight="1" x14ac:dyDescent="0.3">
      <c r="A240" s="464" t="s">
        <v>1877</v>
      </c>
      <c r="B240" s="465" t="s">
        <v>1769</v>
      </c>
      <c r="C240" s="465" t="s">
        <v>1756</v>
      </c>
      <c r="D240" s="465" t="s">
        <v>1805</v>
      </c>
      <c r="E240" s="465" t="s">
        <v>1806</v>
      </c>
      <c r="F240" s="468">
        <v>138</v>
      </c>
      <c r="G240" s="468">
        <v>21942</v>
      </c>
      <c r="H240" s="468">
        <v>1</v>
      </c>
      <c r="I240" s="468">
        <v>159</v>
      </c>
      <c r="J240" s="468">
        <v>141</v>
      </c>
      <c r="K240" s="468">
        <v>22560</v>
      </c>
      <c r="L240" s="468">
        <v>1.0281651627016681</v>
      </c>
      <c r="M240" s="468">
        <v>160</v>
      </c>
      <c r="N240" s="468">
        <v>104</v>
      </c>
      <c r="O240" s="468">
        <v>16714</v>
      </c>
      <c r="P240" s="517">
        <v>0.76173548445902839</v>
      </c>
      <c r="Q240" s="469">
        <v>160.71153846153845</v>
      </c>
    </row>
    <row r="241" spans="1:17" ht="14.4" customHeight="1" x14ac:dyDescent="0.3">
      <c r="A241" s="464" t="s">
        <v>1877</v>
      </c>
      <c r="B241" s="465" t="s">
        <v>1769</v>
      </c>
      <c r="C241" s="465" t="s">
        <v>1756</v>
      </c>
      <c r="D241" s="465" t="s">
        <v>1809</v>
      </c>
      <c r="E241" s="465" t="s">
        <v>1774</v>
      </c>
      <c r="F241" s="468">
        <v>247</v>
      </c>
      <c r="G241" s="468">
        <v>17290</v>
      </c>
      <c r="H241" s="468">
        <v>1</v>
      </c>
      <c r="I241" s="468">
        <v>70</v>
      </c>
      <c r="J241" s="468">
        <v>256</v>
      </c>
      <c r="K241" s="468">
        <v>17920</v>
      </c>
      <c r="L241" s="468">
        <v>1.0364372469635628</v>
      </c>
      <c r="M241" s="468">
        <v>70</v>
      </c>
      <c r="N241" s="468">
        <v>195</v>
      </c>
      <c r="O241" s="468">
        <v>13794</v>
      </c>
      <c r="P241" s="517">
        <v>0.79780219780219785</v>
      </c>
      <c r="Q241" s="469">
        <v>70.738461538461536</v>
      </c>
    </row>
    <row r="242" spans="1:17" ht="14.4" customHeight="1" x14ac:dyDescent="0.3">
      <c r="A242" s="464" t="s">
        <v>1877</v>
      </c>
      <c r="B242" s="465" t="s">
        <v>1769</v>
      </c>
      <c r="C242" s="465" t="s">
        <v>1756</v>
      </c>
      <c r="D242" s="465" t="s">
        <v>1814</v>
      </c>
      <c r="E242" s="465" t="s">
        <v>1815</v>
      </c>
      <c r="F242" s="468">
        <v>8</v>
      </c>
      <c r="G242" s="468">
        <v>1720</v>
      </c>
      <c r="H242" s="468">
        <v>1</v>
      </c>
      <c r="I242" s="468">
        <v>215</v>
      </c>
      <c r="J242" s="468">
        <v>7</v>
      </c>
      <c r="K242" s="468">
        <v>1512</v>
      </c>
      <c r="L242" s="468">
        <v>0.87906976744186049</v>
      </c>
      <c r="M242" s="468">
        <v>216</v>
      </c>
      <c r="N242" s="468">
        <v>13</v>
      </c>
      <c r="O242" s="468">
        <v>2820</v>
      </c>
      <c r="P242" s="517">
        <v>1.6395348837209303</v>
      </c>
      <c r="Q242" s="469">
        <v>216.92307692307693</v>
      </c>
    </row>
    <row r="243" spans="1:17" ht="14.4" customHeight="1" x14ac:dyDescent="0.3">
      <c r="A243" s="464" t="s">
        <v>1877</v>
      </c>
      <c r="B243" s="465" t="s">
        <v>1769</v>
      </c>
      <c r="C243" s="465" t="s">
        <v>1756</v>
      </c>
      <c r="D243" s="465" t="s">
        <v>1816</v>
      </c>
      <c r="E243" s="465" t="s">
        <v>1817</v>
      </c>
      <c r="F243" s="468">
        <v>4</v>
      </c>
      <c r="G243" s="468">
        <v>4744</v>
      </c>
      <c r="H243" s="468">
        <v>1</v>
      </c>
      <c r="I243" s="468">
        <v>1186</v>
      </c>
      <c r="J243" s="468">
        <v>7</v>
      </c>
      <c r="K243" s="468">
        <v>8323</v>
      </c>
      <c r="L243" s="468">
        <v>1.7544266441821248</v>
      </c>
      <c r="M243" s="468">
        <v>1189</v>
      </c>
      <c r="N243" s="468">
        <v>6</v>
      </c>
      <c r="O243" s="468">
        <v>7142</v>
      </c>
      <c r="P243" s="517">
        <v>1.5054806070826308</v>
      </c>
      <c r="Q243" s="469">
        <v>1190.3333333333333</v>
      </c>
    </row>
    <row r="244" spans="1:17" ht="14.4" customHeight="1" x14ac:dyDescent="0.3">
      <c r="A244" s="464" t="s">
        <v>1877</v>
      </c>
      <c r="B244" s="465" t="s">
        <v>1769</v>
      </c>
      <c r="C244" s="465" t="s">
        <v>1756</v>
      </c>
      <c r="D244" s="465" t="s">
        <v>1818</v>
      </c>
      <c r="E244" s="465" t="s">
        <v>1819</v>
      </c>
      <c r="F244" s="468">
        <v>55</v>
      </c>
      <c r="G244" s="468">
        <v>5885</v>
      </c>
      <c r="H244" s="468">
        <v>1</v>
      </c>
      <c r="I244" s="468">
        <v>107</v>
      </c>
      <c r="J244" s="468">
        <v>62</v>
      </c>
      <c r="K244" s="468">
        <v>6696</v>
      </c>
      <c r="L244" s="468">
        <v>1.1378079864061172</v>
      </c>
      <c r="M244" s="468">
        <v>108</v>
      </c>
      <c r="N244" s="468">
        <v>57</v>
      </c>
      <c r="O244" s="468">
        <v>6196</v>
      </c>
      <c r="P244" s="517">
        <v>1.0528462192013595</v>
      </c>
      <c r="Q244" s="469">
        <v>108.70175438596492</v>
      </c>
    </row>
    <row r="245" spans="1:17" ht="14.4" customHeight="1" x14ac:dyDescent="0.3">
      <c r="A245" s="464" t="s">
        <v>1877</v>
      </c>
      <c r="B245" s="465" t="s">
        <v>1769</v>
      </c>
      <c r="C245" s="465" t="s">
        <v>1756</v>
      </c>
      <c r="D245" s="465" t="s">
        <v>1822</v>
      </c>
      <c r="E245" s="465" t="s">
        <v>1823</v>
      </c>
      <c r="F245" s="468">
        <v>4</v>
      </c>
      <c r="G245" s="468">
        <v>1272</v>
      </c>
      <c r="H245" s="468">
        <v>1</v>
      </c>
      <c r="I245" s="468">
        <v>318</v>
      </c>
      <c r="J245" s="468">
        <v>2</v>
      </c>
      <c r="K245" s="468">
        <v>638</v>
      </c>
      <c r="L245" s="468">
        <v>0.50157232704402521</v>
      </c>
      <c r="M245" s="468">
        <v>319</v>
      </c>
      <c r="N245" s="468">
        <v>4</v>
      </c>
      <c r="O245" s="468">
        <v>1279</v>
      </c>
      <c r="P245" s="517">
        <v>1.0055031446540881</v>
      </c>
      <c r="Q245" s="469">
        <v>319.75</v>
      </c>
    </row>
    <row r="246" spans="1:17" ht="14.4" customHeight="1" x14ac:dyDescent="0.3">
      <c r="A246" s="464" t="s">
        <v>1877</v>
      </c>
      <c r="B246" s="465" t="s">
        <v>1769</v>
      </c>
      <c r="C246" s="465" t="s">
        <v>1756</v>
      </c>
      <c r="D246" s="465" t="s">
        <v>1826</v>
      </c>
      <c r="E246" s="465" t="s">
        <v>1827</v>
      </c>
      <c r="F246" s="468">
        <v>20</v>
      </c>
      <c r="G246" s="468">
        <v>2860</v>
      </c>
      <c r="H246" s="468">
        <v>1</v>
      </c>
      <c r="I246" s="468">
        <v>143</v>
      </c>
      <c r="J246" s="468">
        <v>31</v>
      </c>
      <c r="K246" s="468">
        <v>4464</v>
      </c>
      <c r="L246" s="468">
        <v>1.5608391608391607</v>
      </c>
      <c r="M246" s="468">
        <v>144</v>
      </c>
      <c r="N246" s="468">
        <v>27</v>
      </c>
      <c r="O246" s="468">
        <v>3906</v>
      </c>
      <c r="P246" s="517">
        <v>1.3657342657342657</v>
      </c>
      <c r="Q246" s="469">
        <v>144.66666666666666</v>
      </c>
    </row>
    <row r="247" spans="1:17" ht="14.4" customHeight="1" x14ac:dyDescent="0.3">
      <c r="A247" s="464" t="s">
        <v>1877</v>
      </c>
      <c r="B247" s="465" t="s">
        <v>1769</v>
      </c>
      <c r="C247" s="465" t="s">
        <v>1756</v>
      </c>
      <c r="D247" s="465" t="s">
        <v>1828</v>
      </c>
      <c r="E247" s="465" t="s">
        <v>1829</v>
      </c>
      <c r="F247" s="468"/>
      <c r="G247" s="468"/>
      <c r="H247" s="468"/>
      <c r="I247" s="468"/>
      <c r="J247" s="468"/>
      <c r="K247" s="468"/>
      <c r="L247" s="468"/>
      <c r="M247" s="468"/>
      <c r="N247" s="468">
        <v>1</v>
      </c>
      <c r="O247" s="468">
        <v>1029</v>
      </c>
      <c r="P247" s="517"/>
      <c r="Q247" s="469">
        <v>1029</v>
      </c>
    </row>
    <row r="248" spans="1:17" ht="14.4" customHeight="1" x14ac:dyDescent="0.3">
      <c r="A248" s="464" t="s">
        <v>1877</v>
      </c>
      <c r="B248" s="465" t="s">
        <v>1769</v>
      </c>
      <c r="C248" s="465" t="s">
        <v>1756</v>
      </c>
      <c r="D248" s="465" t="s">
        <v>1830</v>
      </c>
      <c r="E248" s="465" t="s">
        <v>1831</v>
      </c>
      <c r="F248" s="468">
        <v>1</v>
      </c>
      <c r="G248" s="468">
        <v>290</v>
      </c>
      <c r="H248" s="468">
        <v>1</v>
      </c>
      <c r="I248" s="468">
        <v>290</v>
      </c>
      <c r="J248" s="468">
        <v>3</v>
      </c>
      <c r="K248" s="468">
        <v>873</v>
      </c>
      <c r="L248" s="468">
        <v>3.010344827586207</v>
      </c>
      <c r="M248" s="468">
        <v>291</v>
      </c>
      <c r="N248" s="468">
        <v>1</v>
      </c>
      <c r="O248" s="468">
        <v>293</v>
      </c>
      <c r="P248" s="517">
        <v>1.0103448275862068</v>
      </c>
      <c r="Q248" s="469">
        <v>293</v>
      </c>
    </row>
    <row r="249" spans="1:17" ht="14.4" customHeight="1" x14ac:dyDescent="0.3">
      <c r="A249" s="464" t="s">
        <v>1878</v>
      </c>
      <c r="B249" s="465" t="s">
        <v>1769</v>
      </c>
      <c r="C249" s="465" t="s">
        <v>1756</v>
      </c>
      <c r="D249" s="465" t="s">
        <v>1773</v>
      </c>
      <c r="E249" s="465" t="s">
        <v>1774</v>
      </c>
      <c r="F249" s="468">
        <v>197</v>
      </c>
      <c r="G249" s="468">
        <v>39794</v>
      </c>
      <c r="H249" s="468">
        <v>1</v>
      </c>
      <c r="I249" s="468">
        <v>202</v>
      </c>
      <c r="J249" s="468">
        <v>253</v>
      </c>
      <c r="K249" s="468">
        <v>51359</v>
      </c>
      <c r="L249" s="468">
        <v>1.2906217017640851</v>
      </c>
      <c r="M249" s="468">
        <v>203</v>
      </c>
      <c r="N249" s="468">
        <v>165</v>
      </c>
      <c r="O249" s="468">
        <v>33745</v>
      </c>
      <c r="P249" s="517">
        <v>0.84799215962205354</v>
      </c>
      <c r="Q249" s="469">
        <v>204.5151515151515</v>
      </c>
    </row>
    <row r="250" spans="1:17" ht="14.4" customHeight="1" x14ac:dyDescent="0.3">
      <c r="A250" s="464" t="s">
        <v>1878</v>
      </c>
      <c r="B250" s="465" t="s">
        <v>1769</v>
      </c>
      <c r="C250" s="465" t="s">
        <v>1756</v>
      </c>
      <c r="D250" s="465" t="s">
        <v>1775</v>
      </c>
      <c r="E250" s="465" t="s">
        <v>1774</v>
      </c>
      <c r="F250" s="468"/>
      <c r="G250" s="468"/>
      <c r="H250" s="468"/>
      <c r="I250" s="468"/>
      <c r="J250" s="468"/>
      <c r="K250" s="468"/>
      <c r="L250" s="468"/>
      <c r="M250" s="468"/>
      <c r="N250" s="468">
        <v>3</v>
      </c>
      <c r="O250" s="468">
        <v>252</v>
      </c>
      <c r="P250" s="517"/>
      <c r="Q250" s="469">
        <v>84</v>
      </c>
    </row>
    <row r="251" spans="1:17" ht="14.4" customHeight="1" x14ac:dyDescent="0.3">
      <c r="A251" s="464" t="s">
        <v>1878</v>
      </c>
      <c r="B251" s="465" t="s">
        <v>1769</v>
      </c>
      <c r="C251" s="465" t="s">
        <v>1756</v>
      </c>
      <c r="D251" s="465" t="s">
        <v>1776</v>
      </c>
      <c r="E251" s="465" t="s">
        <v>1777</v>
      </c>
      <c r="F251" s="468">
        <v>885</v>
      </c>
      <c r="G251" s="468">
        <v>257535</v>
      </c>
      <c r="H251" s="468">
        <v>1</v>
      </c>
      <c r="I251" s="468">
        <v>291</v>
      </c>
      <c r="J251" s="468">
        <v>1095</v>
      </c>
      <c r="K251" s="468">
        <v>319740</v>
      </c>
      <c r="L251" s="468">
        <v>1.2415399848564272</v>
      </c>
      <c r="M251" s="468">
        <v>292</v>
      </c>
      <c r="N251" s="468">
        <v>1228</v>
      </c>
      <c r="O251" s="468">
        <v>360698</v>
      </c>
      <c r="P251" s="517">
        <v>1.4005785621371853</v>
      </c>
      <c r="Q251" s="469">
        <v>293.72801302931595</v>
      </c>
    </row>
    <row r="252" spans="1:17" ht="14.4" customHeight="1" x14ac:dyDescent="0.3">
      <c r="A252" s="464" t="s">
        <v>1878</v>
      </c>
      <c r="B252" s="465" t="s">
        <v>1769</v>
      </c>
      <c r="C252" s="465" t="s">
        <v>1756</v>
      </c>
      <c r="D252" s="465" t="s">
        <v>1778</v>
      </c>
      <c r="E252" s="465" t="s">
        <v>1779</v>
      </c>
      <c r="F252" s="468">
        <v>6</v>
      </c>
      <c r="G252" s="468">
        <v>552</v>
      </c>
      <c r="H252" s="468">
        <v>1</v>
      </c>
      <c r="I252" s="468">
        <v>92</v>
      </c>
      <c r="J252" s="468">
        <v>14</v>
      </c>
      <c r="K252" s="468">
        <v>1302</v>
      </c>
      <c r="L252" s="468">
        <v>2.3586956521739131</v>
      </c>
      <c r="M252" s="468">
        <v>93</v>
      </c>
      <c r="N252" s="468">
        <v>16</v>
      </c>
      <c r="O252" s="468">
        <v>1504</v>
      </c>
      <c r="P252" s="517">
        <v>2.7246376811594204</v>
      </c>
      <c r="Q252" s="469">
        <v>94</v>
      </c>
    </row>
    <row r="253" spans="1:17" ht="14.4" customHeight="1" x14ac:dyDescent="0.3">
      <c r="A253" s="464" t="s">
        <v>1878</v>
      </c>
      <c r="B253" s="465" t="s">
        <v>1769</v>
      </c>
      <c r="C253" s="465" t="s">
        <v>1756</v>
      </c>
      <c r="D253" s="465" t="s">
        <v>1780</v>
      </c>
      <c r="E253" s="465" t="s">
        <v>1781</v>
      </c>
      <c r="F253" s="468">
        <v>1</v>
      </c>
      <c r="G253" s="468">
        <v>219</v>
      </c>
      <c r="H253" s="468">
        <v>1</v>
      </c>
      <c r="I253" s="468">
        <v>219</v>
      </c>
      <c r="J253" s="468"/>
      <c r="K253" s="468"/>
      <c r="L253" s="468"/>
      <c r="M253" s="468"/>
      <c r="N253" s="468">
        <v>1</v>
      </c>
      <c r="O253" s="468">
        <v>220</v>
      </c>
      <c r="P253" s="517">
        <v>1.004566210045662</v>
      </c>
      <c r="Q253" s="469">
        <v>220</v>
      </c>
    </row>
    <row r="254" spans="1:17" ht="14.4" customHeight="1" x14ac:dyDescent="0.3">
      <c r="A254" s="464" t="s">
        <v>1878</v>
      </c>
      <c r="B254" s="465" t="s">
        <v>1769</v>
      </c>
      <c r="C254" s="465" t="s">
        <v>1756</v>
      </c>
      <c r="D254" s="465" t="s">
        <v>1782</v>
      </c>
      <c r="E254" s="465" t="s">
        <v>1783</v>
      </c>
      <c r="F254" s="468">
        <v>872</v>
      </c>
      <c r="G254" s="468">
        <v>115976</v>
      </c>
      <c r="H254" s="468">
        <v>1</v>
      </c>
      <c r="I254" s="468">
        <v>133</v>
      </c>
      <c r="J254" s="468">
        <v>856</v>
      </c>
      <c r="K254" s="468">
        <v>114704</v>
      </c>
      <c r="L254" s="468">
        <v>0.98903221356142645</v>
      </c>
      <c r="M254" s="468">
        <v>134</v>
      </c>
      <c r="N254" s="468">
        <v>820</v>
      </c>
      <c r="O254" s="468">
        <v>110466</v>
      </c>
      <c r="P254" s="517">
        <v>0.95249017038007866</v>
      </c>
      <c r="Q254" s="469">
        <v>134.71463414634147</v>
      </c>
    </row>
    <row r="255" spans="1:17" ht="14.4" customHeight="1" x14ac:dyDescent="0.3">
      <c r="A255" s="464" t="s">
        <v>1878</v>
      </c>
      <c r="B255" s="465" t="s">
        <v>1769</v>
      </c>
      <c r="C255" s="465" t="s">
        <v>1756</v>
      </c>
      <c r="D255" s="465" t="s">
        <v>1784</v>
      </c>
      <c r="E255" s="465" t="s">
        <v>1783</v>
      </c>
      <c r="F255" s="468"/>
      <c r="G255" s="468"/>
      <c r="H255" s="468"/>
      <c r="I255" s="468"/>
      <c r="J255" s="468">
        <v>3</v>
      </c>
      <c r="K255" s="468">
        <v>525</v>
      </c>
      <c r="L255" s="468"/>
      <c r="M255" s="468">
        <v>175</v>
      </c>
      <c r="N255" s="468">
        <v>1</v>
      </c>
      <c r="O255" s="468">
        <v>175</v>
      </c>
      <c r="P255" s="517"/>
      <c r="Q255" s="469">
        <v>175</v>
      </c>
    </row>
    <row r="256" spans="1:17" ht="14.4" customHeight="1" x14ac:dyDescent="0.3">
      <c r="A256" s="464" t="s">
        <v>1878</v>
      </c>
      <c r="B256" s="465" t="s">
        <v>1769</v>
      </c>
      <c r="C256" s="465" t="s">
        <v>1756</v>
      </c>
      <c r="D256" s="465" t="s">
        <v>1785</v>
      </c>
      <c r="E256" s="465" t="s">
        <v>1786</v>
      </c>
      <c r="F256" s="468">
        <v>3</v>
      </c>
      <c r="G256" s="468">
        <v>1827</v>
      </c>
      <c r="H256" s="468">
        <v>1</v>
      </c>
      <c r="I256" s="468">
        <v>609</v>
      </c>
      <c r="J256" s="468">
        <v>4</v>
      </c>
      <c r="K256" s="468">
        <v>2448</v>
      </c>
      <c r="L256" s="468">
        <v>1.3399014778325122</v>
      </c>
      <c r="M256" s="468">
        <v>612</v>
      </c>
      <c r="N256" s="468">
        <v>6</v>
      </c>
      <c r="O256" s="468">
        <v>3702</v>
      </c>
      <c r="P256" s="517">
        <v>2.0262725779967159</v>
      </c>
      <c r="Q256" s="469">
        <v>617</v>
      </c>
    </row>
    <row r="257" spans="1:17" ht="14.4" customHeight="1" x14ac:dyDescent="0.3">
      <c r="A257" s="464" t="s">
        <v>1878</v>
      </c>
      <c r="B257" s="465" t="s">
        <v>1769</v>
      </c>
      <c r="C257" s="465" t="s">
        <v>1756</v>
      </c>
      <c r="D257" s="465" t="s">
        <v>1789</v>
      </c>
      <c r="E257" s="465" t="s">
        <v>1790</v>
      </c>
      <c r="F257" s="468">
        <v>38</v>
      </c>
      <c r="G257" s="468">
        <v>6004</v>
      </c>
      <c r="H257" s="468">
        <v>1</v>
      </c>
      <c r="I257" s="468">
        <v>158</v>
      </c>
      <c r="J257" s="468">
        <v>41</v>
      </c>
      <c r="K257" s="468">
        <v>6519</v>
      </c>
      <c r="L257" s="468">
        <v>1.085776149233844</v>
      </c>
      <c r="M257" s="468">
        <v>159</v>
      </c>
      <c r="N257" s="468">
        <v>52</v>
      </c>
      <c r="O257" s="468">
        <v>8312</v>
      </c>
      <c r="P257" s="517">
        <v>1.3844103930712859</v>
      </c>
      <c r="Q257" s="469">
        <v>159.84615384615384</v>
      </c>
    </row>
    <row r="258" spans="1:17" ht="14.4" customHeight="1" x14ac:dyDescent="0.3">
      <c r="A258" s="464" t="s">
        <v>1878</v>
      </c>
      <c r="B258" s="465" t="s">
        <v>1769</v>
      </c>
      <c r="C258" s="465" t="s">
        <v>1756</v>
      </c>
      <c r="D258" s="465" t="s">
        <v>1791</v>
      </c>
      <c r="E258" s="465" t="s">
        <v>1792</v>
      </c>
      <c r="F258" s="468">
        <v>48</v>
      </c>
      <c r="G258" s="468">
        <v>18336</v>
      </c>
      <c r="H258" s="468">
        <v>1</v>
      </c>
      <c r="I258" s="468">
        <v>382</v>
      </c>
      <c r="J258" s="468">
        <v>72</v>
      </c>
      <c r="K258" s="468">
        <v>27504</v>
      </c>
      <c r="L258" s="468">
        <v>1.5</v>
      </c>
      <c r="M258" s="468">
        <v>382</v>
      </c>
      <c r="N258" s="468">
        <v>47</v>
      </c>
      <c r="O258" s="468">
        <v>17974</v>
      </c>
      <c r="P258" s="517">
        <v>0.98025741710296688</v>
      </c>
      <c r="Q258" s="469">
        <v>382.42553191489361</v>
      </c>
    </row>
    <row r="259" spans="1:17" ht="14.4" customHeight="1" x14ac:dyDescent="0.3">
      <c r="A259" s="464" t="s">
        <v>1878</v>
      </c>
      <c r="B259" s="465" t="s">
        <v>1769</v>
      </c>
      <c r="C259" s="465" t="s">
        <v>1756</v>
      </c>
      <c r="D259" s="465" t="s">
        <v>1793</v>
      </c>
      <c r="E259" s="465" t="s">
        <v>1794</v>
      </c>
      <c r="F259" s="468">
        <v>1057</v>
      </c>
      <c r="G259" s="468">
        <v>16912</v>
      </c>
      <c r="H259" s="468">
        <v>1</v>
      </c>
      <c r="I259" s="468">
        <v>16</v>
      </c>
      <c r="J259" s="468">
        <v>1041</v>
      </c>
      <c r="K259" s="468">
        <v>16656</v>
      </c>
      <c r="L259" s="468">
        <v>0.98486281929990538</v>
      </c>
      <c r="M259" s="468">
        <v>16</v>
      </c>
      <c r="N259" s="468">
        <v>959</v>
      </c>
      <c r="O259" s="468">
        <v>15344</v>
      </c>
      <c r="P259" s="517">
        <v>0.9072847682119205</v>
      </c>
      <c r="Q259" s="469">
        <v>16</v>
      </c>
    </row>
    <row r="260" spans="1:17" ht="14.4" customHeight="1" x14ac:dyDescent="0.3">
      <c r="A260" s="464" t="s">
        <v>1878</v>
      </c>
      <c r="B260" s="465" t="s">
        <v>1769</v>
      </c>
      <c r="C260" s="465" t="s">
        <v>1756</v>
      </c>
      <c r="D260" s="465" t="s">
        <v>1797</v>
      </c>
      <c r="E260" s="465" t="s">
        <v>1798</v>
      </c>
      <c r="F260" s="468">
        <v>33</v>
      </c>
      <c r="G260" s="468">
        <v>8613</v>
      </c>
      <c r="H260" s="468">
        <v>1</v>
      </c>
      <c r="I260" s="468">
        <v>261</v>
      </c>
      <c r="J260" s="468">
        <v>59</v>
      </c>
      <c r="K260" s="468">
        <v>15458</v>
      </c>
      <c r="L260" s="468">
        <v>1.7947288981771741</v>
      </c>
      <c r="M260" s="468">
        <v>262</v>
      </c>
      <c r="N260" s="468">
        <v>44</v>
      </c>
      <c r="O260" s="468">
        <v>11642</v>
      </c>
      <c r="P260" s="517">
        <v>1.3516776965052828</v>
      </c>
      <c r="Q260" s="469">
        <v>264.59090909090907</v>
      </c>
    </row>
    <row r="261" spans="1:17" ht="14.4" customHeight="1" x14ac:dyDescent="0.3">
      <c r="A261" s="464" t="s">
        <v>1878</v>
      </c>
      <c r="B261" s="465" t="s">
        <v>1769</v>
      </c>
      <c r="C261" s="465" t="s">
        <v>1756</v>
      </c>
      <c r="D261" s="465" t="s">
        <v>1799</v>
      </c>
      <c r="E261" s="465" t="s">
        <v>1796</v>
      </c>
      <c r="F261" s="468">
        <v>42</v>
      </c>
      <c r="G261" s="468">
        <v>5880</v>
      </c>
      <c r="H261" s="468">
        <v>1</v>
      </c>
      <c r="I261" s="468">
        <v>140</v>
      </c>
      <c r="J261" s="468">
        <v>61</v>
      </c>
      <c r="K261" s="468">
        <v>8601</v>
      </c>
      <c r="L261" s="468">
        <v>1.4627551020408163</v>
      </c>
      <c r="M261" s="468">
        <v>141</v>
      </c>
      <c r="N261" s="468">
        <v>45</v>
      </c>
      <c r="O261" s="468">
        <v>6345</v>
      </c>
      <c r="P261" s="517">
        <v>1.0790816326530612</v>
      </c>
      <c r="Q261" s="469">
        <v>141</v>
      </c>
    </row>
    <row r="262" spans="1:17" ht="14.4" customHeight="1" x14ac:dyDescent="0.3">
      <c r="A262" s="464" t="s">
        <v>1878</v>
      </c>
      <c r="B262" s="465" t="s">
        <v>1769</v>
      </c>
      <c r="C262" s="465" t="s">
        <v>1756</v>
      </c>
      <c r="D262" s="465" t="s">
        <v>1800</v>
      </c>
      <c r="E262" s="465" t="s">
        <v>1796</v>
      </c>
      <c r="F262" s="468">
        <v>872</v>
      </c>
      <c r="G262" s="468">
        <v>68016</v>
      </c>
      <c r="H262" s="468">
        <v>1</v>
      </c>
      <c r="I262" s="468">
        <v>78</v>
      </c>
      <c r="J262" s="468">
        <v>857</v>
      </c>
      <c r="K262" s="468">
        <v>66846</v>
      </c>
      <c r="L262" s="468">
        <v>0.98279816513761464</v>
      </c>
      <c r="M262" s="468">
        <v>78</v>
      </c>
      <c r="N262" s="468">
        <v>820</v>
      </c>
      <c r="O262" s="468">
        <v>63960</v>
      </c>
      <c r="P262" s="517">
        <v>0.94036697247706424</v>
      </c>
      <c r="Q262" s="469">
        <v>78</v>
      </c>
    </row>
    <row r="263" spans="1:17" ht="14.4" customHeight="1" x14ac:dyDescent="0.3">
      <c r="A263" s="464" t="s">
        <v>1878</v>
      </c>
      <c r="B263" s="465" t="s">
        <v>1769</v>
      </c>
      <c r="C263" s="465" t="s">
        <v>1756</v>
      </c>
      <c r="D263" s="465" t="s">
        <v>1801</v>
      </c>
      <c r="E263" s="465" t="s">
        <v>1802</v>
      </c>
      <c r="F263" s="468">
        <v>43</v>
      </c>
      <c r="G263" s="468">
        <v>12986</v>
      </c>
      <c r="H263" s="468">
        <v>1</v>
      </c>
      <c r="I263" s="468">
        <v>302</v>
      </c>
      <c r="J263" s="468">
        <v>61</v>
      </c>
      <c r="K263" s="468">
        <v>18483</v>
      </c>
      <c r="L263" s="468">
        <v>1.4233020175573694</v>
      </c>
      <c r="M263" s="468">
        <v>303</v>
      </c>
      <c r="N263" s="468">
        <v>44</v>
      </c>
      <c r="O263" s="468">
        <v>13446</v>
      </c>
      <c r="P263" s="517">
        <v>1.0354227629755122</v>
      </c>
      <c r="Q263" s="469">
        <v>305.59090909090907</v>
      </c>
    </row>
    <row r="264" spans="1:17" ht="14.4" customHeight="1" x14ac:dyDescent="0.3">
      <c r="A264" s="464" t="s">
        <v>1878</v>
      </c>
      <c r="B264" s="465" t="s">
        <v>1769</v>
      </c>
      <c r="C264" s="465" t="s">
        <v>1756</v>
      </c>
      <c r="D264" s="465" t="s">
        <v>1803</v>
      </c>
      <c r="E264" s="465" t="s">
        <v>1804</v>
      </c>
      <c r="F264" s="468">
        <v>48</v>
      </c>
      <c r="G264" s="468">
        <v>23328</v>
      </c>
      <c r="H264" s="468">
        <v>1</v>
      </c>
      <c r="I264" s="468">
        <v>486</v>
      </c>
      <c r="J264" s="468">
        <v>73</v>
      </c>
      <c r="K264" s="468">
        <v>35478</v>
      </c>
      <c r="L264" s="468">
        <v>1.5208333333333333</v>
      </c>
      <c r="M264" s="468">
        <v>486</v>
      </c>
      <c r="N264" s="468">
        <v>47</v>
      </c>
      <c r="O264" s="468">
        <v>22862</v>
      </c>
      <c r="P264" s="517">
        <v>0.98002400548696844</v>
      </c>
      <c r="Q264" s="469">
        <v>486.42553191489361</v>
      </c>
    </row>
    <row r="265" spans="1:17" ht="14.4" customHeight="1" x14ac:dyDescent="0.3">
      <c r="A265" s="464" t="s">
        <v>1878</v>
      </c>
      <c r="B265" s="465" t="s">
        <v>1769</v>
      </c>
      <c r="C265" s="465" t="s">
        <v>1756</v>
      </c>
      <c r="D265" s="465" t="s">
        <v>1805</v>
      </c>
      <c r="E265" s="465" t="s">
        <v>1806</v>
      </c>
      <c r="F265" s="468">
        <v>814</v>
      </c>
      <c r="G265" s="468">
        <v>129426</v>
      </c>
      <c r="H265" s="468">
        <v>1</v>
      </c>
      <c r="I265" s="468">
        <v>159</v>
      </c>
      <c r="J265" s="468">
        <v>754</v>
      </c>
      <c r="K265" s="468">
        <v>120640</v>
      </c>
      <c r="L265" s="468">
        <v>0.93211564909678113</v>
      </c>
      <c r="M265" s="468">
        <v>160</v>
      </c>
      <c r="N265" s="468">
        <v>746</v>
      </c>
      <c r="O265" s="468">
        <v>119897</v>
      </c>
      <c r="P265" s="517">
        <v>0.92637491694095464</v>
      </c>
      <c r="Q265" s="469">
        <v>160.71983914209116</v>
      </c>
    </row>
    <row r="266" spans="1:17" ht="14.4" customHeight="1" x14ac:dyDescent="0.3">
      <c r="A266" s="464" t="s">
        <v>1878</v>
      </c>
      <c r="B266" s="465" t="s">
        <v>1769</v>
      </c>
      <c r="C266" s="465" t="s">
        <v>1756</v>
      </c>
      <c r="D266" s="465" t="s">
        <v>1809</v>
      </c>
      <c r="E266" s="465" t="s">
        <v>1774</v>
      </c>
      <c r="F266" s="468">
        <v>2275</v>
      </c>
      <c r="G266" s="468">
        <v>159250</v>
      </c>
      <c r="H266" s="468">
        <v>1</v>
      </c>
      <c r="I266" s="468">
        <v>70</v>
      </c>
      <c r="J266" s="468">
        <v>2360</v>
      </c>
      <c r="K266" s="468">
        <v>165200</v>
      </c>
      <c r="L266" s="468">
        <v>1.0373626373626375</v>
      </c>
      <c r="M266" s="468">
        <v>70</v>
      </c>
      <c r="N266" s="468">
        <v>2346</v>
      </c>
      <c r="O266" s="468">
        <v>165916</v>
      </c>
      <c r="P266" s="517">
        <v>1.0418587127158556</v>
      </c>
      <c r="Q266" s="469">
        <v>70.7229326513214</v>
      </c>
    </row>
    <row r="267" spans="1:17" ht="14.4" customHeight="1" x14ac:dyDescent="0.3">
      <c r="A267" s="464" t="s">
        <v>1878</v>
      </c>
      <c r="B267" s="465" t="s">
        <v>1769</v>
      </c>
      <c r="C267" s="465" t="s">
        <v>1756</v>
      </c>
      <c r="D267" s="465" t="s">
        <v>1814</v>
      </c>
      <c r="E267" s="465" t="s">
        <v>1815</v>
      </c>
      <c r="F267" s="468">
        <v>1</v>
      </c>
      <c r="G267" s="468">
        <v>215</v>
      </c>
      <c r="H267" s="468">
        <v>1</v>
      </c>
      <c r="I267" s="468">
        <v>215</v>
      </c>
      <c r="J267" s="468">
        <v>9</v>
      </c>
      <c r="K267" s="468">
        <v>1944</v>
      </c>
      <c r="L267" s="468">
        <v>9.0418604651162795</v>
      </c>
      <c r="M267" s="468">
        <v>216</v>
      </c>
      <c r="N267" s="468">
        <v>3</v>
      </c>
      <c r="O267" s="468">
        <v>648</v>
      </c>
      <c r="P267" s="517">
        <v>3.0139534883720929</v>
      </c>
      <c r="Q267" s="469">
        <v>216</v>
      </c>
    </row>
    <row r="268" spans="1:17" ht="14.4" customHeight="1" x14ac:dyDescent="0.3">
      <c r="A268" s="464" t="s">
        <v>1878</v>
      </c>
      <c r="B268" s="465" t="s">
        <v>1769</v>
      </c>
      <c r="C268" s="465" t="s">
        <v>1756</v>
      </c>
      <c r="D268" s="465" t="s">
        <v>1816</v>
      </c>
      <c r="E268" s="465" t="s">
        <v>1817</v>
      </c>
      <c r="F268" s="468">
        <v>29</v>
      </c>
      <c r="G268" s="468">
        <v>34394</v>
      </c>
      <c r="H268" s="468">
        <v>1</v>
      </c>
      <c r="I268" s="468">
        <v>1186</v>
      </c>
      <c r="J268" s="468">
        <v>35</v>
      </c>
      <c r="K268" s="468">
        <v>41615</v>
      </c>
      <c r="L268" s="468">
        <v>1.2099494097807757</v>
      </c>
      <c r="M268" s="468">
        <v>1189</v>
      </c>
      <c r="N268" s="468">
        <v>45</v>
      </c>
      <c r="O268" s="468">
        <v>53645</v>
      </c>
      <c r="P268" s="517">
        <v>1.559719718555562</v>
      </c>
      <c r="Q268" s="469">
        <v>1192.1111111111111</v>
      </c>
    </row>
    <row r="269" spans="1:17" ht="14.4" customHeight="1" x14ac:dyDescent="0.3">
      <c r="A269" s="464" t="s">
        <v>1878</v>
      </c>
      <c r="B269" s="465" t="s">
        <v>1769</v>
      </c>
      <c r="C269" s="465" t="s">
        <v>1756</v>
      </c>
      <c r="D269" s="465" t="s">
        <v>1818</v>
      </c>
      <c r="E269" s="465" t="s">
        <v>1819</v>
      </c>
      <c r="F269" s="468">
        <v>30</v>
      </c>
      <c r="G269" s="468">
        <v>3210</v>
      </c>
      <c r="H269" s="468">
        <v>1</v>
      </c>
      <c r="I269" s="468">
        <v>107</v>
      </c>
      <c r="J269" s="468">
        <v>35</v>
      </c>
      <c r="K269" s="468">
        <v>3780</v>
      </c>
      <c r="L269" s="468">
        <v>1.1775700934579438</v>
      </c>
      <c r="M269" s="468">
        <v>108</v>
      </c>
      <c r="N269" s="468">
        <v>39</v>
      </c>
      <c r="O269" s="468">
        <v>4242</v>
      </c>
      <c r="P269" s="517">
        <v>1.3214953271028038</v>
      </c>
      <c r="Q269" s="469">
        <v>108.76923076923077</v>
      </c>
    </row>
    <row r="270" spans="1:17" ht="14.4" customHeight="1" x14ac:dyDescent="0.3">
      <c r="A270" s="464" t="s">
        <v>1878</v>
      </c>
      <c r="B270" s="465" t="s">
        <v>1769</v>
      </c>
      <c r="C270" s="465" t="s">
        <v>1756</v>
      </c>
      <c r="D270" s="465" t="s">
        <v>1822</v>
      </c>
      <c r="E270" s="465" t="s">
        <v>1823</v>
      </c>
      <c r="F270" s="468">
        <v>1</v>
      </c>
      <c r="G270" s="468">
        <v>318</v>
      </c>
      <c r="H270" s="468">
        <v>1</v>
      </c>
      <c r="I270" s="468">
        <v>318</v>
      </c>
      <c r="J270" s="468">
        <v>6</v>
      </c>
      <c r="K270" s="468">
        <v>1914</v>
      </c>
      <c r="L270" s="468">
        <v>6.0188679245283021</v>
      </c>
      <c r="M270" s="468">
        <v>319</v>
      </c>
      <c r="N270" s="468">
        <v>1</v>
      </c>
      <c r="O270" s="468">
        <v>319</v>
      </c>
      <c r="P270" s="517">
        <v>1.0031446540880504</v>
      </c>
      <c r="Q270" s="469">
        <v>319</v>
      </c>
    </row>
    <row r="271" spans="1:17" ht="14.4" customHeight="1" x14ac:dyDescent="0.3">
      <c r="A271" s="464" t="s">
        <v>1878</v>
      </c>
      <c r="B271" s="465" t="s">
        <v>1769</v>
      </c>
      <c r="C271" s="465" t="s">
        <v>1756</v>
      </c>
      <c r="D271" s="465" t="s">
        <v>1828</v>
      </c>
      <c r="E271" s="465" t="s">
        <v>1829</v>
      </c>
      <c r="F271" s="468">
        <v>1</v>
      </c>
      <c r="G271" s="468">
        <v>1015</v>
      </c>
      <c r="H271" s="468">
        <v>1</v>
      </c>
      <c r="I271" s="468">
        <v>1015</v>
      </c>
      <c r="J271" s="468">
        <v>2</v>
      </c>
      <c r="K271" s="468">
        <v>2040</v>
      </c>
      <c r="L271" s="468">
        <v>2.0098522167487687</v>
      </c>
      <c r="M271" s="468">
        <v>1020</v>
      </c>
      <c r="N271" s="468"/>
      <c r="O271" s="468"/>
      <c r="P271" s="517"/>
      <c r="Q271" s="469"/>
    </row>
    <row r="272" spans="1:17" ht="14.4" customHeight="1" x14ac:dyDescent="0.3">
      <c r="A272" s="464" t="s">
        <v>1878</v>
      </c>
      <c r="B272" s="465" t="s">
        <v>1769</v>
      </c>
      <c r="C272" s="465" t="s">
        <v>1756</v>
      </c>
      <c r="D272" s="465" t="s">
        <v>1830</v>
      </c>
      <c r="E272" s="465" t="s">
        <v>1831</v>
      </c>
      <c r="F272" s="468"/>
      <c r="G272" s="468"/>
      <c r="H272" s="468"/>
      <c r="I272" s="468"/>
      <c r="J272" s="468">
        <v>2</v>
      </c>
      <c r="K272" s="468">
        <v>582</v>
      </c>
      <c r="L272" s="468"/>
      <c r="M272" s="468">
        <v>291</v>
      </c>
      <c r="N272" s="468"/>
      <c r="O272" s="468"/>
      <c r="P272" s="517"/>
      <c r="Q272" s="469"/>
    </row>
    <row r="273" spans="1:17" ht="14.4" customHeight="1" x14ac:dyDescent="0.3">
      <c r="A273" s="464" t="s">
        <v>1879</v>
      </c>
      <c r="B273" s="465" t="s">
        <v>1769</v>
      </c>
      <c r="C273" s="465" t="s">
        <v>1756</v>
      </c>
      <c r="D273" s="465" t="s">
        <v>1773</v>
      </c>
      <c r="E273" s="465" t="s">
        <v>1774</v>
      </c>
      <c r="F273" s="468">
        <v>295</v>
      </c>
      <c r="G273" s="468">
        <v>59590</v>
      </c>
      <c r="H273" s="468">
        <v>1</v>
      </c>
      <c r="I273" s="468">
        <v>202</v>
      </c>
      <c r="J273" s="468">
        <v>336</v>
      </c>
      <c r="K273" s="468">
        <v>68208</v>
      </c>
      <c r="L273" s="468">
        <v>1.144621580802148</v>
      </c>
      <c r="M273" s="468">
        <v>203</v>
      </c>
      <c r="N273" s="468">
        <v>232</v>
      </c>
      <c r="O273" s="468">
        <v>47470</v>
      </c>
      <c r="P273" s="517">
        <v>0.79661016949152541</v>
      </c>
      <c r="Q273" s="469">
        <v>204.61206896551724</v>
      </c>
    </row>
    <row r="274" spans="1:17" ht="14.4" customHeight="1" x14ac:dyDescent="0.3">
      <c r="A274" s="464" t="s">
        <v>1879</v>
      </c>
      <c r="B274" s="465" t="s">
        <v>1769</v>
      </c>
      <c r="C274" s="465" t="s">
        <v>1756</v>
      </c>
      <c r="D274" s="465" t="s">
        <v>1775</v>
      </c>
      <c r="E274" s="465" t="s">
        <v>1774</v>
      </c>
      <c r="F274" s="468"/>
      <c r="G274" s="468"/>
      <c r="H274" s="468"/>
      <c r="I274" s="468"/>
      <c r="J274" s="468"/>
      <c r="K274" s="468"/>
      <c r="L274" s="468"/>
      <c r="M274" s="468"/>
      <c r="N274" s="468">
        <v>8</v>
      </c>
      <c r="O274" s="468">
        <v>680</v>
      </c>
      <c r="P274" s="517"/>
      <c r="Q274" s="469">
        <v>85</v>
      </c>
    </row>
    <row r="275" spans="1:17" ht="14.4" customHeight="1" x14ac:dyDescent="0.3">
      <c r="A275" s="464" t="s">
        <v>1879</v>
      </c>
      <c r="B275" s="465" t="s">
        <v>1769</v>
      </c>
      <c r="C275" s="465" t="s">
        <v>1756</v>
      </c>
      <c r="D275" s="465" t="s">
        <v>1776</v>
      </c>
      <c r="E275" s="465" t="s">
        <v>1777</v>
      </c>
      <c r="F275" s="468">
        <v>291</v>
      </c>
      <c r="G275" s="468">
        <v>84681</v>
      </c>
      <c r="H275" s="468">
        <v>1</v>
      </c>
      <c r="I275" s="468">
        <v>291</v>
      </c>
      <c r="J275" s="468">
        <v>292</v>
      </c>
      <c r="K275" s="468">
        <v>85264</v>
      </c>
      <c r="L275" s="468">
        <v>1.0068846612581335</v>
      </c>
      <c r="M275" s="468">
        <v>292</v>
      </c>
      <c r="N275" s="468">
        <v>363</v>
      </c>
      <c r="O275" s="468">
        <v>106582</v>
      </c>
      <c r="P275" s="517">
        <v>1.2586294446215798</v>
      </c>
      <c r="Q275" s="469">
        <v>293.61432506887053</v>
      </c>
    </row>
    <row r="276" spans="1:17" ht="14.4" customHeight="1" x14ac:dyDescent="0.3">
      <c r="A276" s="464" t="s">
        <v>1879</v>
      </c>
      <c r="B276" s="465" t="s">
        <v>1769</v>
      </c>
      <c r="C276" s="465" t="s">
        <v>1756</v>
      </c>
      <c r="D276" s="465" t="s">
        <v>1778</v>
      </c>
      <c r="E276" s="465" t="s">
        <v>1779</v>
      </c>
      <c r="F276" s="468">
        <v>7</v>
      </c>
      <c r="G276" s="468">
        <v>644</v>
      </c>
      <c r="H276" s="468">
        <v>1</v>
      </c>
      <c r="I276" s="468">
        <v>92</v>
      </c>
      <c r="J276" s="468">
        <v>4</v>
      </c>
      <c r="K276" s="468">
        <v>372</v>
      </c>
      <c r="L276" s="468">
        <v>0.57763975155279501</v>
      </c>
      <c r="M276" s="468">
        <v>93</v>
      </c>
      <c r="N276" s="468">
        <v>3</v>
      </c>
      <c r="O276" s="468">
        <v>282</v>
      </c>
      <c r="P276" s="517">
        <v>0.43788819875776397</v>
      </c>
      <c r="Q276" s="469">
        <v>94</v>
      </c>
    </row>
    <row r="277" spans="1:17" ht="14.4" customHeight="1" x14ac:dyDescent="0.3">
      <c r="A277" s="464" t="s">
        <v>1879</v>
      </c>
      <c r="B277" s="465" t="s">
        <v>1769</v>
      </c>
      <c r="C277" s="465" t="s">
        <v>1756</v>
      </c>
      <c r="D277" s="465" t="s">
        <v>1782</v>
      </c>
      <c r="E277" s="465" t="s">
        <v>1783</v>
      </c>
      <c r="F277" s="468">
        <v>517</v>
      </c>
      <c r="G277" s="468">
        <v>68761</v>
      </c>
      <c r="H277" s="468">
        <v>1</v>
      </c>
      <c r="I277" s="468">
        <v>133</v>
      </c>
      <c r="J277" s="468">
        <v>574</v>
      </c>
      <c r="K277" s="468">
        <v>76916</v>
      </c>
      <c r="L277" s="468">
        <v>1.1185992059452305</v>
      </c>
      <c r="M277" s="468">
        <v>134</v>
      </c>
      <c r="N277" s="468">
        <v>548</v>
      </c>
      <c r="O277" s="468">
        <v>73836</v>
      </c>
      <c r="P277" s="517">
        <v>1.0738063727985341</v>
      </c>
      <c r="Q277" s="469">
        <v>134.73722627737226</v>
      </c>
    </row>
    <row r="278" spans="1:17" ht="14.4" customHeight="1" x14ac:dyDescent="0.3">
      <c r="A278" s="464" t="s">
        <v>1879</v>
      </c>
      <c r="B278" s="465" t="s">
        <v>1769</v>
      </c>
      <c r="C278" s="465" t="s">
        <v>1756</v>
      </c>
      <c r="D278" s="465" t="s">
        <v>1784</v>
      </c>
      <c r="E278" s="465" t="s">
        <v>1783</v>
      </c>
      <c r="F278" s="468"/>
      <c r="G278" s="468"/>
      <c r="H278" s="468"/>
      <c r="I278" s="468"/>
      <c r="J278" s="468"/>
      <c r="K278" s="468"/>
      <c r="L278" s="468"/>
      <c r="M278" s="468"/>
      <c r="N278" s="468">
        <v>3</v>
      </c>
      <c r="O278" s="468">
        <v>531</v>
      </c>
      <c r="P278" s="517"/>
      <c r="Q278" s="469">
        <v>177</v>
      </c>
    </row>
    <row r="279" spans="1:17" ht="14.4" customHeight="1" x14ac:dyDescent="0.3">
      <c r="A279" s="464" t="s">
        <v>1879</v>
      </c>
      <c r="B279" s="465" t="s">
        <v>1769</v>
      </c>
      <c r="C279" s="465" t="s">
        <v>1756</v>
      </c>
      <c r="D279" s="465" t="s">
        <v>1785</v>
      </c>
      <c r="E279" s="465" t="s">
        <v>1786</v>
      </c>
      <c r="F279" s="468">
        <v>1</v>
      </c>
      <c r="G279" s="468">
        <v>609</v>
      </c>
      <c r="H279" s="468">
        <v>1</v>
      </c>
      <c r="I279" s="468">
        <v>609</v>
      </c>
      <c r="J279" s="468">
        <v>1</v>
      </c>
      <c r="K279" s="468">
        <v>612</v>
      </c>
      <c r="L279" s="468">
        <v>1.0049261083743843</v>
      </c>
      <c r="M279" s="468">
        <v>612</v>
      </c>
      <c r="N279" s="468"/>
      <c r="O279" s="468"/>
      <c r="P279" s="517"/>
      <c r="Q279" s="469"/>
    </row>
    <row r="280" spans="1:17" ht="14.4" customHeight="1" x14ac:dyDescent="0.3">
      <c r="A280" s="464" t="s">
        <v>1879</v>
      </c>
      <c r="B280" s="465" t="s">
        <v>1769</v>
      </c>
      <c r="C280" s="465" t="s">
        <v>1756</v>
      </c>
      <c r="D280" s="465" t="s">
        <v>1789</v>
      </c>
      <c r="E280" s="465" t="s">
        <v>1790</v>
      </c>
      <c r="F280" s="468">
        <v>16</v>
      </c>
      <c r="G280" s="468">
        <v>2528</v>
      </c>
      <c r="H280" s="468">
        <v>1</v>
      </c>
      <c r="I280" s="468">
        <v>158</v>
      </c>
      <c r="J280" s="468">
        <v>13</v>
      </c>
      <c r="K280" s="468">
        <v>2067</v>
      </c>
      <c r="L280" s="468">
        <v>0.81764240506329111</v>
      </c>
      <c r="M280" s="468">
        <v>159</v>
      </c>
      <c r="N280" s="468">
        <v>17</v>
      </c>
      <c r="O280" s="468">
        <v>2716</v>
      </c>
      <c r="P280" s="517">
        <v>1.0743670886075949</v>
      </c>
      <c r="Q280" s="469">
        <v>159.76470588235293</v>
      </c>
    </row>
    <row r="281" spans="1:17" ht="14.4" customHeight="1" x14ac:dyDescent="0.3">
      <c r="A281" s="464" t="s">
        <v>1879</v>
      </c>
      <c r="B281" s="465" t="s">
        <v>1769</v>
      </c>
      <c r="C281" s="465" t="s">
        <v>1756</v>
      </c>
      <c r="D281" s="465" t="s">
        <v>1791</v>
      </c>
      <c r="E281" s="465" t="s">
        <v>1792</v>
      </c>
      <c r="F281" s="468">
        <v>6</v>
      </c>
      <c r="G281" s="468">
        <v>2292</v>
      </c>
      <c r="H281" s="468">
        <v>1</v>
      </c>
      <c r="I281" s="468">
        <v>382</v>
      </c>
      <c r="J281" s="468">
        <v>8</v>
      </c>
      <c r="K281" s="468">
        <v>3056</v>
      </c>
      <c r="L281" s="468">
        <v>1.3333333333333333</v>
      </c>
      <c r="M281" s="468">
        <v>382</v>
      </c>
      <c r="N281" s="468">
        <v>6</v>
      </c>
      <c r="O281" s="468">
        <v>2296</v>
      </c>
      <c r="P281" s="517">
        <v>1.0017452006980803</v>
      </c>
      <c r="Q281" s="469">
        <v>382.66666666666669</v>
      </c>
    </row>
    <row r="282" spans="1:17" ht="14.4" customHeight="1" x14ac:dyDescent="0.3">
      <c r="A282" s="464" t="s">
        <v>1879</v>
      </c>
      <c r="B282" s="465" t="s">
        <v>1769</v>
      </c>
      <c r="C282" s="465" t="s">
        <v>1756</v>
      </c>
      <c r="D282" s="465" t="s">
        <v>1793</v>
      </c>
      <c r="E282" s="465" t="s">
        <v>1794</v>
      </c>
      <c r="F282" s="468">
        <v>602</v>
      </c>
      <c r="G282" s="468">
        <v>9632</v>
      </c>
      <c r="H282" s="468">
        <v>1</v>
      </c>
      <c r="I282" s="468">
        <v>16</v>
      </c>
      <c r="J282" s="468">
        <v>655</v>
      </c>
      <c r="K282" s="468">
        <v>10480</v>
      </c>
      <c r="L282" s="468">
        <v>1.0880398671096345</v>
      </c>
      <c r="M282" s="468">
        <v>16</v>
      </c>
      <c r="N282" s="468">
        <v>613</v>
      </c>
      <c r="O282" s="468">
        <v>9808</v>
      </c>
      <c r="P282" s="517">
        <v>1.0182724252491695</v>
      </c>
      <c r="Q282" s="469">
        <v>16</v>
      </c>
    </row>
    <row r="283" spans="1:17" ht="14.4" customHeight="1" x14ac:dyDescent="0.3">
      <c r="A283" s="464" t="s">
        <v>1879</v>
      </c>
      <c r="B283" s="465" t="s">
        <v>1769</v>
      </c>
      <c r="C283" s="465" t="s">
        <v>1756</v>
      </c>
      <c r="D283" s="465" t="s">
        <v>1797</v>
      </c>
      <c r="E283" s="465" t="s">
        <v>1798</v>
      </c>
      <c r="F283" s="468">
        <v>44</v>
      </c>
      <c r="G283" s="468">
        <v>11484</v>
      </c>
      <c r="H283" s="468">
        <v>1</v>
      </c>
      <c r="I283" s="468">
        <v>261</v>
      </c>
      <c r="J283" s="468">
        <v>48</v>
      </c>
      <c r="K283" s="468">
        <v>12576</v>
      </c>
      <c r="L283" s="468">
        <v>1.0950888192267503</v>
      </c>
      <c r="M283" s="468">
        <v>262</v>
      </c>
      <c r="N283" s="468">
        <v>44</v>
      </c>
      <c r="O283" s="468">
        <v>11639</v>
      </c>
      <c r="P283" s="517">
        <v>1.0134970393591083</v>
      </c>
      <c r="Q283" s="469">
        <v>264.52272727272725</v>
      </c>
    </row>
    <row r="284" spans="1:17" ht="14.4" customHeight="1" x14ac:dyDescent="0.3">
      <c r="A284" s="464" t="s">
        <v>1879</v>
      </c>
      <c r="B284" s="465" t="s">
        <v>1769</v>
      </c>
      <c r="C284" s="465" t="s">
        <v>1756</v>
      </c>
      <c r="D284" s="465" t="s">
        <v>1799</v>
      </c>
      <c r="E284" s="465" t="s">
        <v>1796</v>
      </c>
      <c r="F284" s="468">
        <v>58</v>
      </c>
      <c r="G284" s="468">
        <v>8120</v>
      </c>
      <c r="H284" s="468">
        <v>1</v>
      </c>
      <c r="I284" s="468">
        <v>140</v>
      </c>
      <c r="J284" s="468">
        <v>61</v>
      </c>
      <c r="K284" s="468">
        <v>8601</v>
      </c>
      <c r="L284" s="468">
        <v>1.0592364532019705</v>
      </c>
      <c r="M284" s="468">
        <v>141</v>
      </c>
      <c r="N284" s="468">
        <v>53</v>
      </c>
      <c r="O284" s="468">
        <v>7473</v>
      </c>
      <c r="P284" s="517">
        <v>0.92032019704433499</v>
      </c>
      <c r="Q284" s="469">
        <v>141</v>
      </c>
    </row>
    <row r="285" spans="1:17" ht="14.4" customHeight="1" x14ac:dyDescent="0.3">
      <c r="A285" s="464" t="s">
        <v>1879</v>
      </c>
      <c r="B285" s="465" t="s">
        <v>1769</v>
      </c>
      <c r="C285" s="465" t="s">
        <v>1756</v>
      </c>
      <c r="D285" s="465" t="s">
        <v>1800</v>
      </c>
      <c r="E285" s="465" t="s">
        <v>1796</v>
      </c>
      <c r="F285" s="468">
        <v>517</v>
      </c>
      <c r="G285" s="468">
        <v>40326</v>
      </c>
      <c r="H285" s="468">
        <v>1</v>
      </c>
      <c r="I285" s="468">
        <v>78</v>
      </c>
      <c r="J285" s="468">
        <v>574</v>
      </c>
      <c r="K285" s="468">
        <v>44772</v>
      </c>
      <c r="L285" s="468">
        <v>1.1102514506769825</v>
      </c>
      <c r="M285" s="468">
        <v>78</v>
      </c>
      <c r="N285" s="468">
        <v>548</v>
      </c>
      <c r="O285" s="468">
        <v>42744</v>
      </c>
      <c r="P285" s="517">
        <v>1.0599613152804641</v>
      </c>
      <c r="Q285" s="469">
        <v>78</v>
      </c>
    </row>
    <row r="286" spans="1:17" ht="14.4" customHeight="1" x14ac:dyDescent="0.3">
      <c r="A286" s="464" t="s">
        <v>1879</v>
      </c>
      <c r="B286" s="465" t="s">
        <v>1769</v>
      </c>
      <c r="C286" s="465" t="s">
        <v>1756</v>
      </c>
      <c r="D286" s="465" t="s">
        <v>1801</v>
      </c>
      <c r="E286" s="465" t="s">
        <v>1802</v>
      </c>
      <c r="F286" s="468">
        <v>58</v>
      </c>
      <c r="G286" s="468">
        <v>17516</v>
      </c>
      <c r="H286" s="468">
        <v>1</v>
      </c>
      <c r="I286" s="468">
        <v>302</v>
      </c>
      <c r="J286" s="468">
        <v>61</v>
      </c>
      <c r="K286" s="468">
        <v>18483</v>
      </c>
      <c r="L286" s="468">
        <v>1.0552066681890844</v>
      </c>
      <c r="M286" s="468">
        <v>303</v>
      </c>
      <c r="N286" s="468">
        <v>53</v>
      </c>
      <c r="O286" s="468">
        <v>16185</v>
      </c>
      <c r="P286" s="517">
        <v>0.92401233158255314</v>
      </c>
      <c r="Q286" s="469">
        <v>305.37735849056605</v>
      </c>
    </row>
    <row r="287" spans="1:17" ht="14.4" customHeight="1" x14ac:dyDescent="0.3">
      <c r="A287" s="464" t="s">
        <v>1879</v>
      </c>
      <c r="B287" s="465" t="s">
        <v>1769</v>
      </c>
      <c r="C287" s="465" t="s">
        <v>1756</v>
      </c>
      <c r="D287" s="465" t="s">
        <v>1803</v>
      </c>
      <c r="E287" s="465" t="s">
        <v>1804</v>
      </c>
      <c r="F287" s="468">
        <v>6</v>
      </c>
      <c r="G287" s="468">
        <v>2916</v>
      </c>
      <c r="H287" s="468">
        <v>1</v>
      </c>
      <c r="I287" s="468">
        <v>486</v>
      </c>
      <c r="J287" s="468">
        <v>8</v>
      </c>
      <c r="K287" s="468">
        <v>3888</v>
      </c>
      <c r="L287" s="468">
        <v>1.3333333333333333</v>
      </c>
      <c r="M287" s="468">
        <v>486</v>
      </c>
      <c r="N287" s="468">
        <v>6</v>
      </c>
      <c r="O287" s="468">
        <v>2920</v>
      </c>
      <c r="P287" s="517">
        <v>1.0013717421124828</v>
      </c>
      <c r="Q287" s="469">
        <v>486.66666666666669</v>
      </c>
    </row>
    <row r="288" spans="1:17" ht="14.4" customHeight="1" x14ac:dyDescent="0.3">
      <c r="A288" s="464" t="s">
        <v>1879</v>
      </c>
      <c r="B288" s="465" t="s">
        <v>1769</v>
      </c>
      <c r="C288" s="465" t="s">
        <v>1756</v>
      </c>
      <c r="D288" s="465" t="s">
        <v>1805</v>
      </c>
      <c r="E288" s="465" t="s">
        <v>1806</v>
      </c>
      <c r="F288" s="468">
        <v>474</v>
      </c>
      <c r="G288" s="468">
        <v>75366</v>
      </c>
      <c r="H288" s="468">
        <v>1</v>
      </c>
      <c r="I288" s="468">
        <v>159</v>
      </c>
      <c r="J288" s="468">
        <v>533</v>
      </c>
      <c r="K288" s="468">
        <v>85280</v>
      </c>
      <c r="L288" s="468">
        <v>1.1315447283921132</v>
      </c>
      <c r="M288" s="468">
        <v>160</v>
      </c>
      <c r="N288" s="468">
        <v>501</v>
      </c>
      <c r="O288" s="468">
        <v>80526</v>
      </c>
      <c r="P288" s="517">
        <v>1.0684658864740069</v>
      </c>
      <c r="Q288" s="469">
        <v>160.73053892215569</v>
      </c>
    </row>
    <row r="289" spans="1:17" ht="14.4" customHeight="1" x14ac:dyDescent="0.3">
      <c r="A289" s="464" t="s">
        <v>1879</v>
      </c>
      <c r="B289" s="465" t="s">
        <v>1769</v>
      </c>
      <c r="C289" s="465" t="s">
        <v>1756</v>
      </c>
      <c r="D289" s="465" t="s">
        <v>1809</v>
      </c>
      <c r="E289" s="465" t="s">
        <v>1774</v>
      </c>
      <c r="F289" s="468">
        <v>1097</v>
      </c>
      <c r="G289" s="468">
        <v>76790</v>
      </c>
      <c r="H289" s="468">
        <v>1</v>
      </c>
      <c r="I289" s="468">
        <v>70</v>
      </c>
      <c r="J289" s="468">
        <v>1215</v>
      </c>
      <c r="K289" s="468">
        <v>85050</v>
      </c>
      <c r="L289" s="468">
        <v>1.1075660893345487</v>
      </c>
      <c r="M289" s="468">
        <v>70</v>
      </c>
      <c r="N289" s="468">
        <v>1142</v>
      </c>
      <c r="O289" s="468">
        <v>80781</v>
      </c>
      <c r="P289" s="517">
        <v>1.0519729131397317</v>
      </c>
      <c r="Q289" s="469">
        <v>70.736427320490364</v>
      </c>
    </row>
    <row r="290" spans="1:17" ht="14.4" customHeight="1" x14ac:dyDescent="0.3">
      <c r="A290" s="464" t="s">
        <v>1879</v>
      </c>
      <c r="B290" s="465" t="s">
        <v>1769</v>
      </c>
      <c r="C290" s="465" t="s">
        <v>1756</v>
      </c>
      <c r="D290" s="465" t="s">
        <v>1814</v>
      </c>
      <c r="E290" s="465" t="s">
        <v>1815</v>
      </c>
      <c r="F290" s="468"/>
      <c r="G290" s="468"/>
      <c r="H290" s="468"/>
      <c r="I290" s="468"/>
      <c r="J290" s="468"/>
      <c r="K290" s="468"/>
      <c r="L290" s="468"/>
      <c r="M290" s="468"/>
      <c r="N290" s="468">
        <v>9</v>
      </c>
      <c r="O290" s="468">
        <v>1971</v>
      </c>
      <c r="P290" s="517"/>
      <c r="Q290" s="469">
        <v>219</v>
      </c>
    </row>
    <row r="291" spans="1:17" ht="14.4" customHeight="1" x14ac:dyDescent="0.3">
      <c r="A291" s="464" t="s">
        <v>1879</v>
      </c>
      <c r="B291" s="465" t="s">
        <v>1769</v>
      </c>
      <c r="C291" s="465" t="s">
        <v>1756</v>
      </c>
      <c r="D291" s="465" t="s">
        <v>1816</v>
      </c>
      <c r="E291" s="465" t="s">
        <v>1817</v>
      </c>
      <c r="F291" s="468">
        <v>15</v>
      </c>
      <c r="G291" s="468">
        <v>17790</v>
      </c>
      <c r="H291" s="468">
        <v>1</v>
      </c>
      <c r="I291" s="468">
        <v>1186</v>
      </c>
      <c r="J291" s="468">
        <v>12</v>
      </c>
      <c r="K291" s="468">
        <v>14268</v>
      </c>
      <c r="L291" s="468">
        <v>0.80202360876897139</v>
      </c>
      <c r="M291" s="468">
        <v>1189</v>
      </c>
      <c r="N291" s="468">
        <v>13</v>
      </c>
      <c r="O291" s="468">
        <v>15493</v>
      </c>
      <c r="P291" s="517">
        <v>0.87088251826869023</v>
      </c>
      <c r="Q291" s="469">
        <v>1191.7692307692307</v>
      </c>
    </row>
    <row r="292" spans="1:17" ht="14.4" customHeight="1" x14ac:dyDescent="0.3">
      <c r="A292" s="464" t="s">
        <v>1879</v>
      </c>
      <c r="B292" s="465" t="s">
        <v>1769</v>
      </c>
      <c r="C292" s="465" t="s">
        <v>1756</v>
      </c>
      <c r="D292" s="465" t="s">
        <v>1818</v>
      </c>
      <c r="E292" s="465" t="s">
        <v>1819</v>
      </c>
      <c r="F292" s="468">
        <v>15</v>
      </c>
      <c r="G292" s="468">
        <v>1605</v>
      </c>
      <c r="H292" s="468">
        <v>1</v>
      </c>
      <c r="I292" s="468">
        <v>107</v>
      </c>
      <c r="J292" s="468">
        <v>11</v>
      </c>
      <c r="K292" s="468">
        <v>1188</v>
      </c>
      <c r="L292" s="468">
        <v>0.74018691588785046</v>
      </c>
      <c r="M292" s="468">
        <v>108</v>
      </c>
      <c r="N292" s="468">
        <v>15</v>
      </c>
      <c r="O292" s="468">
        <v>1632</v>
      </c>
      <c r="P292" s="517">
        <v>1.016822429906542</v>
      </c>
      <c r="Q292" s="469">
        <v>108.8</v>
      </c>
    </row>
    <row r="293" spans="1:17" ht="14.4" customHeight="1" x14ac:dyDescent="0.3">
      <c r="A293" s="464" t="s">
        <v>1879</v>
      </c>
      <c r="B293" s="465" t="s">
        <v>1769</v>
      </c>
      <c r="C293" s="465" t="s">
        <v>1756</v>
      </c>
      <c r="D293" s="465" t="s">
        <v>1822</v>
      </c>
      <c r="E293" s="465" t="s">
        <v>1823</v>
      </c>
      <c r="F293" s="468"/>
      <c r="G293" s="468"/>
      <c r="H293" s="468"/>
      <c r="I293" s="468"/>
      <c r="J293" s="468"/>
      <c r="K293" s="468"/>
      <c r="L293" s="468"/>
      <c r="M293" s="468"/>
      <c r="N293" s="468">
        <v>2</v>
      </c>
      <c r="O293" s="468">
        <v>644</v>
      </c>
      <c r="P293" s="517"/>
      <c r="Q293" s="469">
        <v>322</v>
      </c>
    </row>
    <row r="294" spans="1:17" ht="14.4" customHeight="1" x14ac:dyDescent="0.3">
      <c r="A294" s="464" t="s">
        <v>1879</v>
      </c>
      <c r="B294" s="465" t="s">
        <v>1769</v>
      </c>
      <c r="C294" s="465" t="s">
        <v>1756</v>
      </c>
      <c r="D294" s="465" t="s">
        <v>1828</v>
      </c>
      <c r="E294" s="465" t="s">
        <v>1829</v>
      </c>
      <c r="F294" s="468"/>
      <c r="G294" s="468"/>
      <c r="H294" s="468"/>
      <c r="I294" s="468"/>
      <c r="J294" s="468"/>
      <c r="K294" s="468"/>
      <c r="L294" s="468"/>
      <c r="M294" s="468"/>
      <c r="N294" s="468">
        <v>1</v>
      </c>
      <c r="O294" s="468">
        <v>1029</v>
      </c>
      <c r="P294" s="517"/>
      <c r="Q294" s="469">
        <v>1029</v>
      </c>
    </row>
    <row r="295" spans="1:17" ht="14.4" customHeight="1" x14ac:dyDescent="0.3">
      <c r="A295" s="464" t="s">
        <v>1879</v>
      </c>
      <c r="B295" s="465" t="s">
        <v>1769</v>
      </c>
      <c r="C295" s="465" t="s">
        <v>1756</v>
      </c>
      <c r="D295" s="465" t="s">
        <v>1830</v>
      </c>
      <c r="E295" s="465" t="s">
        <v>1831</v>
      </c>
      <c r="F295" s="468">
        <v>1</v>
      </c>
      <c r="G295" s="468">
        <v>290</v>
      </c>
      <c r="H295" s="468">
        <v>1</v>
      </c>
      <c r="I295" s="468">
        <v>290</v>
      </c>
      <c r="J295" s="468">
        <v>1</v>
      </c>
      <c r="K295" s="468">
        <v>291</v>
      </c>
      <c r="L295" s="468">
        <v>1.0034482758620689</v>
      </c>
      <c r="M295" s="468">
        <v>291</v>
      </c>
      <c r="N295" s="468"/>
      <c r="O295" s="468"/>
      <c r="P295" s="517"/>
      <c r="Q295" s="469"/>
    </row>
    <row r="296" spans="1:17" ht="14.4" customHeight="1" x14ac:dyDescent="0.3">
      <c r="A296" s="464" t="s">
        <v>1880</v>
      </c>
      <c r="B296" s="465" t="s">
        <v>1769</v>
      </c>
      <c r="C296" s="465" t="s">
        <v>1756</v>
      </c>
      <c r="D296" s="465" t="s">
        <v>1773</v>
      </c>
      <c r="E296" s="465" t="s">
        <v>1774</v>
      </c>
      <c r="F296" s="468">
        <v>41</v>
      </c>
      <c r="G296" s="468">
        <v>8282</v>
      </c>
      <c r="H296" s="468">
        <v>1</v>
      </c>
      <c r="I296" s="468">
        <v>202</v>
      </c>
      <c r="J296" s="468">
        <v>61</v>
      </c>
      <c r="K296" s="468">
        <v>12383</v>
      </c>
      <c r="L296" s="468">
        <v>1.4951702487321903</v>
      </c>
      <c r="M296" s="468">
        <v>203</v>
      </c>
      <c r="N296" s="468">
        <v>31</v>
      </c>
      <c r="O296" s="468">
        <v>6347</v>
      </c>
      <c r="P296" s="517">
        <v>0.7663607824197054</v>
      </c>
      <c r="Q296" s="469">
        <v>204.74193548387098</v>
      </c>
    </row>
    <row r="297" spans="1:17" ht="14.4" customHeight="1" x14ac:dyDescent="0.3">
      <c r="A297" s="464" t="s">
        <v>1880</v>
      </c>
      <c r="B297" s="465" t="s">
        <v>1769</v>
      </c>
      <c r="C297" s="465" t="s">
        <v>1756</v>
      </c>
      <c r="D297" s="465" t="s">
        <v>1775</v>
      </c>
      <c r="E297" s="465" t="s">
        <v>1774</v>
      </c>
      <c r="F297" s="468"/>
      <c r="G297" s="468"/>
      <c r="H297" s="468"/>
      <c r="I297" s="468"/>
      <c r="J297" s="468"/>
      <c r="K297" s="468"/>
      <c r="L297" s="468"/>
      <c r="M297" s="468"/>
      <c r="N297" s="468">
        <v>3</v>
      </c>
      <c r="O297" s="468">
        <v>255</v>
      </c>
      <c r="P297" s="517"/>
      <c r="Q297" s="469">
        <v>85</v>
      </c>
    </row>
    <row r="298" spans="1:17" ht="14.4" customHeight="1" x14ac:dyDescent="0.3">
      <c r="A298" s="464" t="s">
        <v>1880</v>
      </c>
      <c r="B298" s="465" t="s">
        <v>1769</v>
      </c>
      <c r="C298" s="465" t="s">
        <v>1756</v>
      </c>
      <c r="D298" s="465" t="s">
        <v>1776</v>
      </c>
      <c r="E298" s="465" t="s">
        <v>1777</v>
      </c>
      <c r="F298" s="468">
        <v>44</v>
      </c>
      <c r="G298" s="468">
        <v>12804</v>
      </c>
      <c r="H298" s="468">
        <v>1</v>
      </c>
      <c r="I298" s="468">
        <v>291</v>
      </c>
      <c r="J298" s="468">
        <v>97</v>
      </c>
      <c r="K298" s="468">
        <v>28324</v>
      </c>
      <c r="L298" s="468">
        <v>2.2121212121212119</v>
      </c>
      <c r="M298" s="468">
        <v>292</v>
      </c>
      <c r="N298" s="468"/>
      <c r="O298" s="468"/>
      <c r="P298" s="517"/>
      <c r="Q298" s="469"/>
    </row>
    <row r="299" spans="1:17" ht="14.4" customHeight="1" x14ac:dyDescent="0.3">
      <c r="A299" s="464" t="s">
        <v>1880</v>
      </c>
      <c r="B299" s="465" t="s">
        <v>1769</v>
      </c>
      <c r="C299" s="465" t="s">
        <v>1756</v>
      </c>
      <c r="D299" s="465" t="s">
        <v>1778</v>
      </c>
      <c r="E299" s="465" t="s">
        <v>1779</v>
      </c>
      <c r="F299" s="468">
        <v>3</v>
      </c>
      <c r="G299" s="468">
        <v>276</v>
      </c>
      <c r="H299" s="468">
        <v>1</v>
      </c>
      <c r="I299" s="468">
        <v>92</v>
      </c>
      <c r="J299" s="468"/>
      <c r="K299" s="468"/>
      <c r="L299" s="468"/>
      <c r="M299" s="468"/>
      <c r="N299" s="468"/>
      <c r="O299" s="468"/>
      <c r="P299" s="517"/>
      <c r="Q299" s="469"/>
    </row>
    <row r="300" spans="1:17" ht="14.4" customHeight="1" x14ac:dyDescent="0.3">
      <c r="A300" s="464" t="s">
        <v>1880</v>
      </c>
      <c r="B300" s="465" t="s">
        <v>1769</v>
      </c>
      <c r="C300" s="465" t="s">
        <v>1756</v>
      </c>
      <c r="D300" s="465" t="s">
        <v>1782</v>
      </c>
      <c r="E300" s="465" t="s">
        <v>1783</v>
      </c>
      <c r="F300" s="468">
        <v>30</v>
      </c>
      <c r="G300" s="468">
        <v>3990</v>
      </c>
      <c r="H300" s="468">
        <v>1</v>
      </c>
      <c r="I300" s="468">
        <v>133</v>
      </c>
      <c r="J300" s="468">
        <v>32</v>
      </c>
      <c r="K300" s="468">
        <v>4288</v>
      </c>
      <c r="L300" s="468">
        <v>1.07468671679198</v>
      </c>
      <c r="M300" s="468">
        <v>134</v>
      </c>
      <c r="N300" s="468">
        <v>15</v>
      </c>
      <c r="O300" s="468">
        <v>2022</v>
      </c>
      <c r="P300" s="517">
        <v>0.50676691729323309</v>
      </c>
      <c r="Q300" s="469">
        <v>134.80000000000001</v>
      </c>
    </row>
    <row r="301" spans="1:17" ht="14.4" customHeight="1" x14ac:dyDescent="0.3">
      <c r="A301" s="464" t="s">
        <v>1880</v>
      </c>
      <c r="B301" s="465" t="s">
        <v>1769</v>
      </c>
      <c r="C301" s="465" t="s">
        <v>1756</v>
      </c>
      <c r="D301" s="465" t="s">
        <v>1784</v>
      </c>
      <c r="E301" s="465" t="s">
        <v>1783</v>
      </c>
      <c r="F301" s="468"/>
      <c r="G301" s="468"/>
      <c r="H301" s="468"/>
      <c r="I301" s="468"/>
      <c r="J301" s="468">
        <v>1</v>
      </c>
      <c r="K301" s="468">
        <v>175</v>
      </c>
      <c r="L301" s="468"/>
      <c r="M301" s="468">
        <v>175</v>
      </c>
      <c r="N301" s="468">
        <v>1</v>
      </c>
      <c r="O301" s="468">
        <v>177</v>
      </c>
      <c r="P301" s="517"/>
      <c r="Q301" s="469">
        <v>177</v>
      </c>
    </row>
    <row r="302" spans="1:17" ht="14.4" customHeight="1" x14ac:dyDescent="0.3">
      <c r="A302" s="464" t="s">
        <v>1880</v>
      </c>
      <c r="B302" s="465" t="s">
        <v>1769</v>
      </c>
      <c r="C302" s="465" t="s">
        <v>1756</v>
      </c>
      <c r="D302" s="465" t="s">
        <v>1789</v>
      </c>
      <c r="E302" s="465" t="s">
        <v>1790</v>
      </c>
      <c r="F302" s="468">
        <v>2</v>
      </c>
      <c r="G302" s="468">
        <v>316</v>
      </c>
      <c r="H302" s="468">
        <v>1</v>
      </c>
      <c r="I302" s="468">
        <v>158</v>
      </c>
      <c r="J302" s="468">
        <v>4</v>
      </c>
      <c r="K302" s="468">
        <v>636</v>
      </c>
      <c r="L302" s="468">
        <v>2.0126582278481013</v>
      </c>
      <c r="M302" s="468">
        <v>159</v>
      </c>
      <c r="N302" s="468"/>
      <c r="O302" s="468"/>
      <c r="P302" s="517"/>
      <c r="Q302" s="469"/>
    </row>
    <row r="303" spans="1:17" ht="14.4" customHeight="1" x14ac:dyDescent="0.3">
      <c r="A303" s="464" t="s">
        <v>1880</v>
      </c>
      <c r="B303" s="465" t="s">
        <v>1769</v>
      </c>
      <c r="C303" s="465" t="s">
        <v>1756</v>
      </c>
      <c r="D303" s="465" t="s">
        <v>1793</v>
      </c>
      <c r="E303" s="465" t="s">
        <v>1794</v>
      </c>
      <c r="F303" s="468">
        <v>58</v>
      </c>
      <c r="G303" s="468">
        <v>928</v>
      </c>
      <c r="H303" s="468">
        <v>1</v>
      </c>
      <c r="I303" s="468">
        <v>16</v>
      </c>
      <c r="J303" s="468">
        <v>58</v>
      </c>
      <c r="K303" s="468">
        <v>928</v>
      </c>
      <c r="L303" s="468">
        <v>1</v>
      </c>
      <c r="M303" s="468">
        <v>16</v>
      </c>
      <c r="N303" s="468">
        <v>32</v>
      </c>
      <c r="O303" s="468">
        <v>512</v>
      </c>
      <c r="P303" s="517">
        <v>0.55172413793103448</v>
      </c>
      <c r="Q303" s="469">
        <v>16</v>
      </c>
    </row>
    <row r="304" spans="1:17" ht="14.4" customHeight="1" x14ac:dyDescent="0.3">
      <c r="A304" s="464" t="s">
        <v>1880</v>
      </c>
      <c r="B304" s="465" t="s">
        <v>1769</v>
      </c>
      <c r="C304" s="465" t="s">
        <v>1756</v>
      </c>
      <c r="D304" s="465" t="s">
        <v>1797</v>
      </c>
      <c r="E304" s="465" t="s">
        <v>1798</v>
      </c>
      <c r="F304" s="468">
        <v>16</v>
      </c>
      <c r="G304" s="468">
        <v>4176</v>
      </c>
      <c r="H304" s="468">
        <v>1</v>
      </c>
      <c r="I304" s="468">
        <v>261</v>
      </c>
      <c r="J304" s="468">
        <v>17</v>
      </c>
      <c r="K304" s="468">
        <v>4454</v>
      </c>
      <c r="L304" s="468">
        <v>1.0665708812260537</v>
      </c>
      <c r="M304" s="468">
        <v>262</v>
      </c>
      <c r="N304" s="468">
        <v>13</v>
      </c>
      <c r="O304" s="468">
        <v>3439</v>
      </c>
      <c r="P304" s="517">
        <v>0.82351532567049812</v>
      </c>
      <c r="Q304" s="469">
        <v>264.53846153846155</v>
      </c>
    </row>
    <row r="305" spans="1:17" ht="14.4" customHeight="1" x14ac:dyDescent="0.3">
      <c r="A305" s="464" t="s">
        <v>1880</v>
      </c>
      <c r="B305" s="465" t="s">
        <v>1769</v>
      </c>
      <c r="C305" s="465" t="s">
        <v>1756</v>
      </c>
      <c r="D305" s="465" t="s">
        <v>1799</v>
      </c>
      <c r="E305" s="465" t="s">
        <v>1796</v>
      </c>
      <c r="F305" s="468">
        <v>18</v>
      </c>
      <c r="G305" s="468">
        <v>2520</v>
      </c>
      <c r="H305" s="468">
        <v>1</v>
      </c>
      <c r="I305" s="468">
        <v>140</v>
      </c>
      <c r="J305" s="468">
        <v>20</v>
      </c>
      <c r="K305" s="468">
        <v>2820</v>
      </c>
      <c r="L305" s="468">
        <v>1.1190476190476191</v>
      </c>
      <c r="M305" s="468">
        <v>141</v>
      </c>
      <c r="N305" s="468">
        <v>13</v>
      </c>
      <c r="O305" s="468">
        <v>1833</v>
      </c>
      <c r="P305" s="517">
        <v>0.72738095238095235</v>
      </c>
      <c r="Q305" s="469">
        <v>141</v>
      </c>
    </row>
    <row r="306" spans="1:17" ht="14.4" customHeight="1" x14ac:dyDescent="0.3">
      <c r="A306" s="464" t="s">
        <v>1880</v>
      </c>
      <c r="B306" s="465" t="s">
        <v>1769</v>
      </c>
      <c r="C306" s="465" t="s">
        <v>1756</v>
      </c>
      <c r="D306" s="465" t="s">
        <v>1800</v>
      </c>
      <c r="E306" s="465" t="s">
        <v>1796</v>
      </c>
      <c r="F306" s="468">
        <v>30</v>
      </c>
      <c r="G306" s="468">
        <v>2340</v>
      </c>
      <c r="H306" s="468">
        <v>1</v>
      </c>
      <c r="I306" s="468">
        <v>78</v>
      </c>
      <c r="J306" s="468">
        <v>32</v>
      </c>
      <c r="K306" s="468">
        <v>2496</v>
      </c>
      <c r="L306" s="468">
        <v>1.0666666666666667</v>
      </c>
      <c r="M306" s="468">
        <v>78</v>
      </c>
      <c r="N306" s="468">
        <v>15</v>
      </c>
      <c r="O306" s="468">
        <v>1170</v>
      </c>
      <c r="P306" s="517">
        <v>0.5</v>
      </c>
      <c r="Q306" s="469">
        <v>78</v>
      </c>
    </row>
    <row r="307" spans="1:17" ht="14.4" customHeight="1" x14ac:dyDescent="0.3">
      <c r="A307" s="464" t="s">
        <v>1880</v>
      </c>
      <c r="B307" s="465" t="s">
        <v>1769</v>
      </c>
      <c r="C307" s="465" t="s">
        <v>1756</v>
      </c>
      <c r="D307" s="465" t="s">
        <v>1801</v>
      </c>
      <c r="E307" s="465" t="s">
        <v>1802</v>
      </c>
      <c r="F307" s="468">
        <v>18</v>
      </c>
      <c r="G307" s="468">
        <v>5436</v>
      </c>
      <c r="H307" s="468">
        <v>1</v>
      </c>
      <c r="I307" s="468">
        <v>302</v>
      </c>
      <c r="J307" s="468">
        <v>20</v>
      </c>
      <c r="K307" s="468">
        <v>6060</v>
      </c>
      <c r="L307" s="468">
        <v>1.1147902869757174</v>
      </c>
      <c r="M307" s="468">
        <v>303</v>
      </c>
      <c r="N307" s="468">
        <v>13</v>
      </c>
      <c r="O307" s="468">
        <v>3972</v>
      </c>
      <c r="P307" s="517">
        <v>0.73068432671081673</v>
      </c>
      <c r="Q307" s="469">
        <v>305.53846153846155</v>
      </c>
    </row>
    <row r="308" spans="1:17" ht="14.4" customHeight="1" x14ac:dyDescent="0.3">
      <c r="A308" s="464" t="s">
        <v>1880</v>
      </c>
      <c r="B308" s="465" t="s">
        <v>1769</v>
      </c>
      <c r="C308" s="465" t="s">
        <v>1756</v>
      </c>
      <c r="D308" s="465" t="s">
        <v>1805</v>
      </c>
      <c r="E308" s="465" t="s">
        <v>1806</v>
      </c>
      <c r="F308" s="468">
        <v>30</v>
      </c>
      <c r="G308" s="468">
        <v>4770</v>
      </c>
      <c r="H308" s="468">
        <v>1</v>
      </c>
      <c r="I308" s="468">
        <v>159</v>
      </c>
      <c r="J308" s="468">
        <v>32</v>
      </c>
      <c r="K308" s="468">
        <v>5120</v>
      </c>
      <c r="L308" s="468">
        <v>1.0733752620545074</v>
      </c>
      <c r="M308" s="468">
        <v>160</v>
      </c>
      <c r="N308" s="468">
        <v>16</v>
      </c>
      <c r="O308" s="468">
        <v>2572</v>
      </c>
      <c r="P308" s="517">
        <v>0.53920335429769395</v>
      </c>
      <c r="Q308" s="469">
        <v>160.75</v>
      </c>
    </row>
    <row r="309" spans="1:17" ht="14.4" customHeight="1" x14ac:dyDescent="0.3">
      <c r="A309" s="464" t="s">
        <v>1880</v>
      </c>
      <c r="B309" s="465" t="s">
        <v>1769</v>
      </c>
      <c r="C309" s="465" t="s">
        <v>1756</v>
      </c>
      <c r="D309" s="465" t="s">
        <v>1809</v>
      </c>
      <c r="E309" s="465" t="s">
        <v>1774</v>
      </c>
      <c r="F309" s="468">
        <v>74</v>
      </c>
      <c r="G309" s="468">
        <v>5180</v>
      </c>
      <c r="H309" s="468">
        <v>1</v>
      </c>
      <c r="I309" s="468">
        <v>70</v>
      </c>
      <c r="J309" s="468">
        <v>61</v>
      </c>
      <c r="K309" s="468">
        <v>4270</v>
      </c>
      <c r="L309" s="468">
        <v>0.82432432432432434</v>
      </c>
      <c r="M309" s="468">
        <v>70</v>
      </c>
      <c r="N309" s="468">
        <v>39</v>
      </c>
      <c r="O309" s="468">
        <v>2764</v>
      </c>
      <c r="P309" s="517">
        <v>0.53359073359073361</v>
      </c>
      <c r="Q309" s="469">
        <v>70.871794871794876</v>
      </c>
    </row>
    <row r="310" spans="1:17" ht="14.4" customHeight="1" x14ac:dyDescent="0.3">
      <c r="A310" s="464" t="s">
        <v>1880</v>
      </c>
      <c r="B310" s="465" t="s">
        <v>1769</v>
      </c>
      <c r="C310" s="465" t="s">
        <v>1756</v>
      </c>
      <c r="D310" s="465" t="s">
        <v>1814</v>
      </c>
      <c r="E310" s="465" t="s">
        <v>1815</v>
      </c>
      <c r="F310" s="468"/>
      <c r="G310" s="468"/>
      <c r="H310" s="468"/>
      <c r="I310" s="468"/>
      <c r="J310" s="468">
        <v>3</v>
      </c>
      <c r="K310" s="468">
        <v>648</v>
      </c>
      <c r="L310" s="468"/>
      <c r="M310" s="468">
        <v>216</v>
      </c>
      <c r="N310" s="468">
        <v>3</v>
      </c>
      <c r="O310" s="468">
        <v>657</v>
      </c>
      <c r="P310" s="517"/>
      <c r="Q310" s="469">
        <v>219</v>
      </c>
    </row>
    <row r="311" spans="1:17" ht="14.4" customHeight="1" x14ac:dyDescent="0.3">
      <c r="A311" s="464" t="s">
        <v>1880</v>
      </c>
      <c r="B311" s="465" t="s">
        <v>1769</v>
      </c>
      <c r="C311" s="465" t="s">
        <v>1756</v>
      </c>
      <c r="D311" s="465" t="s">
        <v>1816</v>
      </c>
      <c r="E311" s="465" t="s">
        <v>1817</v>
      </c>
      <c r="F311" s="468">
        <v>1</v>
      </c>
      <c r="G311" s="468">
        <v>1186</v>
      </c>
      <c r="H311" s="468">
        <v>1</v>
      </c>
      <c r="I311" s="468">
        <v>1186</v>
      </c>
      <c r="J311" s="468">
        <v>1</v>
      </c>
      <c r="K311" s="468">
        <v>1189</v>
      </c>
      <c r="L311" s="468">
        <v>1.0025295109612142</v>
      </c>
      <c r="M311" s="468">
        <v>1189</v>
      </c>
      <c r="N311" s="468"/>
      <c r="O311" s="468"/>
      <c r="P311" s="517"/>
      <c r="Q311" s="469"/>
    </row>
    <row r="312" spans="1:17" ht="14.4" customHeight="1" x14ac:dyDescent="0.3">
      <c r="A312" s="464" t="s">
        <v>1880</v>
      </c>
      <c r="B312" s="465" t="s">
        <v>1769</v>
      </c>
      <c r="C312" s="465" t="s">
        <v>1756</v>
      </c>
      <c r="D312" s="465" t="s">
        <v>1818</v>
      </c>
      <c r="E312" s="465" t="s">
        <v>1819</v>
      </c>
      <c r="F312" s="468">
        <v>1</v>
      </c>
      <c r="G312" s="468">
        <v>107</v>
      </c>
      <c r="H312" s="468">
        <v>1</v>
      </c>
      <c r="I312" s="468">
        <v>107</v>
      </c>
      <c r="J312" s="468">
        <v>2</v>
      </c>
      <c r="K312" s="468">
        <v>216</v>
      </c>
      <c r="L312" s="468">
        <v>2.0186915887850465</v>
      </c>
      <c r="M312" s="468">
        <v>108</v>
      </c>
      <c r="N312" s="468">
        <v>1</v>
      </c>
      <c r="O312" s="468">
        <v>109</v>
      </c>
      <c r="P312" s="517">
        <v>1.0186915887850467</v>
      </c>
      <c r="Q312" s="469">
        <v>109</v>
      </c>
    </row>
    <row r="313" spans="1:17" ht="14.4" customHeight="1" x14ac:dyDescent="0.3">
      <c r="A313" s="464" t="s">
        <v>1880</v>
      </c>
      <c r="B313" s="465" t="s">
        <v>1769</v>
      </c>
      <c r="C313" s="465" t="s">
        <v>1756</v>
      </c>
      <c r="D313" s="465" t="s">
        <v>1822</v>
      </c>
      <c r="E313" s="465" t="s">
        <v>1823</v>
      </c>
      <c r="F313" s="468"/>
      <c r="G313" s="468"/>
      <c r="H313" s="468"/>
      <c r="I313" s="468"/>
      <c r="J313" s="468"/>
      <c r="K313" s="468"/>
      <c r="L313" s="468"/>
      <c r="M313" s="468"/>
      <c r="N313" s="468">
        <v>1</v>
      </c>
      <c r="O313" s="468">
        <v>322</v>
      </c>
      <c r="P313" s="517"/>
      <c r="Q313" s="469">
        <v>322</v>
      </c>
    </row>
    <row r="314" spans="1:17" ht="14.4" customHeight="1" x14ac:dyDescent="0.3">
      <c r="A314" s="464" t="s">
        <v>1880</v>
      </c>
      <c r="B314" s="465" t="s">
        <v>1769</v>
      </c>
      <c r="C314" s="465" t="s">
        <v>1756</v>
      </c>
      <c r="D314" s="465" t="s">
        <v>1828</v>
      </c>
      <c r="E314" s="465" t="s">
        <v>1829</v>
      </c>
      <c r="F314" s="468"/>
      <c r="G314" s="468"/>
      <c r="H314" s="468"/>
      <c r="I314" s="468"/>
      <c r="J314" s="468">
        <v>1</v>
      </c>
      <c r="K314" s="468">
        <v>1020</v>
      </c>
      <c r="L314" s="468"/>
      <c r="M314" s="468">
        <v>1020</v>
      </c>
      <c r="N314" s="468"/>
      <c r="O314" s="468"/>
      <c r="P314" s="517"/>
      <c r="Q314" s="469"/>
    </row>
    <row r="315" spans="1:17" ht="14.4" customHeight="1" x14ac:dyDescent="0.3">
      <c r="A315" s="464" t="s">
        <v>1881</v>
      </c>
      <c r="B315" s="465" t="s">
        <v>1769</v>
      </c>
      <c r="C315" s="465" t="s">
        <v>1756</v>
      </c>
      <c r="D315" s="465" t="s">
        <v>1793</v>
      </c>
      <c r="E315" s="465" t="s">
        <v>1794</v>
      </c>
      <c r="F315" s="468"/>
      <c r="G315" s="468"/>
      <c r="H315" s="468"/>
      <c r="I315" s="468"/>
      <c r="J315" s="468">
        <v>1</v>
      </c>
      <c r="K315" s="468">
        <v>16</v>
      </c>
      <c r="L315" s="468"/>
      <c r="M315" s="468">
        <v>16</v>
      </c>
      <c r="N315" s="468"/>
      <c r="O315" s="468"/>
      <c r="P315" s="517"/>
      <c r="Q315" s="469"/>
    </row>
    <row r="316" spans="1:17" ht="14.4" customHeight="1" x14ac:dyDescent="0.3">
      <c r="A316" s="464" t="s">
        <v>1881</v>
      </c>
      <c r="B316" s="465" t="s">
        <v>1769</v>
      </c>
      <c r="C316" s="465" t="s">
        <v>1756</v>
      </c>
      <c r="D316" s="465" t="s">
        <v>1805</v>
      </c>
      <c r="E316" s="465" t="s">
        <v>1806</v>
      </c>
      <c r="F316" s="468"/>
      <c r="G316" s="468"/>
      <c r="H316" s="468"/>
      <c r="I316" s="468"/>
      <c r="J316" s="468">
        <v>2</v>
      </c>
      <c r="K316" s="468">
        <v>320</v>
      </c>
      <c r="L316" s="468"/>
      <c r="M316" s="468">
        <v>160</v>
      </c>
      <c r="N316" s="468"/>
      <c r="O316" s="468"/>
      <c r="P316" s="517"/>
      <c r="Q316" s="469"/>
    </row>
    <row r="317" spans="1:17" ht="14.4" customHeight="1" x14ac:dyDescent="0.3">
      <c r="A317" s="464" t="s">
        <v>1882</v>
      </c>
      <c r="B317" s="465" t="s">
        <v>1769</v>
      </c>
      <c r="C317" s="465" t="s">
        <v>1756</v>
      </c>
      <c r="D317" s="465" t="s">
        <v>1773</v>
      </c>
      <c r="E317" s="465" t="s">
        <v>1774</v>
      </c>
      <c r="F317" s="468">
        <v>52</v>
      </c>
      <c r="G317" s="468">
        <v>10504</v>
      </c>
      <c r="H317" s="468">
        <v>1</v>
      </c>
      <c r="I317" s="468">
        <v>202</v>
      </c>
      <c r="J317" s="468">
        <v>82</v>
      </c>
      <c r="K317" s="468">
        <v>16646</v>
      </c>
      <c r="L317" s="468">
        <v>1.5847296268088347</v>
      </c>
      <c r="M317" s="468">
        <v>203</v>
      </c>
      <c r="N317" s="468">
        <v>92</v>
      </c>
      <c r="O317" s="468">
        <v>18828</v>
      </c>
      <c r="P317" s="517">
        <v>1.7924600152322925</v>
      </c>
      <c r="Q317" s="469">
        <v>204.65217391304347</v>
      </c>
    </row>
    <row r="318" spans="1:17" ht="14.4" customHeight="1" x14ac:dyDescent="0.3">
      <c r="A318" s="464" t="s">
        <v>1882</v>
      </c>
      <c r="B318" s="465" t="s">
        <v>1769</v>
      </c>
      <c r="C318" s="465" t="s">
        <v>1756</v>
      </c>
      <c r="D318" s="465" t="s">
        <v>1775</v>
      </c>
      <c r="E318" s="465" t="s">
        <v>1774</v>
      </c>
      <c r="F318" s="468"/>
      <c r="G318" s="468"/>
      <c r="H318" s="468"/>
      <c r="I318" s="468"/>
      <c r="J318" s="468"/>
      <c r="K318" s="468"/>
      <c r="L318" s="468"/>
      <c r="M318" s="468"/>
      <c r="N318" s="468">
        <v>1</v>
      </c>
      <c r="O318" s="468">
        <v>85</v>
      </c>
      <c r="P318" s="517"/>
      <c r="Q318" s="469">
        <v>85</v>
      </c>
    </row>
    <row r="319" spans="1:17" ht="14.4" customHeight="1" x14ac:dyDescent="0.3">
      <c r="A319" s="464" t="s">
        <v>1882</v>
      </c>
      <c r="B319" s="465" t="s">
        <v>1769</v>
      </c>
      <c r="C319" s="465" t="s">
        <v>1756</v>
      </c>
      <c r="D319" s="465" t="s">
        <v>1776</v>
      </c>
      <c r="E319" s="465" t="s">
        <v>1777</v>
      </c>
      <c r="F319" s="468">
        <v>231</v>
      </c>
      <c r="G319" s="468">
        <v>67221</v>
      </c>
      <c r="H319" s="468">
        <v>1</v>
      </c>
      <c r="I319" s="468">
        <v>291</v>
      </c>
      <c r="J319" s="468">
        <v>58</v>
      </c>
      <c r="K319" s="468">
        <v>16936</v>
      </c>
      <c r="L319" s="468">
        <v>0.25194507668734473</v>
      </c>
      <c r="M319" s="468">
        <v>292</v>
      </c>
      <c r="N319" s="468">
        <v>207</v>
      </c>
      <c r="O319" s="468">
        <v>60826</v>
      </c>
      <c r="P319" s="517">
        <v>0.9048660388866574</v>
      </c>
      <c r="Q319" s="469">
        <v>293.84541062801935</v>
      </c>
    </row>
    <row r="320" spans="1:17" ht="14.4" customHeight="1" x14ac:dyDescent="0.3">
      <c r="A320" s="464" t="s">
        <v>1882</v>
      </c>
      <c r="B320" s="465" t="s">
        <v>1769</v>
      </c>
      <c r="C320" s="465" t="s">
        <v>1756</v>
      </c>
      <c r="D320" s="465" t="s">
        <v>1778</v>
      </c>
      <c r="E320" s="465" t="s">
        <v>1779</v>
      </c>
      <c r="F320" s="468">
        <v>9</v>
      </c>
      <c r="G320" s="468">
        <v>828</v>
      </c>
      <c r="H320" s="468">
        <v>1</v>
      </c>
      <c r="I320" s="468">
        <v>92</v>
      </c>
      <c r="J320" s="468">
        <v>3</v>
      </c>
      <c r="K320" s="468">
        <v>279</v>
      </c>
      <c r="L320" s="468">
        <v>0.33695652173913043</v>
      </c>
      <c r="M320" s="468">
        <v>93</v>
      </c>
      <c r="N320" s="468">
        <v>6</v>
      </c>
      <c r="O320" s="468">
        <v>561</v>
      </c>
      <c r="P320" s="517">
        <v>0.67753623188405798</v>
      </c>
      <c r="Q320" s="469">
        <v>93.5</v>
      </c>
    </row>
    <row r="321" spans="1:17" ht="14.4" customHeight="1" x14ac:dyDescent="0.3">
      <c r="A321" s="464" t="s">
        <v>1882</v>
      </c>
      <c r="B321" s="465" t="s">
        <v>1769</v>
      </c>
      <c r="C321" s="465" t="s">
        <v>1756</v>
      </c>
      <c r="D321" s="465" t="s">
        <v>1780</v>
      </c>
      <c r="E321" s="465" t="s">
        <v>1781</v>
      </c>
      <c r="F321" s="468">
        <v>1</v>
      </c>
      <c r="G321" s="468">
        <v>219</v>
      </c>
      <c r="H321" s="468">
        <v>1</v>
      </c>
      <c r="I321" s="468">
        <v>219</v>
      </c>
      <c r="J321" s="468"/>
      <c r="K321" s="468"/>
      <c r="L321" s="468"/>
      <c r="M321" s="468"/>
      <c r="N321" s="468">
        <v>1</v>
      </c>
      <c r="O321" s="468">
        <v>223</v>
      </c>
      <c r="P321" s="517">
        <v>1.0182648401826484</v>
      </c>
      <c r="Q321" s="469">
        <v>223</v>
      </c>
    </row>
    <row r="322" spans="1:17" ht="14.4" customHeight="1" x14ac:dyDescent="0.3">
      <c r="A322" s="464" t="s">
        <v>1882</v>
      </c>
      <c r="B322" s="465" t="s">
        <v>1769</v>
      </c>
      <c r="C322" s="465" t="s">
        <v>1756</v>
      </c>
      <c r="D322" s="465" t="s">
        <v>1782</v>
      </c>
      <c r="E322" s="465" t="s">
        <v>1783</v>
      </c>
      <c r="F322" s="468">
        <v>81</v>
      </c>
      <c r="G322" s="468">
        <v>10773</v>
      </c>
      <c r="H322" s="468">
        <v>1</v>
      </c>
      <c r="I322" s="468">
        <v>133</v>
      </c>
      <c r="J322" s="468">
        <v>98</v>
      </c>
      <c r="K322" s="468">
        <v>13132</v>
      </c>
      <c r="L322" s="468">
        <v>1.2189733593242364</v>
      </c>
      <c r="M322" s="468">
        <v>134</v>
      </c>
      <c r="N322" s="468">
        <v>82</v>
      </c>
      <c r="O322" s="468">
        <v>11049</v>
      </c>
      <c r="P322" s="517">
        <v>1.025619604566973</v>
      </c>
      <c r="Q322" s="469">
        <v>134.7439024390244</v>
      </c>
    </row>
    <row r="323" spans="1:17" ht="14.4" customHeight="1" x14ac:dyDescent="0.3">
      <c r="A323" s="464" t="s">
        <v>1882</v>
      </c>
      <c r="B323" s="465" t="s">
        <v>1769</v>
      </c>
      <c r="C323" s="465" t="s">
        <v>1756</v>
      </c>
      <c r="D323" s="465" t="s">
        <v>1784</v>
      </c>
      <c r="E323" s="465" t="s">
        <v>1783</v>
      </c>
      <c r="F323" s="468"/>
      <c r="G323" s="468"/>
      <c r="H323" s="468"/>
      <c r="I323" s="468"/>
      <c r="J323" s="468"/>
      <c r="K323" s="468"/>
      <c r="L323" s="468"/>
      <c r="M323" s="468"/>
      <c r="N323" s="468">
        <v>1</v>
      </c>
      <c r="O323" s="468">
        <v>177</v>
      </c>
      <c r="P323" s="517"/>
      <c r="Q323" s="469">
        <v>177</v>
      </c>
    </row>
    <row r="324" spans="1:17" ht="14.4" customHeight="1" x14ac:dyDescent="0.3">
      <c r="A324" s="464" t="s">
        <v>1882</v>
      </c>
      <c r="B324" s="465" t="s">
        <v>1769</v>
      </c>
      <c r="C324" s="465" t="s">
        <v>1756</v>
      </c>
      <c r="D324" s="465" t="s">
        <v>1785</v>
      </c>
      <c r="E324" s="465" t="s">
        <v>1786</v>
      </c>
      <c r="F324" s="468">
        <v>2</v>
      </c>
      <c r="G324" s="468">
        <v>1218</v>
      </c>
      <c r="H324" s="468">
        <v>1</v>
      </c>
      <c r="I324" s="468">
        <v>609</v>
      </c>
      <c r="J324" s="468">
        <v>1</v>
      </c>
      <c r="K324" s="468">
        <v>612</v>
      </c>
      <c r="L324" s="468">
        <v>0.50246305418719217</v>
      </c>
      <c r="M324" s="468">
        <v>612</v>
      </c>
      <c r="N324" s="468">
        <v>1</v>
      </c>
      <c r="O324" s="468">
        <v>618</v>
      </c>
      <c r="P324" s="517">
        <v>0.5073891625615764</v>
      </c>
      <c r="Q324" s="469">
        <v>618</v>
      </c>
    </row>
    <row r="325" spans="1:17" ht="14.4" customHeight="1" x14ac:dyDescent="0.3">
      <c r="A325" s="464" t="s">
        <v>1882</v>
      </c>
      <c r="B325" s="465" t="s">
        <v>1769</v>
      </c>
      <c r="C325" s="465" t="s">
        <v>1756</v>
      </c>
      <c r="D325" s="465" t="s">
        <v>1787</v>
      </c>
      <c r="E325" s="465" t="s">
        <v>1788</v>
      </c>
      <c r="F325" s="468"/>
      <c r="G325" s="468"/>
      <c r="H325" s="468"/>
      <c r="I325" s="468"/>
      <c r="J325" s="468"/>
      <c r="K325" s="468"/>
      <c r="L325" s="468"/>
      <c r="M325" s="468"/>
      <c r="N325" s="468">
        <v>1</v>
      </c>
      <c r="O325" s="468">
        <v>591</v>
      </c>
      <c r="P325" s="517"/>
      <c r="Q325" s="469">
        <v>591</v>
      </c>
    </row>
    <row r="326" spans="1:17" ht="14.4" customHeight="1" x14ac:dyDescent="0.3">
      <c r="A326" s="464" t="s">
        <v>1882</v>
      </c>
      <c r="B326" s="465" t="s">
        <v>1769</v>
      </c>
      <c r="C326" s="465" t="s">
        <v>1756</v>
      </c>
      <c r="D326" s="465" t="s">
        <v>1789</v>
      </c>
      <c r="E326" s="465" t="s">
        <v>1790</v>
      </c>
      <c r="F326" s="468">
        <v>9</v>
      </c>
      <c r="G326" s="468">
        <v>1422</v>
      </c>
      <c r="H326" s="468">
        <v>1</v>
      </c>
      <c r="I326" s="468">
        <v>158</v>
      </c>
      <c r="J326" s="468">
        <v>2</v>
      </c>
      <c r="K326" s="468">
        <v>318</v>
      </c>
      <c r="L326" s="468">
        <v>0.22362869198312235</v>
      </c>
      <c r="M326" s="468">
        <v>159</v>
      </c>
      <c r="N326" s="468">
        <v>9</v>
      </c>
      <c r="O326" s="468">
        <v>1439</v>
      </c>
      <c r="P326" s="517">
        <v>1.0119549929676512</v>
      </c>
      <c r="Q326" s="469">
        <v>159.88888888888889</v>
      </c>
    </row>
    <row r="327" spans="1:17" ht="14.4" customHeight="1" x14ac:dyDescent="0.3">
      <c r="A327" s="464" t="s">
        <v>1882</v>
      </c>
      <c r="B327" s="465" t="s">
        <v>1769</v>
      </c>
      <c r="C327" s="465" t="s">
        <v>1756</v>
      </c>
      <c r="D327" s="465" t="s">
        <v>1791</v>
      </c>
      <c r="E327" s="465" t="s">
        <v>1792</v>
      </c>
      <c r="F327" s="468"/>
      <c r="G327" s="468"/>
      <c r="H327" s="468"/>
      <c r="I327" s="468"/>
      <c r="J327" s="468"/>
      <c r="K327" s="468"/>
      <c r="L327" s="468"/>
      <c r="M327" s="468"/>
      <c r="N327" s="468">
        <v>2</v>
      </c>
      <c r="O327" s="468">
        <v>766</v>
      </c>
      <c r="P327" s="517"/>
      <c r="Q327" s="469">
        <v>383</v>
      </c>
    </row>
    <row r="328" spans="1:17" ht="14.4" customHeight="1" x14ac:dyDescent="0.3">
      <c r="A328" s="464" t="s">
        <v>1882</v>
      </c>
      <c r="B328" s="465" t="s">
        <v>1769</v>
      </c>
      <c r="C328" s="465" t="s">
        <v>1756</v>
      </c>
      <c r="D328" s="465" t="s">
        <v>1793</v>
      </c>
      <c r="E328" s="465" t="s">
        <v>1794</v>
      </c>
      <c r="F328" s="468">
        <v>233</v>
      </c>
      <c r="G328" s="468">
        <v>3728</v>
      </c>
      <c r="H328" s="468">
        <v>1</v>
      </c>
      <c r="I328" s="468">
        <v>16</v>
      </c>
      <c r="J328" s="468">
        <v>272</v>
      </c>
      <c r="K328" s="468">
        <v>4352</v>
      </c>
      <c r="L328" s="468">
        <v>1.1673819742489271</v>
      </c>
      <c r="M328" s="468">
        <v>16</v>
      </c>
      <c r="N328" s="468">
        <v>236</v>
      </c>
      <c r="O328" s="468">
        <v>3776</v>
      </c>
      <c r="P328" s="517">
        <v>1.0128755364806867</v>
      </c>
      <c r="Q328" s="469">
        <v>16</v>
      </c>
    </row>
    <row r="329" spans="1:17" ht="14.4" customHeight="1" x14ac:dyDescent="0.3">
      <c r="A329" s="464" t="s">
        <v>1882</v>
      </c>
      <c r="B329" s="465" t="s">
        <v>1769</v>
      </c>
      <c r="C329" s="465" t="s">
        <v>1756</v>
      </c>
      <c r="D329" s="465" t="s">
        <v>1797</v>
      </c>
      <c r="E329" s="465" t="s">
        <v>1798</v>
      </c>
      <c r="F329" s="468">
        <v>16</v>
      </c>
      <c r="G329" s="468">
        <v>4176</v>
      </c>
      <c r="H329" s="468">
        <v>1</v>
      </c>
      <c r="I329" s="468">
        <v>261</v>
      </c>
      <c r="J329" s="468">
        <v>20</v>
      </c>
      <c r="K329" s="468">
        <v>5240</v>
      </c>
      <c r="L329" s="468">
        <v>1.2547892720306513</v>
      </c>
      <c r="M329" s="468">
        <v>262</v>
      </c>
      <c r="N329" s="468">
        <v>24</v>
      </c>
      <c r="O329" s="468">
        <v>6345</v>
      </c>
      <c r="P329" s="517">
        <v>1.5193965517241379</v>
      </c>
      <c r="Q329" s="469">
        <v>264.375</v>
      </c>
    </row>
    <row r="330" spans="1:17" ht="14.4" customHeight="1" x14ac:dyDescent="0.3">
      <c r="A330" s="464" t="s">
        <v>1882</v>
      </c>
      <c r="B330" s="465" t="s">
        <v>1769</v>
      </c>
      <c r="C330" s="465" t="s">
        <v>1756</v>
      </c>
      <c r="D330" s="465" t="s">
        <v>1799</v>
      </c>
      <c r="E330" s="465" t="s">
        <v>1796</v>
      </c>
      <c r="F330" s="468">
        <v>21</v>
      </c>
      <c r="G330" s="468">
        <v>2940</v>
      </c>
      <c r="H330" s="468">
        <v>1</v>
      </c>
      <c r="I330" s="468">
        <v>140</v>
      </c>
      <c r="J330" s="468">
        <v>20</v>
      </c>
      <c r="K330" s="468">
        <v>2820</v>
      </c>
      <c r="L330" s="468">
        <v>0.95918367346938771</v>
      </c>
      <c r="M330" s="468">
        <v>141</v>
      </c>
      <c r="N330" s="468">
        <v>24</v>
      </c>
      <c r="O330" s="468">
        <v>3384</v>
      </c>
      <c r="P330" s="517">
        <v>1.1510204081632653</v>
      </c>
      <c r="Q330" s="469">
        <v>141</v>
      </c>
    </row>
    <row r="331" spans="1:17" ht="14.4" customHeight="1" x14ac:dyDescent="0.3">
      <c r="A331" s="464" t="s">
        <v>1882</v>
      </c>
      <c r="B331" s="465" t="s">
        <v>1769</v>
      </c>
      <c r="C331" s="465" t="s">
        <v>1756</v>
      </c>
      <c r="D331" s="465" t="s">
        <v>1800</v>
      </c>
      <c r="E331" s="465" t="s">
        <v>1796</v>
      </c>
      <c r="F331" s="468">
        <v>81</v>
      </c>
      <c r="G331" s="468">
        <v>6318</v>
      </c>
      <c r="H331" s="468">
        <v>1</v>
      </c>
      <c r="I331" s="468">
        <v>78</v>
      </c>
      <c r="J331" s="468">
        <v>98</v>
      </c>
      <c r="K331" s="468">
        <v>7644</v>
      </c>
      <c r="L331" s="468">
        <v>1.2098765432098766</v>
      </c>
      <c r="M331" s="468">
        <v>78</v>
      </c>
      <c r="N331" s="468">
        <v>82</v>
      </c>
      <c r="O331" s="468">
        <v>6396</v>
      </c>
      <c r="P331" s="517">
        <v>1.0123456790123457</v>
      </c>
      <c r="Q331" s="469">
        <v>78</v>
      </c>
    </row>
    <row r="332" spans="1:17" ht="14.4" customHeight="1" x14ac:dyDescent="0.3">
      <c r="A332" s="464" t="s">
        <v>1882</v>
      </c>
      <c r="B332" s="465" t="s">
        <v>1769</v>
      </c>
      <c r="C332" s="465" t="s">
        <v>1756</v>
      </c>
      <c r="D332" s="465" t="s">
        <v>1801</v>
      </c>
      <c r="E332" s="465" t="s">
        <v>1802</v>
      </c>
      <c r="F332" s="468">
        <v>21</v>
      </c>
      <c r="G332" s="468">
        <v>6342</v>
      </c>
      <c r="H332" s="468">
        <v>1</v>
      </c>
      <c r="I332" s="468">
        <v>302</v>
      </c>
      <c r="J332" s="468">
        <v>20</v>
      </c>
      <c r="K332" s="468">
        <v>6060</v>
      </c>
      <c r="L332" s="468">
        <v>0.95553453169347213</v>
      </c>
      <c r="M332" s="468">
        <v>303</v>
      </c>
      <c r="N332" s="468">
        <v>24</v>
      </c>
      <c r="O332" s="468">
        <v>7329</v>
      </c>
      <c r="P332" s="517">
        <v>1.1556291390728477</v>
      </c>
      <c r="Q332" s="469">
        <v>305.375</v>
      </c>
    </row>
    <row r="333" spans="1:17" ht="14.4" customHeight="1" x14ac:dyDescent="0.3">
      <c r="A333" s="464" t="s">
        <v>1882</v>
      </c>
      <c r="B333" s="465" t="s">
        <v>1769</v>
      </c>
      <c r="C333" s="465" t="s">
        <v>1756</v>
      </c>
      <c r="D333" s="465" t="s">
        <v>1803</v>
      </c>
      <c r="E333" s="465" t="s">
        <v>1804</v>
      </c>
      <c r="F333" s="468"/>
      <c r="G333" s="468"/>
      <c r="H333" s="468"/>
      <c r="I333" s="468"/>
      <c r="J333" s="468"/>
      <c r="K333" s="468"/>
      <c r="L333" s="468"/>
      <c r="M333" s="468"/>
      <c r="N333" s="468">
        <v>2</v>
      </c>
      <c r="O333" s="468">
        <v>974</v>
      </c>
      <c r="P333" s="517"/>
      <c r="Q333" s="469">
        <v>487</v>
      </c>
    </row>
    <row r="334" spans="1:17" ht="14.4" customHeight="1" x14ac:dyDescent="0.3">
      <c r="A334" s="464" t="s">
        <v>1882</v>
      </c>
      <c r="B334" s="465" t="s">
        <v>1769</v>
      </c>
      <c r="C334" s="465" t="s">
        <v>1756</v>
      </c>
      <c r="D334" s="465" t="s">
        <v>1805</v>
      </c>
      <c r="E334" s="465" t="s">
        <v>1806</v>
      </c>
      <c r="F334" s="468">
        <v>175</v>
      </c>
      <c r="G334" s="468">
        <v>27825</v>
      </c>
      <c r="H334" s="468">
        <v>1</v>
      </c>
      <c r="I334" s="468">
        <v>159</v>
      </c>
      <c r="J334" s="468">
        <v>215</v>
      </c>
      <c r="K334" s="468">
        <v>34400</v>
      </c>
      <c r="L334" s="468">
        <v>1.2362982929020665</v>
      </c>
      <c r="M334" s="468">
        <v>160</v>
      </c>
      <c r="N334" s="468">
        <v>181</v>
      </c>
      <c r="O334" s="468">
        <v>29082</v>
      </c>
      <c r="P334" s="517">
        <v>1.0451752021563343</v>
      </c>
      <c r="Q334" s="469">
        <v>160.67403314917127</v>
      </c>
    </row>
    <row r="335" spans="1:17" ht="14.4" customHeight="1" x14ac:dyDescent="0.3">
      <c r="A335" s="464" t="s">
        <v>1882</v>
      </c>
      <c r="B335" s="465" t="s">
        <v>1769</v>
      </c>
      <c r="C335" s="465" t="s">
        <v>1756</v>
      </c>
      <c r="D335" s="465" t="s">
        <v>1809</v>
      </c>
      <c r="E335" s="465" t="s">
        <v>1774</v>
      </c>
      <c r="F335" s="468">
        <v>167</v>
      </c>
      <c r="G335" s="468">
        <v>11690</v>
      </c>
      <c r="H335" s="468">
        <v>1</v>
      </c>
      <c r="I335" s="468">
        <v>70</v>
      </c>
      <c r="J335" s="468">
        <v>222</v>
      </c>
      <c r="K335" s="468">
        <v>15540</v>
      </c>
      <c r="L335" s="468">
        <v>1.3293413173652695</v>
      </c>
      <c r="M335" s="468">
        <v>70</v>
      </c>
      <c r="N335" s="468">
        <v>203</v>
      </c>
      <c r="O335" s="468">
        <v>14361</v>
      </c>
      <c r="P335" s="517">
        <v>1.228485885372113</v>
      </c>
      <c r="Q335" s="469">
        <v>70.743842364532014</v>
      </c>
    </row>
    <row r="336" spans="1:17" ht="14.4" customHeight="1" x14ac:dyDescent="0.3">
      <c r="A336" s="464" t="s">
        <v>1882</v>
      </c>
      <c r="B336" s="465" t="s">
        <v>1769</v>
      </c>
      <c r="C336" s="465" t="s">
        <v>1756</v>
      </c>
      <c r="D336" s="465" t="s">
        <v>1814</v>
      </c>
      <c r="E336" s="465" t="s">
        <v>1815</v>
      </c>
      <c r="F336" s="468"/>
      <c r="G336" s="468"/>
      <c r="H336" s="468"/>
      <c r="I336" s="468"/>
      <c r="J336" s="468"/>
      <c r="K336" s="468"/>
      <c r="L336" s="468"/>
      <c r="M336" s="468"/>
      <c r="N336" s="468">
        <v>1</v>
      </c>
      <c r="O336" s="468">
        <v>219</v>
      </c>
      <c r="P336" s="517"/>
      <c r="Q336" s="469">
        <v>219</v>
      </c>
    </row>
    <row r="337" spans="1:17" ht="14.4" customHeight="1" x14ac:dyDescent="0.3">
      <c r="A337" s="464" t="s">
        <v>1882</v>
      </c>
      <c r="B337" s="465" t="s">
        <v>1769</v>
      </c>
      <c r="C337" s="465" t="s">
        <v>1756</v>
      </c>
      <c r="D337" s="465" t="s">
        <v>1816</v>
      </c>
      <c r="E337" s="465" t="s">
        <v>1817</v>
      </c>
      <c r="F337" s="468">
        <v>5</v>
      </c>
      <c r="G337" s="468">
        <v>5930</v>
      </c>
      <c r="H337" s="468">
        <v>1</v>
      </c>
      <c r="I337" s="468">
        <v>1186</v>
      </c>
      <c r="J337" s="468">
        <v>1</v>
      </c>
      <c r="K337" s="468">
        <v>1189</v>
      </c>
      <c r="L337" s="468">
        <v>0.20050590219224285</v>
      </c>
      <c r="M337" s="468">
        <v>1189</v>
      </c>
      <c r="N337" s="468">
        <v>9</v>
      </c>
      <c r="O337" s="468">
        <v>10733</v>
      </c>
      <c r="P337" s="517">
        <v>1.8099494097807758</v>
      </c>
      <c r="Q337" s="469">
        <v>1192.5555555555557</v>
      </c>
    </row>
    <row r="338" spans="1:17" ht="14.4" customHeight="1" x14ac:dyDescent="0.3">
      <c r="A338" s="464" t="s">
        <v>1882</v>
      </c>
      <c r="B338" s="465" t="s">
        <v>1769</v>
      </c>
      <c r="C338" s="465" t="s">
        <v>1756</v>
      </c>
      <c r="D338" s="465" t="s">
        <v>1818</v>
      </c>
      <c r="E338" s="465" t="s">
        <v>1819</v>
      </c>
      <c r="F338" s="468">
        <v>8</v>
      </c>
      <c r="G338" s="468">
        <v>856</v>
      </c>
      <c r="H338" s="468">
        <v>1</v>
      </c>
      <c r="I338" s="468">
        <v>107</v>
      </c>
      <c r="J338" s="468">
        <v>1</v>
      </c>
      <c r="K338" s="468">
        <v>108</v>
      </c>
      <c r="L338" s="468">
        <v>0.12616822429906541</v>
      </c>
      <c r="M338" s="468">
        <v>108</v>
      </c>
      <c r="N338" s="468">
        <v>7</v>
      </c>
      <c r="O338" s="468">
        <v>762</v>
      </c>
      <c r="P338" s="517">
        <v>0.89018691588785048</v>
      </c>
      <c r="Q338" s="469">
        <v>108.85714285714286</v>
      </c>
    </row>
    <row r="339" spans="1:17" ht="14.4" customHeight="1" x14ac:dyDescent="0.3">
      <c r="A339" s="464" t="s">
        <v>1882</v>
      </c>
      <c r="B339" s="465" t="s">
        <v>1769</v>
      </c>
      <c r="C339" s="465" t="s">
        <v>1756</v>
      </c>
      <c r="D339" s="465" t="s">
        <v>1822</v>
      </c>
      <c r="E339" s="465" t="s">
        <v>1823</v>
      </c>
      <c r="F339" s="468"/>
      <c r="G339" s="468"/>
      <c r="H339" s="468"/>
      <c r="I339" s="468"/>
      <c r="J339" s="468"/>
      <c r="K339" s="468"/>
      <c r="L339" s="468"/>
      <c r="M339" s="468"/>
      <c r="N339" s="468">
        <v>1</v>
      </c>
      <c r="O339" s="468">
        <v>322</v>
      </c>
      <c r="P339" s="517"/>
      <c r="Q339" s="469">
        <v>322</v>
      </c>
    </row>
    <row r="340" spans="1:17" ht="14.4" customHeight="1" x14ac:dyDescent="0.3">
      <c r="A340" s="464" t="s">
        <v>1882</v>
      </c>
      <c r="B340" s="465" t="s">
        <v>1769</v>
      </c>
      <c r="C340" s="465" t="s">
        <v>1756</v>
      </c>
      <c r="D340" s="465" t="s">
        <v>1828</v>
      </c>
      <c r="E340" s="465" t="s">
        <v>1829</v>
      </c>
      <c r="F340" s="468"/>
      <c r="G340" s="468"/>
      <c r="H340" s="468"/>
      <c r="I340" s="468"/>
      <c r="J340" s="468"/>
      <c r="K340" s="468"/>
      <c r="L340" s="468"/>
      <c r="M340" s="468"/>
      <c r="N340" s="468">
        <v>1</v>
      </c>
      <c r="O340" s="468">
        <v>1029</v>
      </c>
      <c r="P340" s="517"/>
      <c r="Q340" s="469">
        <v>1029</v>
      </c>
    </row>
    <row r="341" spans="1:17" ht="14.4" customHeight="1" x14ac:dyDescent="0.3">
      <c r="A341" s="464" t="s">
        <v>1882</v>
      </c>
      <c r="B341" s="465" t="s">
        <v>1769</v>
      </c>
      <c r="C341" s="465" t="s">
        <v>1756</v>
      </c>
      <c r="D341" s="465" t="s">
        <v>1830</v>
      </c>
      <c r="E341" s="465" t="s">
        <v>1831</v>
      </c>
      <c r="F341" s="468">
        <v>1</v>
      </c>
      <c r="G341" s="468">
        <v>290</v>
      </c>
      <c r="H341" s="468">
        <v>1</v>
      </c>
      <c r="I341" s="468">
        <v>290</v>
      </c>
      <c r="J341" s="468"/>
      <c r="K341" s="468"/>
      <c r="L341" s="468"/>
      <c r="M341" s="468"/>
      <c r="N341" s="468">
        <v>1</v>
      </c>
      <c r="O341" s="468">
        <v>293</v>
      </c>
      <c r="P341" s="517">
        <v>1.0103448275862068</v>
      </c>
      <c r="Q341" s="469">
        <v>293</v>
      </c>
    </row>
    <row r="342" spans="1:17" ht="14.4" customHeight="1" x14ac:dyDescent="0.3">
      <c r="A342" s="464" t="s">
        <v>1883</v>
      </c>
      <c r="B342" s="465" t="s">
        <v>1769</v>
      </c>
      <c r="C342" s="465" t="s">
        <v>1756</v>
      </c>
      <c r="D342" s="465" t="s">
        <v>1773</v>
      </c>
      <c r="E342" s="465" t="s">
        <v>1774</v>
      </c>
      <c r="F342" s="468">
        <v>35</v>
      </c>
      <c r="G342" s="468">
        <v>7070</v>
      </c>
      <c r="H342" s="468">
        <v>1</v>
      </c>
      <c r="I342" s="468">
        <v>202</v>
      </c>
      <c r="J342" s="468">
        <v>66</v>
      </c>
      <c r="K342" s="468">
        <v>13398</v>
      </c>
      <c r="L342" s="468">
        <v>1.895049504950495</v>
      </c>
      <c r="M342" s="468">
        <v>203</v>
      </c>
      <c r="N342" s="468">
        <v>35</v>
      </c>
      <c r="O342" s="468">
        <v>7171</v>
      </c>
      <c r="P342" s="517">
        <v>1.0142857142857142</v>
      </c>
      <c r="Q342" s="469">
        <v>204.88571428571427</v>
      </c>
    </row>
    <row r="343" spans="1:17" ht="14.4" customHeight="1" x14ac:dyDescent="0.3">
      <c r="A343" s="464" t="s">
        <v>1883</v>
      </c>
      <c r="B343" s="465" t="s">
        <v>1769</v>
      </c>
      <c r="C343" s="465" t="s">
        <v>1756</v>
      </c>
      <c r="D343" s="465" t="s">
        <v>1776</v>
      </c>
      <c r="E343" s="465" t="s">
        <v>1777</v>
      </c>
      <c r="F343" s="468">
        <v>38</v>
      </c>
      <c r="G343" s="468">
        <v>11058</v>
      </c>
      <c r="H343" s="468">
        <v>1</v>
      </c>
      <c r="I343" s="468">
        <v>291</v>
      </c>
      <c r="J343" s="468">
        <v>141</v>
      </c>
      <c r="K343" s="468">
        <v>41172</v>
      </c>
      <c r="L343" s="468">
        <v>3.7232772653282691</v>
      </c>
      <c r="M343" s="468">
        <v>292</v>
      </c>
      <c r="N343" s="468">
        <v>16</v>
      </c>
      <c r="O343" s="468">
        <v>4672</v>
      </c>
      <c r="P343" s="517">
        <v>0.42249954783866883</v>
      </c>
      <c r="Q343" s="469">
        <v>292</v>
      </c>
    </row>
    <row r="344" spans="1:17" ht="14.4" customHeight="1" x14ac:dyDescent="0.3">
      <c r="A344" s="464" t="s">
        <v>1883</v>
      </c>
      <c r="B344" s="465" t="s">
        <v>1769</v>
      </c>
      <c r="C344" s="465" t="s">
        <v>1756</v>
      </c>
      <c r="D344" s="465" t="s">
        <v>1778</v>
      </c>
      <c r="E344" s="465" t="s">
        <v>1779</v>
      </c>
      <c r="F344" s="468">
        <v>3</v>
      </c>
      <c r="G344" s="468">
        <v>276</v>
      </c>
      <c r="H344" s="468">
        <v>1</v>
      </c>
      <c r="I344" s="468">
        <v>92</v>
      </c>
      <c r="J344" s="468">
        <v>6</v>
      </c>
      <c r="K344" s="468">
        <v>558</v>
      </c>
      <c r="L344" s="468">
        <v>2.0217391304347827</v>
      </c>
      <c r="M344" s="468">
        <v>93</v>
      </c>
      <c r="N344" s="468">
        <v>3</v>
      </c>
      <c r="O344" s="468">
        <v>282</v>
      </c>
      <c r="P344" s="517">
        <v>1.0217391304347827</v>
      </c>
      <c r="Q344" s="469">
        <v>94</v>
      </c>
    </row>
    <row r="345" spans="1:17" ht="14.4" customHeight="1" x14ac:dyDescent="0.3">
      <c r="A345" s="464" t="s">
        <v>1883</v>
      </c>
      <c r="B345" s="465" t="s">
        <v>1769</v>
      </c>
      <c r="C345" s="465" t="s">
        <v>1756</v>
      </c>
      <c r="D345" s="465" t="s">
        <v>1780</v>
      </c>
      <c r="E345" s="465" t="s">
        <v>1781</v>
      </c>
      <c r="F345" s="468">
        <v>1</v>
      </c>
      <c r="G345" s="468">
        <v>219</v>
      </c>
      <c r="H345" s="468">
        <v>1</v>
      </c>
      <c r="I345" s="468">
        <v>219</v>
      </c>
      <c r="J345" s="468"/>
      <c r="K345" s="468"/>
      <c r="L345" s="468"/>
      <c r="M345" s="468"/>
      <c r="N345" s="468"/>
      <c r="O345" s="468"/>
      <c r="P345" s="517"/>
      <c r="Q345" s="469"/>
    </row>
    <row r="346" spans="1:17" ht="14.4" customHeight="1" x14ac:dyDescent="0.3">
      <c r="A346" s="464" t="s">
        <v>1883</v>
      </c>
      <c r="B346" s="465" t="s">
        <v>1769</v>
      </c>
      <c r="C346" s="465" t="s">
        <v>1756</v>
      </c>
      <c r="D346" s="465" t="s">
        <v>1782</v>
      </c>
      <c r="E346" s="465" t="s">
        <v>1783</v>
      </c>
      <c r="F346" s="468">
        <v>4</v>
      </c>
      <c r="G346" s="468">
        <v>532</v>
      </c>
      <c r="H346" s="468">
        <v>1</v>
      </c>
      <c r="I346" s="468">
        <v>133</v>
      </c>
      <c r="J346" s="468">
        <v>12</v>
      </c>
      <c r="K346" s="468">
        <v>1608</v>
      </c>
      <c r="L346" s="468">
        <v>3.0225563909774436</v>
      </c>
      <c r="M346" s="468">
        <v>134</v>
      </c>
      <c r="N346" s="468">
        <v>12</v>
      </c>
      <c r="O346" s="468">
        <v>1617</v>
      </c>
      <c r="P346" s="517">
        <v>3.0394736842105261</v>
      </c>
      <c r="Q346" s="469">
        <v>134.75</v>
      </c>
    </row>
    <row r="347" spans="1:17" ht="14.4" customHeight="1" x14ac:dyDescent="0.3">
      <c r="A347" s="464" t="s">
        <v>1883</v>
      </c>
      <c r="B347" s="465" t="s">
        <v>1769</v>
      </c>
      <c r="C347" s="465" t="s">
        <v>1756</v>
      </c>
      <c r="D347" s="465" t="s">
        <v>1784</v>
      </c>
      <c r="E347" s="465" t="s">
        <v>1783</v>
      </c>
      <c r="F347" s="468"/>
      <c r="G347" s="468"/>
      <c r="H347" s="468"/>
      <c r="I347" s="468"/>
      <c r="J347" s="468">
        <v>1</v>
      </c>
      <c r="K347" s="468">
        <v>175</v>
      </c>
      <c r="L347" s="468"/>
      <c r="M347" s="468">
        <v>175</v>
      </c>
      <c r="N347" s="468"/>
      <c r="O347" s="468"/>
      <c r="P347" s="517"/>
      <c r="Q347" s="469"/>
    </row>
    <row r="348" spans="1:17" ht="14.4" customHeight="1" x14ac:dyDescent="0.3">
      <c r="A348" s="464" t="s">
        <v>1883</v>
      </c>
      <c r="B348" s="465" t="s">
        <v>1769</v>
      </c>
      <c r="C348" s="465" t="s">
        <v>1756</v>
      </c>
      <c r="D348" s="465" t="s">
        <v>1785</v>
      </c>
      <c r="E348" s="465" t="s">
        <v>1786</v>
      </c>
      <c r="F348" s="468">
        <v>1</v>
      </c>
      <c r="G348" s="468">
        <v>609</v>
      </c>
      <c r="H348" s="468">
        <v>1</v>
      </c>
      <c r="I348" s="468">
        <v>609</v>
      </c>
      <c r="J348" s="468">
        <v>2</v>
      </c>
      <c r="K348" s="468">
        <v>1224</v>
      </c>
      <c r="L348" s="468">
        <v>2.0098522167487687</v>
      </c>
      <c r="M348" s="468">
        <v>612</v>
      </c>
      <c r="N348" s="468"/>
      <c r="O348" s="468"/>
      <c r="P348" s="517"/>
      <c r="Q348" s="469"/>
    </row>
    <row r="349" spans="1:17" ht="14.4" customHeight="1" x14ac:dyDescent="0.3">
      <c r="A349" s="464" t="s">
        <v>1883</v>
      </c>
      <c r="B349" s="465" t="s">
        <v>1769</v>
      </c>
      <c r="C349" s="465" t="s">
        <v>1756</v>
      </c>
      <c r="D349" s="465" t="s">
        <v>1789</v>
      </c>
      <c r="E349" s="465" t="s">
        <v>1790</v>
      </c>
      <c r="F349" s="468">
        <v>1</v>
      </c>
      <c r="G349" s="468">
        <v>158</v>
      </c>
      <c r="H349" s="468">
        <v>1</v>
      </c>
      <c r="I349" s="468">
        <v>158</v>
      </c>
      <c r="J349" s="468">
        <v>6</v>
      </c>
      <c r="K349" s="468">
        <v>954</v>
      </c>
      <c r="L349" s="468">
        <v>6.037974683544304</v>
      </c>
      <c r="M349" s="468">
        <v>159</v>
      </c>
      <c r="N349" s="468">
        <v>1</v>
      </c>
      <c r="O349" s="468">
        <v>159</v>
      </c>
      <c r="P349" s="517">
        <v>1.0063291139240507</v>
      </c>
      <c r="Q349" s="469">
        <v>159</v>
      </c>
    </row>
    <row r="350" spans="1:17" ht="14.4" customHeight="1" x14ac:dyDescent="0.3">
      <c r="A350" s="464" t="s">
        <v>1883</v>
      </c>
      <c r="B350" s="465" t="s">
        <v>1769</v>
      </c>
      <c r="C350" s="465" t="s">
        <v>1756</v>
      </c>
      <c r="D350" s="465" t="s">
        <v>1793</v>
      </c>
      <c r="E350" s="465" t="s">
        <v>1794</v>
      </c>
      <c r="F350" s="468">
        <v>36</v>
      </c>
      <c r="G350" s="468">
        <v>576</v>
      </c>
      <c r="H350" s="468">
        <v>1</v>
      </c>
      <c r="I350" s="468">
        <v>16</v>
      </c>
      <c r="J350" s="468">
        <v>50</v>
      </c>
      <c r="K350" s="468">
        <v>800</v>
      </c>
      <c r="L350" s="468">
        <v>1.3888888888888888</v>
      </c>
      <c r="M350" s="468">
        <v>16</v>
      </c>
      <c r="N350" s="468">
        <v>39</v>
      </c>
      <c r="O350" s="468">
        <v>624</v>
      </c>
      <c r="P350" s="517">
        <v>1.0833333333333333</v>
      </c>
      <c r="Q350" s="469">
        <v>16</v>
      </c>
    </row>
    <row r="351" spans="1:17" ht="14.4" customHeight="1" x14ac:dyDescent="0.3">
      <c r="A351" s="464" t="s">
        <v>1883</v>
      </c>
      <c r="B351" s="465" t="s">
        <v>1769</v>
      </c>
      <c r="C351" s="465" t="s">
        <v>1756</v>
      </c>
      <c r="D351" s="465" t="s">
        <v>1797</v>
      </c>
      <c r="E351" s="465" t="s">
        <v>1798</v>
      </c>
      <c r="F351" s="468">
        <v>11</v>
      </c>
      <c r="G351" s="468">
        <v>2871</v>
      </c>
      <c r="H351" s="468">
        <v>1</v>
      </c>
      <c r="I351" s="468">
        <v>261</v>
      </c>
      <c r="J351" s="468">
        <v>19</v>
      </c>
      <c r="K351" s="468">
        <v>4978</v>
      </c>
      <c r="L351" s="468">
        <v>1.7338906304423545</v>
      </c>
      <c r="M351" s="468">
        <v>262</v>
      </c>
      <c r="N351" s="468">
        <v>12</v>
      </c>
      <c r="O351" s="468">
        <v>3177</v>
      </c>
      <c r="P351" s="517">
        <v>1.1065830721003134</v>
      </c>
      <c r="Q351" s="469">
        <v>264.75</v>
      </c>
    </row>
    <row r="352" spans="1:17" ht="14.4" customHeight="1" x14ac:dyDescent="0.3">
      <c r="A352" s="464" t="s">
        <v>1883</v>
      </c>
      <c r="B352" s="465" t="s">
        <v>1769</v>
      </c>
      <c r="C352" s="465" t="s">
        <v>1756</v>
      </c>
      <c r="D352" s="465" t="s">
        <v>1799</v>
      </c>
      <c r="E352" s="465" t="s">
        <v>1796</v>
      </c>
      <c r="F352" s="468">
        <v>11</v>
      </c>
      <c r="G352" s="468">
        <v>1540</v>
      </c>
      <c r="H352" s="468">
        <v>1</v>
      </c>
      <c r="I352" s="468">
        <v>140</v>
      </c>
      <c r="J352" s="468">
        <v>18</v>
      </c>
      <c r="K352" s="468">
        <v>2538</v>
      </c>
      <c r="L352" s="468">
        <v>1.648051948051948</v>
      </c>
      <c r="M352" s="468">
        <v>141</v>
      </c>
      <c r="N352" s="468">
        <v>13</v>
      </c>
      <c r="O352" s="468">
        <v>1833</v>
      </c>
      <c r="P352" s="517">
        <v>1.1902597402597404</v>
      </c>
      <c r="Q352" s="469">
        <v>141</v>
      </c>
    </row>
    <row r="353" spans="1:17" ht="14.4" customHeight="1" x14ac:dyDescent="0.3">
      <c r="A353" s="464" t="s">
        <v>1883</v>
      </c>
      <c r="B353" s="465" t="s">
        <v>1769</v>
      </c>
      <c r="C353" s="465" t="s">
        <v>1756</v>
      </c>
      <c r="D353" s="465" t="s">
        <v>1800</v>
      </c>
      <c r="E353" s="465" t="s">
        <v>1796</v>
      </c>
      <c r="F353" s="468">
        <v>4</v>
      </c>
      <c r="G353" s="468">
        <v>312</v>
      </c>
      <c r="H353" s="468">
        <v>1</v>
      </c>
      <c r="I353" s="468">
        <v>78</v>
      </c>
      <c r="J353" s="468">
        <v>12</v>
      </c>
      <c r="K353" s="468">
        <v>936</v>
      </c>
      <c r="L353" s="468">
        <v>3</v>
      </c>
      <c r="M353" s="468">
        <v>78</v>
      </c>
      <c r="N353" s="468">
        <v>12</v>
      </c>
      <c r="O353" s="468">
        <v>936</v>
      </c>
      <c r="P353" s="517">
        <v>3</v>
      </c>
      <c r="Q353" s="469">
        <v>78</v>
      </c>
    </row>
    <row r="354" spans="1:17" ht="14.4" customHeight="1" x14ac:dyDescent="0.3">
      <c r="A354" s="464" t="s">
        <v>1883</v>
      </c>
      <c r="B354" s="465" t="s">
        <v>1769</v>
      </c>
      <c r="C354" s="465" t="s">
        <v>1756</v>
      </c>
      <c r="D354" s="465" t="s">
        <v>1801</v>
      </c>
      <c r="E354" s="465" t="s">
        <v>1802</v>
      </c>
      <c r="F354" s="468">
        <v>11</v>
      </c>
      <c r="G354" s="468">
        <v>3322</v>
      </c>
      <c r="H354" s="468">
        <v>1</v>
      </c>
      <c r="I354" s="468">
        <v>302</v>
      </c>
      <c r="J354" s="468">
        <v>18</v>
      </c>
      <c r="K354" s="468">
        <v>5454</v>
      </c>
      <c r="L354" s="468">
        <v>1.641782059000602</v>
      </c>
      <c r="M354" s="468">
        <v>303</v>
      </c>
      <c r="N354" s="468">
        <v>13</v>
      </c>
      <c r="O354" s="468">
        <v>3975</v>
      </c>
      <c r="P354" s="517">
        <v>1.1965683323299217</v>
      </c>
      <c r="Q354" s="469">
        <v>305.76923076923077</v>
      </c>
    </row>
    <row r="355" spans="1:17" ht="14.4" customHeight="1" x14ac:dyDescent="0.3">
      <c r="A355" s="464" t="s">
        <v>1883</v>
      </c>
      <c r="B355" s="465" t="s">
        <v>1769</v>
      </c>
      <c r="C355" s="465" t="s">
        <v>1756</v>
      </c>
      <c r="D355" s="465" t="s">
        <v>1805</v>
      </c>
      <c r="E355" s="465" t="s">
        <v>1806</v>
      </c>
      <c r="F355" s="468">
        <v>21</v>
      </c>
      <c r="G355" s="468">
        <v>3339</v>
      </c>
      <c r="H355" s="468">
        <v>1</v>
      </c>
      <c r="I355" s="468">
        <v>159</v>
      </c>
      <c r="J355" s="468">
        <v>26</v>
      </c>
      <c r="K355" s="468">
        <v>4160</v>
      </c>
      <c r="L355" s="468">
        <v>1.2458820005989817</v>
      </c>
      <c r="M355" s="468">
        <v>160</v>
      </c>
      <c r="N355" s="468">
        <v>20</v>
      </c>
      <c r="O355" s="468">
        <v>3213</v>
      </c>
      <c r="P355" s="517">
        <v>0.96226415094339623</v>
      </c>
      <c r="Q355" s="469">
        <v>160.65</v>
      </c>
    </row>
    <row r="356" spans="1:17" ht="14.4" customHeight="1" x14ac:dyDescent="0.3">
      <c r="A356" s="464" t="s">
        <v>1883</v>
      </c>
      <c r="B356" s="465" t="s">
        <v>1769</v>
      </c>
      <c r="C356" s="465" t="s">
        <v>1756</v>
      </c>
      <c r="D356" s="465" t="s">
        <v>1809</v>
      </c>
      <c r="E356" s="465" t="s">
        <v>1774</v>
      </c>
      <c r="F356" s="468">
        <v>7</v>
      </c>
      <c r="G356" s="468">
        <v>490</v>
      </c>
      <c r="H356" s="468">
        <v>1</v>
      </c>
      <c r="I356" s="468">
        <v>70</v>
      </c>
      <c r="J356" s="468">
        <v>11</v>
      </c>
      <c r="K356" s="468">
        <v>770</v>
      </c>
      <c r="L356" s="468">
        <v>1.5714285714285714</v>
      </c>
      <c r="M356" s="468">
        <v>70</v>
      </c>
      <c r="N356" s="468">
        <v>21</v>
      </c>
      <c r="O356" s="468">
        <v>1485</v>
      </c>
      <c r="P356" s="517">
        <v>3.0306122448979593</v>
      </c>
      <c r="Q356" s="469">
        <v>70.714285714285708</v>
      </c>
    </row>
    <row r="357" spans="1:17" ht="14.4" customHeight="1" x14ac:dyDescent="0.3">
      <c r="A357" s="464" t="s">
        <v>1883</v>
      </c>
      <c r="B357" s="465" t="s">
        <v>1769</v>
      </c>
      <c r="C357" s="465" t="s">
        <v>1756</v>
      </c>
      <c r="D357" s="465" t="s">
        <v>1814</v>
      </c>
      <c r="E357" s="465" t="s">
        <v>1815</v>
      </c>
      <c r="F357" s="468">
        <v>1</v>
      </c>
      <c r="G357" s="468">
        <v>215</v>
      </c>
      <c r="H357" s="468">
        <v>1</v>
      </c>
      <c r="I357" s="468">
        <v>215</v>
      </c>
      <c r="J357" s="468">
        <v>2</v>
      </c>
      <c r="K357" s="468">
        <v>432</v>
      </c>
      <c r="L357" s="468">
        <v>2.0093023255813955</v>
      </c>
      <c r="M357" s="468">
        <v>216</v>
      </c>
      <c r="N357" s="468"/>
      <c r="O357" s="468"/>
      <c r="P357" s="517"/>
      <c r="Q357" s="469"/>
    </row>
    <row r="358" spans="1:17" ht="14.4" customHeight="1" x14ac:dyDescent="0.3">
      <c r="A358" s="464" t="s">
        <v>1883</v>
      </c>
      <c r="B358" s="465" t="s">
        <v>1769</v>
      </c>
      <c r="C358" s="465" t="s">
        <v>1756</v>
      </c>
      <c r="D358" s="465" t="s">
        <v>1816</v>
      </c>
      <c r="E358" s="465" t="s">
        <v>1817</v>
      </c>
      <c r="F358" s="468">
        <v>1</v>
      </c>
      <c r="G358" s="468">
        <v>1186</v>
      </c>
      <c r="H358" s="468">
        <v>1</v>
      </c>
      <c r="I358" s="468">
        <v>1186</v>
      </c>
      <c r="J358" s="468">
        <v>4</v>
      </c>
      <c r="K358" s="468">
        <v>4756</v>
      </c>
      <c r="L358" s="468">
        <v>4.0101180438448569</v>
      </c>
      <c r="M358" s="468">
        <v>1189</v>
      </c>
      <c r="N358" s="468">
        <v>1</v>
      </c>
      <c r="O358" s="468">
        <v>1189</v>
      </c>
      <c r="P358" s="517">
        <v>1.0025295109612142</v>
      </c>
      <c r="Q358" s="469">
        <v>1189</v>
      </c>
    </row>
    <row r="359" spans="1:17" ht="14.4" customHeight="1" x14ac:dyDescent="0.3">
      <c r="A359" s="464" t="s">
        <v>1883</v>
      </c>
      <c r="B359" s="465" t="s">
        <v>1769</v>
      </c>
      <c r="C359" s="465" t="s">
        <v>1756</v>
      </c>
      <c r="D359" s="465" t="s">
        <v>1818</v>
      </c>
      <c r="E359" s="465" t="s">
        <v>1819</v>
      </c>
      <c r="F359" s="468">
        <v>2</v>
      </c>
      <c r="G359" s="468">
        <v>214</v>
      </c>
      <c r="H359" s="468">
        <v>1</v>
      </c>
      <c r="I359" s="468">
        <v>107</v>
      </c>
      <c r="J359" s="468">
        <v>5</v>
      </c>
      <c r="K359" s="468">
        <v>540</v>
      </c>
      <c r="L359" s="468">
        <v>2.5233644859813085</v>
      </c>
      <c r="M359" s="468">
        <v>108</v>
      </c>
      <c r="N359" s="468">
        <v>2</v>
      </c>
      <c r="O359" s="468">
        <v>217</v>
      </c>
      <c r="P359" s="517">
        <v>1.014018691588785</v>
      </c>
      <c r="Q359" s="469">
        <v>108.5</v>
      </c>
    </row>
    <row r="360" spans="1:17" ht="14.4" customHeight="1" x14ac:dyDescent="0.3">
      <c r="A360" s="464" t="s">
        <v>1883</v>
      </c>
      <c r="B360" s="465" t="s">
        <v>1769</v>
      </c>
      <c r="C360" s="465" t="s">
        <v>1756</v>
      </c>
      <c r="D360" s="465" t="s">
        <v>1822</v>
      </c>
      <c r="E360" s="465" t="s">
        <v>1823</v>
      </c>
      <c r="F360" s="468">
        <v>1</v>
      </c>
      <c r="G360" s="468">
        <v>318</v>
      </c>
      <c r="H360" s="468">
        <v>1</v>
      </c>
      <c r="I360" s="468">
        <v>318</v>
      </c>
      <c r="J360" s="468"/>
      <c r="K360" s="468"/>
      <c r="L360" s="468"/>
      <c r="M360" s="468"/>
      <c r="N360" s="468"/>
      <c r="O360" s="468"/>
      <c r="P360" s="517"/>
      <c r="Q360" s="469"/>
    </row>
    <row r="361" spans="1:17" ht="14.4" customHeight="1" x14ac:dyDescent="0.3">
      <c r="A361" s="464" t="s">
        <v>1883</v>
      </c>
      <c r="B361" s="465" t="s">
        <v>1769</v>
      </c>
      <c r="C361" s="465" t="s">
        <v>1756</v>
      </c>
      <c r="D361" s="465" t="s">
        <v>1828</v>
      </c>
      <c r="E361" s="465" t="s">
        <v>1829</v>
      </c>
      <c r="F361" s="468"/>
      <c r="G361" s="468"/>
      <c r="H361" s="468"/>
      <c r="I361" s="468"/>
      <c r="J361" s="468">
        <v>1</v>
      </c>
      <c r="K361" s="468">
        <v>1020</v>
      </c>
      <c r="L361" s="468"/>
      <c r="M361" s="468">
        <v>1020</v>
      </c>
      <c r="N361" s="468"/>
      <c r="O361" s="468"/>
      <c r="P361" s="517"/>
      <c r="Q361" s="469"/>
    </row>
    <row r="362" spans="1:17" ht="14.4" customHeight="1" x14ac:dyDescent="0.3">
      <c r="A362" s="464" t="s">
        <v>1883</v>
      </c>
      <c r="B362" s="465" t="s">
        <v>1769</v>
      </c>
      <c r="C362" s="465" t="s">
        <v>1756</v>
      </c>
      <c r="D362" s="465" t="s">
        <v>1830</v>
      </c>
      <c r="E362" s="465" t="s">
        <v>1831</v>
      </c>
      <c r="F362" s="468"/>
      <c r="G362" s="468"/>
      <c r="H362" s="468"/>
      <c r="I362" s="468"/>
      <c r="J362" s="468">
        <v>1</v>
      </c>
      <c r="K362" s="468">
        <v>291</v>
      </c>
      <c r="L362" s="468"/>
      <c r="M362" s="468">
        <v>291</v>
      </c>
      <c r="N362" s="468"/>
      <c r="O362" s="468"/>
      <c r="P362" s="517"/>
      <c r="Q362" s="469"/>
    </row>
    <row r="363" spans="1:17" ht="14.4" customHeight="1" x14ac:dyDescent="0.3">
      <c r="A363" s="464" t="s">
        <v>1883</v>
      </c>
      <c r="B363" s="465" t="s">
        <v>1769</v>
      </c>
      <c r="C363" s="465" t="s">
        <v>1756</v>
      </c>
      <c r="D363" s="465" t="s">
        <v>1834</v>
      </c>
      <c r="E363" s="465" t="s">
        <v>1835</v>
      </c>
      <c r="F363" s="468"/>
      <c r="G363" s="468"/>
      <c r="H363" s="468"/>
      <c r="I363" s="468"/>
      <c r="J363" s="468">
        <v>1</v>
      </c>
      <c r="K363" s="468">
        <v>26</v>
      </c>
      <c r="L363" s="468"/>
      <c r="M363" s="468">
        <v>26</v>
      </c>
      <c r="N363" s="468"/>
      <c r="O363" s="468"/>
      <c r="P363" s="517"/>
      <c r="Q363" s="469"/>
    </row>
    <row r="364" spans="1:17" ht="14.4" customHeight="1" x14ac:dyDescent="0.3">
      <c r="A364" s="464" t="s">
        <v>1884</v>
      </c>
      <c r="B364" s="465" t="s">
        <v>1769</v>
      </c>
      <c r="C364" s="465" t="s">
        <v>1756</v>
      </c>
      <c r="D364" s="465" t="s">
        <v>1784</v>
      </c>
      <c r="E364" s="465" t="s">
        <v>1783</v>
      </c>
      <c r="F364" s="468">
        <v>2</v>
      </c>
      <c r="G364" s="468">
        <v>348</v>
      </c>
      <c r="H364" s="468">
        <v>1</v>
      </c>
      <c r="I364" s="468">
        <v>174</v>
      </c>
      <c r="J364" s="468"/>
      <c r="K364" s="468"/>
      <c r="L364" s="468"/>
      <c r="M364" s="468"/>
      <c r="N364" s="468"/>
      <c r="O364" s="468"/>
      <c r="P364" s="517"/>
      <c r="Q364" s="469"/>
    </row>
    <row r="365" spans="1:17" ht="14.4" customHeight="1" x14ac:dyDescent="0.3">
      <c r="A365" s="464" t="s">
        <v>1884</v>
      </c>
      <c r="B365" s="465" t="s">
        <v>1769</v>
      </c>
      <c r="C365" s="465" t="s">
        <v>1756</v>
      </c>
      <c r="D365" s="465" t="s">
        <v>1787</v>
      </c>
      <c r="E365" s="465" t="s">
        <v>1788</v>
      </c>
      <c r="F365" s="468">
        <v>1</v>
      </c>
      <c r="G365" s="468">
        <v>582</v>
      </c>
      <c r="H365" s="468">
        <v>1</v>
      </c>
      <c r="I365" s="468">
        <v>582</v>
      </c>
      <c r="J365" s="468"/>
      <c r="K365" s="468"/>
      <c r="L365" s="468"/>
      <c r="M365" s="468"/>
      <c r="N365" s="468"/>
      <c r="O365" s="468"/>
      <c r="P365" s="517"/>
      <c r="Q365" s="469"/>
    </row>
    <row r="366" spans="1:17" ht="14.4" customHeight="1" x14ac:dyDescent="0.3">
      <c r="A366" s="464" t="s">
        <v>1884</v>
      </c>
      <c r="B366" s="465" t="s">
        <v>1769</v>
      </c>
      <c r="C366" s="465" t="s">
        <v>1756</v>
      </c>
      <c r="D366" s="465" t="s">
        <v>1793</v>
      </c>
      <c r="E366" s="465" t="s">
        <v>1794</v>
      </c>
      <c r="F366" s="468">
        <v>2</v>
      </c>
      <c r="G366" s="468">
        <v>32</v>
      </c>
      <c r="H366" s="468">
        <v>1</v>
      </c>
      <c r="I366" s="468">
        <v>16</v>
      </c>
      <c r="J366" s="468"/>
      <c r="K366" s="468"/>
      <c r="L366" s="468"/>
      <c r="M366" s="468"/>
      <c r="N366" s="468"/>
      <c r="O366" s="468"/>
      <c r="P366" s="517"/>
      <c r="Q366" s="469"/>
    </row>
    <row r="367" spans="1:17" ht="14.4" customHeight="1" x14ac:dyDescent="0.3">
      <c r="A367" s="464" t="s">
        <v>1884</v>
      </c>
      <c r="B367" s="465" t="s">
        <v>1769</v>
      </c>
      <c r="C367" s="465" t="s">
        <v>1756</v>
      </c>
      <c r="D367" s="465" t="s">
        <v>1814</v>
      </c>
      <c r="E367" s="465" t="s">
        <v>1815</v>
      </c>
      <c r="F367" s="468">
        <v>2</v>
      </c>
      <c r="G367" s="468">
        <v>430</v>
      </c>
      <c r="H367" s="468">
        <v>1</v>
      </c>
      <c r="I367" s="468">
        <v>215</v>
      </c>
      <c r="J367" s="468"/>
      <c r="K367" s="468"/>
      <c r="L367" s="468"/>
      <c r="M367" s="468"/>
      <c r="N367" s="468"/>
      <c r="O367" s="468"/>
      <c r="P367" s="517"/>
      <c r="Q367" s="469"/>
    </row>
    <row r="368" spans="1:17" ht="14.4" customHeight="1" x14ac:dyDescent="0.3">
      <c r="A368" s="464" t="s">
        <v>1884</v>
      </c>
      <c r="B368" s="465" t="s">
        <v>1769</v>
      </c>
      <c r="C368" s="465" t="s">
        <v>1756</v>
      </c>
      <c r="D368" s="465" t="s">
        <v>1828</v>
      </c>
      <c r="E368" s="465" t="s">
        <v>1829</v>
      </c>
      <c r="F368" s="468">
        <v>1</v>
      </c>
      <c r="G368" s="468">
        <v>1015</v>
      </c>
      <c r="H368" s="468">
        <v>1</v>
      </c>
      <c r="I368" s="468">
        <v>1015</v>
      </c>
      <c r="J368" s="468"/>
      <c r="K368" s="468"/>
      <c r="L368" s="468"/>
      <c r="M368" s="468"/>
      <c r="N368" s="468"/>
      <c r="O368" s="468"/>
      <c r="P368" s="517"/>
      <c r="Q368" s="469"/>
    </row>
    <row r="369" spans="1:17" ht="14.4" customHeight="1" x14ac:dyDescent="0.3">
      <c r="A369" s="464" t="s">
        <v>1885</v>
      </c>
      <c r="B369" s="465" t="s">
        <v>1769</v>
      </c>
      <c r="C369" s="465" t="s">
        <v>1756</v>
      </c>
      <c r="D369" s="465" t="s">
        <v>1773</v>
      </c>
      <c r="E369" s="465" t="s">
        <v>1774</v>
      </c>
      <c r="F369" s="468">
        <v>1</v>
      </c>
      <c r="G369" s="468">
        <v>202</v>
      </c>
      <c r="H369" s="468">
        <v>1</v>
      </c>
      <c r="I369" s="468">
        <v>202</v>
      </c>
      <c r="J369" s="468">
        <v>15</v>
      </c>
      <c r="K369" s="468">
        <v>3045</v>
      </c>
      <c r="L369" s="468">
        <v>15.074257425742575</v>
      </c>
      <c r="M369" s="468">
        <v>203</v>
      </c>
      <c r="N369" s="468">
        <v>5</v>
      </c>
      <c r="O369" s="468">
        <v>1025</v>
      </c>
      <c r="P369" s="517">
        <v>5.0742574257425739</v>
      </c>
      <c r="Q369" s="469">
        <v>205</v>
      </c>
    </row>
    <row r="370" spans="1:17" ht="14.4" customHeight="1" x14ac:dyDescent="0.3">
      <c r="A370" s="464" t="s">
        <v>1885</v>
      </c>
      <c r="B370" s="465" t="s">
        <v>1769</v>
      </c>
      <c r="C370" s="465" t="s">
        <v>1756</v>
      </c>
      <c r="D370" s="465" t="s">
        <v>1775</v>
      </c>
      <c r="E370" s="465" t="s">
        <v>1774</v>
      </c>
      <c r="F370" s="468"/>
      <c r="G370" s="468"/>
      <c r="H370" s="468"/>
      <c r="I370" s="468"/>
      <c r="J370" s="468">
        <v>1</v>
      </c>
      <c r="K370" s="468">
        <v>84</v>
      </c>
      <c r="L370" s="468"/>
      <c r="M370" s="468">
        <v>84</v>
      </c>
      <c r="N370" s="468">
        <v>7</v>
      </c>
      <c r="O370" s="468">
        <v>594</v>
      </c>
      <c r="P370" s="517"/>
      <c r="Q370" s="469">
        <v>84.857142857142861</v>
      </c>
    </row>
    <row r="371" spans="1:17" ht="14.4" customHeight="1" x14ac:dyDescent="0.3">
      <c r="A371" s="464" t="s">
        <v>1885</v>
      </c>
      <c r="B371" s="465" t="s">
        <v>1769</v>
      </c>
      <c r="C371" s="465" t="s">
        <v>1756</v>
      </c>
      <c r="D371" s="465" t="s">
        <v>1776</v>
      </c>
      <c r="E371" s="465" t="s">
        <v>1777</v>
      </c>
      <c r="F371" s="468"/>
      <c r="G371" s="468"/>
      <c r="H371" s="468"/>
      <c r="I371" s="468"/>
      <c r="J371" s="468"/>
      <c r="K371" s="468"/>
      <c r="L371" s="468"/>
      <c r="M371" s="468"/>
      <c r="N371" s="468">
        <v>19</v>
      </c>
      <c r="O371" s="468">
        <v>5586</v>
      </c>
      <c r="P371" s="517"/>
      <c r="Q371" s="469">
        <v>294</v>
      </c>
    </row>
    <row r="372" spans="1:17" ht="14.4" customHeight="1" x14ac:dyDescent="0.3">
      <c r="A372" s="464" t="s">
        <v>1885</v>
      </c>
      <c r="B372" s="465" t="s">
        <v>1769</v>
      </c>
      <c r="C372" s="465" t="s">
        <v>1756</v>
      </c>
      <c r="D372" s="465" t="s">
        <v>1778</v>
      </c>
      <c r="E372" s="465" t="s">
        <v>1779</v>
      </c>
      <c r="F372" s="468"/>
      <c r="G372" s="468"/>
      <c r="H372" s="468"/>
      <c r="I372" s="468"/>
      <c r="J372" s="468">
        <v>3</v>
      </c>
      <c r="K372" s="468">
        <v>279</v>
      </c>
      <c r="L372" s="468"/>
      <c r="M372" s="468">
        <v>93</v>
      </c>
      <c r="N372" s="468">
        <v>6</v>
      </c>
      <c r="O372" s="468">
        <v>564</v>
      </c>
      <c r="P372" s="517"/>
      <c r="Q372" s="469">
        <v>94</v>
      </c>
    </row>
    <row r="373" spans="1:17" ht="14.4" customHeight="1" x14ac:dyDescent="0.3">
      <c r="A373" s="464" t="s">
        <v>1885</v>
      </c>
      <c r="B373" s="465" t="s">
        <v>1769</v>
      </c>
      <c r="C373" s="465" t="s">
        <v>1756</v>
      </c>
      <c r="D373" s="465" t="s">
        <v>1780</v>
      </c>
      <c r="E373" s="465" t="s">
        <v>1781</v>
      </c>
      <c r="F373" s="468"/>
      <c r="G373" s="468"/>
      <c r="H373" s="468"/>
      <c r="I373" s="468"/>
      <c r="J373" s="468"/>
      <c r="K373" s="468"/>
      <c r="L373" s="468"/>
      <c r="M373" s="468"/>
      <c r="N373" s="468">
        <v>1</v>
      </c>
      <c r="O373" s="468">
        <v>223</v>
      </c>
      <c r="P373" s="517"/>
      <c r="Q373" s="469">
        <v>223</v>
      </c>
    </row>
    <row r="374" spans="1:17" ht="14.4" customHeight="1" x14ac:dyDescent="0.3">
      <c r="A374" s="464" t="s">
        <v>1885</v>
      </c>
      <c r="B374" s="465" t="s">
        <v>1769</v>
      </c>
      <c r="C374" s="465" t="s">
        <v>1756</v>
      </c>
      <c r="D374" s="465" t="s">
        <v>1782</v>
      </c>
      <c r="E374" s="465" t="s">
        <v>1783</v>
      </c>
      <c r="F374" s="468">
        <v>4</v>
      </c>
      <c r="G374" s="468">
        <v>532</v>
      </c>
      <c r="H374" s="468">
        <v>1</v>
      </c>
      <c r="I374" s="468">
        <v>133</v>
      </c>
      <c r="J374" s="468">
        <v>3</v>
      </c>
      <c r="K374" s="468">
        <v>402</v>
      </c>
      <c r="L374" s="468">
        <v>0.75563909774436089</v>
      </c>
      <c r="M374" s="468">
        <v>134</v>
      </c>
      <c r="N374" s="468">
        <v>2</v>
      </c>
      <c r="O374" s="468">
        <v>270</v>
      </c>
      <c r="P374" s="517">
        <v>0.50751879699248126</v>
      </c>
      <c r="Q374" s="469">
        <v>135</v>
      </c>
    </row>
    <row r="375" spans="1:17" ht="14.4" customHeight="1" x14ac:dyDescent="0.3">
      <c r="A375" s="464" t="s">
        <v>1885</v>
      </c>
      <c r="B375" s="465" t="s">
        <v>1769</v>
      </c>
      <c r="C375" s="465" t="s">
        <v>1756</v>
      </c>
      <c r="D375" s="465" t="s">
        <v>1784</v>
      </c>
      <c r="E375" s="465" t="s">
        <v>1783</v>
      </c>
      <c r="F375" s="468">
        <v>2</v>
      </c>
      <c r="G375" s="468">
        <v>348</v>
      </c>
      <c r="H375" s="468">
        <v>1</v>
      </c>
      <c r="I375" s="468">
        <v>174</v>
      </c>
      <c r="J375" s="468">
        <v>3</v>
      </c>
      <c r="K375" s="468">
        <v>525</v>
      </c>
      <c r="L375" s="468">
        <v>1.5086206896551724</v>
      </c>
      <c r="M375" s="468">
        <v>175</v>
      </c>
      <c r="N375" s="468">
        <v>8</v>
      </c>
      <c r="O375" s="468">
        <v>1414</v>
      </c>
      <c r="P375" s="517">
        <v>4.0632183908045976</v>
      </c>
      <c r="Q375" s="469">
        <v>176.75</v>
      </c>
    </row>
    <row r="376" spans="1:17" ht="14.4" customHeight="1" x14ac:dyDescent="0.3">
      <c r="A376" s="464" t="s">
        <v>1885</v>
      </c>
      <c r="B376" s="465" t="s">
        <v>1769</v>
      </c>
      <c r="C376" s="465" t="s">
        <v>1756</v>
      </c>
      <c r="D376" s="465" t="s">
        <v>1787</v>
      </c>
      <c r="E376" s="465" t="s">
        <v>1788</v>
      </c>
      <c r="F376" s="468">
        <v>1</v>
      </c>
      <c r="G376" s="468">
        <v>582</v>
      </c>
      <c r="H376" s="468">
        <v>1</v>
      </c>
      <c r="I376" s="468">
        <v>582</v>
      </c>
      <c r="J376" s="468"/>
      <c r="K376" s="468"/>
      <c r="L376" s="468"/>
      <c r="M376" s="468"/>
      <c r="N376" s="468">
        <v>2</v>
      </c>
      <c r="O376" s="468">
        <v>1176</v>
      </c>
      <c r="P376" s="517">
        <v>2.0206185567010309</v>
      </c>
      <c r="Q376" s="469">
        <v>588</v>
      </c>
    </row>
    <row r="377" spans="1:17" ht="14.4" customHeight="1" x14ac:dyDescent="0.3">
      <c r="A377" s="464" t="s">
        <v>1885</v>
      </c>
      <c r="B377" s="465" t="s">
        <v>1769</v>
      </c>
      <c r="C377" s="465" t="s">
        <v>1756</v>
      </c>
      <c r="D377" s="465" t="s">
        <v>1789</v>
      </c>
      <c r="E377" s="465" t="s">
        <v>1790</v>
      </c>
      <c r="F377" s="468">
        <v>2</v>
      </c>
      <c r="G377" s="468">
        <v>316</v>
      </c>
      <c r="H377" s="468">
        <v>1</v>
      </c>
      <c r="I377" s="468">
        <v>158</v>
      </c>
      <c r="J377" s="468">
        <v>3</v>
      </c>
      <c r="K377" s="468">
        <v>477</v>
      </c>
      <c r="L377" s="468">
        <v>1.509493670886076</v>
      </c>
      <c r="M377" s="468">
        <v>159</v>
      </c>
      <c r="N377" s="468">
        <v>7</v>
      </c>
      <c r="O377" s="468">
        <v>1119</v>
      </c>
      <c r="P377" s="517">
        <v>3.5411392405063293</v>
      </c>
      <c r="Q377" s="469">
        <v>159.85714285714286</v>
      </c>
    </row>
    <row r="378" spans="1:17" ht="14.4" customHeight="1" x14ac:dyDescent="0.3">
      <c r="A378" s="464" t="s">
        <v>1885</v>
      </c>
      <c r="B378" s="465" t="s">
        <v>1769</v>
      </c>
      <c r="C378" s="465" t="s">
        <v>1756</v>
      </c>
      <c r="D378" s="465" t="s">
        <v>1793</v>
      </c>
      <c r="E378" s="465" t="s">
        <v>1794</v>
      </c>
      <c r="F378" s="468">
        <v>7</v>
      </c>
      <c r="G378" s="468">
        <v>112</v>
      </c>
      <c r="H378" s="468">
        <v>1</v>
      </c>
      <c r="I378" s="468">
        <v>16</v>
      </c>
      <c r="J378" s="468">
        <v>12</v>
      </c>
      <c r="K378" s="468">
        <v>192</v>
      </c>
      <c r="L378" s="468">
        <v>1.7142857142857142</v>
      </c>
      <c r="M378" s="468">
        <v>16</v>
      </c>
      <c r="N378" s="468">
        <v>10</v>
      </c>
      <c r="O378" s="468">
        <v>160</v>
      </c>
      <c r="P378" s="517">
        <v>1.4285714285714286</v>
      </c>
      <c r="Q378" s="469">
        <v>16</v>
      </c>
    </row>
    <row r="379" spans="1:17" ht="14.4" customHeight="1" x14ac:dyDescent="0.3">
      <c r="A379" s="464" t="s">
        <v>1885</v>
      </c>
      <c r="B379" s="465" t="s">
        <v>1769</v>
      </c>
      <c r="C379" s="465" t="s">
        <v>1756</v>
      </c>
      <c r="D379" s="465" t="s">
        <v>1797</v>
      </c>
      <c r="E379" s="465" t="s">
        <v>1798</v>
      </c>
      <c r="F379" s="468">
        <v>1</v>
      </c>
      <c r="G379" s="468">
        <v>261</v>
      </c>
      <c r="H379" s="468">
        <v>1</v>
      </c>
      <c r="I379" s="468">
        <v>261</v>
      </c>
      <c r="J379" s="468">
        <v>6</v>
      </c>
      <c r="K379" s="468">
        <v>1572</v>
      </c>
      <c r="L379" s="468">
        <v>6.0229885057471266</v>
      </c>
      <c r="M379" s="468">
        <v>262</v>
      </c>
      <c r="N379" s="468">
        <v>1</v>
      </c>
      <c r="O379" s="468">
        <v>265</v>
      </c>
      <c r="P379" s="517">
        <v>1.0153256704980842</v>
      </c>
      <c r="Q379" s="469">
        <v>265</v>
      </c>
    </row>
    <row r="380" spans="1:17" ht="14.4" customHeight="1" x14ac:dyDescent="0.3">
      <c r="A380" s="464" t="s">
        <v>1885</v>
      </c>
      <c r="B380" s="465" t="s">
        <v>1769</v>
      </c>
      <c r="C380" s="465" t="s">
        <v>1756</v>
      </c>
      <c r="D380" s="465" t="s">
        <v>1799</v>
      </c>
      <c r="E380" s="465" t="s">
        <v>1796</v>
      </c>
      <c r="F380" s="468">
        <v>1</v>
      </c>
      <c r="G380" s="468">
        <v>140</v>
      </c>
      <c r="H380" s="468">
        <v>1</v>
      </c>
      <c r="I380" s="468">
        <v>140</v>
      </c>
      <c r="J380" s="468">
        <v>6</v>
      </c>
      <c r="K380" s="468">
        <v>846</v>
      </c>
      <c r="L380" s="468">
        <v>6.0428571428571427</v>
      </c>
      <c r="M380" s="468">
        <v>141</v>
      </c>
      <c r="N380" s="468">
        <v>1</v>
      </c>
      <c r="O380" s="468">
        <v>141</v>
      </c>
      <c r="P380" s="517">
        <v>1.0071428571428571</v>
      </c>
      <c r="Q380" s="469">
        <v>141</v>
      </c>
    </row>
    <row r="381" spans="1:17" ht="14.4" customHeight="1" x14ac:dyDescent="0.3">
      <c r="A381" s="464" t="s">
        <v>1885</v>
      </c>
      <c r="B381" s="465" t="s">
        <v>1769</v>
      </c>
      <c r="C381" s="465" t="s">
        <v>1756</v>
      </c>
      <c r="D381" s="465" t="s">
        <v>1800</v>
      </c>
      <c r="E381" s="465" t="s">
        <v>1796</v>
      </c>
      <c r="F381" s="468">
        <v>3</v>
      </c>
      <c r="G381" s="468">
        <v>234</v>
      </c>
      <c r="H381" s="468">
        <v>1</v>
      </c>
      <c r="I381" s="468">
        <v>78</v>
      </c>
      <c r="J381" s="468">
        <v>3</v>
      </c>
      <c r="K381" s="468">
        <v>234</v>
      </c>
      <c r="L381" s="468">
        <v>1</v>
      </c>
      <c r="M381" s="468">
        <v>78</v>
      </c>
      <c r="N381" s="468">
        <v>2</v>
      </c>
      <c r="O381" s="468">
        <v>156</v>
      </c>
      <c r="P381" s="517">
        <v>0.66666666666666663</v>
      </c>
      <c r="Q381" s="469">
        <v>78</v>
      </c>
    </row>
    <row r="382" spans="1:17" ht="14.4" customHeight="1" x14ac:dyDescent="0.3">
      <c r="A382" s="464" t="s">
        <v>1885</v>
      </c>
      <c r="B382" s="465" t="s">
        <v>1769</v>
      </c>
      <c r="C382" s="465" t="s">
        <v>1756</v>
      </c>
      <c r="D382" s="465" t="s">
        <v>1801</v>
      </c>
      <c r="E382" s="465" t="s">
        <v>1802</v>
      </c>
      <c r="F382" s="468">
        <v>1</v>
      </c>
      <c r="G382" s="468">
        <v>302</v>
      </c>
      <c r="H382" s="468">
        <v>1</v>
      </c>
      <c r="I382" s="468">
        <v>302</v>
      </c>
      <c r="J382" s="468">
        <v>6</v>
      </c>
      <c r="K382" s="468">
        <v>1818</v>
      </c>
      <c r="L382" s="468">
        <v>6.0198675496688745</v>
      </c>
      <c r="M382" s="468">
        <v>303</v>
      </c>
      <c r="N382" s="468">
        <v>1</v>
      </c>
      <c r="O382" s="468">
        <v>306</v>
      </c>
      <c r="P382" s="517">
        <v>1.0132450331125828</v>
      </c>
      <c r="Q382" s="469">
        <v>306</v>
      </c>
    </row>
    <row r="383" spans="1:17" ht="14.4" customHeight="1" x14ac:dyDescent="0.3">
      <c r="A383" s="464" t="s">
        <v>1885</v>
      </c>
      <c r="B383" s="465" t="s">
        <v>1769</v>
      </c>
      <c r="C383" s="465" t="s">
        <v>1756</v>
      </c>
      <c r="D383" s="465" t="s">
        <v>1805</v>
      </c>
      <c r="E383" s="465" t="s">
        <v>1806</v>
      </c>
      <c r="F383" s="468">
        <v>3</v>
      </c>
      <c r="G383" s="468">
        <v>477</v>
      </c>
      <c r="H383" s="468">
        <v>1</v>
      </c>
      <c r="I383" s="468">
        <v>159</v>
      </c>
      <c r="J383" s="468">
        <v>2</v>
      </c>
      <c r="K383" s="468">
        <v>320</v>
      </c>
      <c r="L383" s="468">
        <v>0.67085953878406712</v>
      </c>
      <c r="M383" s="468">
        <v>160</v>
      </c>
      <c r="N383" s="468">
        <v>1</v>
      </c>
      <c r="O383" s="468">
        <v>161</v>
      </c>
      <c r="P383" s="517">
        <v>0.33752620545073375</v>
      </c>
      <c r="Q383" s="469">
        <v>161</v>
      </c>
    </row>
    <row r="384" spans="1:17" ht="14.4" customHeight="1" x14ac:dyDescent="0.3">
      <c r="A384" s="464" t="s">
        <v>1885</v>
      </c>
      <c r="B384" s="465" t="s">
        <v>1769</v>
      </c>
      <c r="C384" s="465" t="s">
        <v>1756</v>
      </c>
      <c r="D384" s="465" t="s">
        <v>1809</v>
      </c>
      <c r="E384" s="465" t="s">
        <v>1774</v>
      </c>
      <c r="F384" s="468">
        <v>2</v>
      </c>
      <c r="G384" s="468">
        <v>140</v>
      </c>
      <c r="H384" s="468">
        <v>1</v>
      </c>
      <c r="I384" s="468">
        <v>70</v>
      </c>
      <c r="J384" s="468">
        <v>5</v>
      </c>
      <c r="K384" s="468">
        <v>350</v>
      </c>
      <c r="L384" s="468">
        <v>2.5</v>
      </c>
      <c r="M384" s="468">
        <v>70</v>
      </c>
      <c r="N384" s="468">
        <v>5</v>
      </c>
      <c r="O384" s="468">
        <v>355</v>
      </c>
      <c r="P384" s="517">
        <v>2.5357142857142856</v>
      </c>
      <c r="Q384" s="469">
        <v>71</v>
      </c>
    </row>
    <row r="385" spans="1:17" ht="14.4" customHeight="1" x14ac:dyDescent="0.3">
      <c r="A385" s="464" t="s">
        <v>1885</v>
      </c>
      <c r="B385" s="465" t="s">
        <v>1769</v>
      </c>
      <c r="C385" s="465" t="s">
        <v>1756</v>
      </c>
      <c r="D385" s="465" t="s">
        <v>1814</v>
      </c>
      <c r="E385" s="465" t="s">
        <v>1815</v>
      </c>
      <c r="F385" s="468">
        <v>3</v>
      </c>
      <c r="G385" s="468">
        <v>645</v>
      </c>
      <c r="H385" s="468">
        <v>1</v>
      </c>
      <c r="I385" s="468">
        <v>215</v>
      </c>
      <c r="J385" s="468">
        <v>3</v>
      </c>
      <c r="K385" s="468">
        <v>648</v>
      </c>
      <c r="L385" s="468">
        <v>1.0046511627906978</v>
      </c>
      <c r="M385" s="468">
        <v>216</v>
      </c>
      <c r="N385" s="468">
        <v>8</v>
      </c>
      <c r="O385" s="468">
        <v>1749</v>
      </c>
      <c r="P385" s="517">
        <v>2.7116279069767444</v>
      </c>
      <c r="Q385" s="469">
        <v>218.625</v>
      </c>
    </row>
    <row r="386" spans="1:17" ht="14.4" customHeight="1" x14ac:dyDescent="0.3">
      <c r="A386" s="464" t="s">
        <v>1885</v>
      </c>
      <c r="B386" s="465" t="s">
        <v>1769</v>
      </c>
      <c r="C386" s="465" t="s">
        <v>1756</v>
      </c>
      <c r="D386" s="465" t="s">
        <v>1816</v>
      </c>
      <c r="E386" s="465" t="s">
        <v>1817</v>
      </c>
      <c r="F386" s="468"/>
      <c r="G386" s="468"/>
      <c r="H386" s="468"/>
      <c r="I386" s="468"/>
      <c r="J386" s="468"/>
      <c r="K386" s="468"/>
      <c r="L386" s="468"/>
      <c r="M386" s="468"/>
      <c r="N386" s="468">
        <v>1</v>
      </c>
      <c r="O386" s="468">
        <v>1193</v>
      </c>
      <c r="P386" s="517"/>
      <c r="Q386" s="469">
        <v>1193</v>
      </c>
    </row>
    <row r="387" spans="1:17" ht="14.4" customHeight="1" x14ac:dyDescent="0.3">
      <c r="A387" s="464" t="s">
        <v>1885</v>
      </c>
      <c r="B387" s="465" t="s">
        <v>1769</v>
      </c>
      <c r="C387" s="465" t="s">
        <v>1756</v>
      </c>
      <c r="D387" s="465" t="s">
        <v>1818</v>
      </c>
      <c r="E387" s="465" t="s">
        <v>1819</v>
      </c>
      <c r="F387" s="468">
        <v>2</v>
      </c>
      <c r="G387" s="468">
        <v>214</v>
      </c>
      <c r="H387" s="468">
        <v>1</v>
      </c>
      <c r="I387" s="468">
        <v>107</v>
      </c>
      <c r="J387" s="468">
        <v>2</v>
      </c>
      <c r="K387" s="468">
        <v>216</v>
      </c>
      <c r="L387" s="468">
        <v>1.0093457943925233</v>
      </c>
      <c r="M387" s="468">
        <v>108</v>
      </c>
      <c r="N387" s="468">
        <v>2</v>
      </c>
      <c r="O387" s="468">
        <v>218</v>
      </c>
      <c r="P387" s="517">
        <v>1.0186915887850467</v>
      </c>
      <c r="Q387" s="469">
        <v>109</v>
      </c>
    </row>
    <row r="388" spans="1:17" ht="14.4" customHeight="1" x14ac:dyDescent="0.3">
      <c r="A388" s="464" t="s">
        <v>1885</v>
      </c>
      <c r="B388" s="465" t="s">
        <v>1769</v>
      </c>
      <c r="C388" s="465" t="s">
        <v>1756</v>
      </c>
      <c r="D388" s="465" t="s">
        <v>1828</v>
      </c>
      <c r="E388" s="465" t="s">
        <v>1829</v>
      </c>
      <c r="F388" s="468">
        <v>2</v>
      </c>
      <c r="G388" s="468">
        <v>2030</v>
      </c>
      <c r="H388" s="468">
        <v>1</v>
      </c>
      <c r="I388" s="468">
        <v>1015</v>
      </c>
      <c r="J388" s="468"/>
      <c r="K388" s="468"/>
      <c r="L388" s="468"/>
      <c r="M388" s="468"/>
      <c r="N388" s="468">
        <v>1</v>
      </c>
      <c r="O388" s="468">
        <v>1029</v>
      </c>
      <c r="P388" s="517">
        <v>0.50689655172413794</v>
      </c>
      <c r="Q388" s="469">
        <v>1029</v>
      </c>
    </row>
    <row r="389" spans="1:17" ht="14.4" customHeight="1" x14ac:dyDescent="0.3">
      <c r="A389" s="464" t="s">
        <v>1886</v>
      </c>
      <c r="B389" s="465" t="s">
        <v>1769</v>
      </c>
      <c r="C389" s="465" t="s">
        <v>1756</v>
      </c>
      <c r="D389" s="465" t="s">
        <v>1773</v>
      </c>
      <c r="E389" s="465" t="s">
        <v>1774</v>
      </c>
      <c r="F389" s="468">
        <v>144</v>
      </c>
      <c r="G389" s="468">
        <v>29088</v>
      </c>
      <c r="H389" s="468">
        <v>1</v>
      </c>
      <c r="I389" s="468">
        <v>202</v>
      </c>
      <c r="J389" s="468">
        <v>88</v>
      </c>
      <c r="K389" s="468">
        <v>17864</v>
      </c>
      <c r="L389" s="468">
        <v>0.61413641364136418</v>
      </c>
      <c r="M389" s="468">
        <v>203</v>
      </c>
      <c r="N389" s="468">
        <v>74</v>
      </c>
      <c r="O389" s="468">
        <v>15148</v>
      </c>
      <c r="P389" s="517">
        <v>0.52076457645764573</v>
      </c>
      <c r="Q389" s="469">
        <v>204.70270270270271</v>
      </c>
    </row>
    <row r="390" spans="1:17" ht="14.4" customHeight="1" x14ac:dyDescent="0.3">
      <c r="A390" s="464" t="s">
        <v>1886</v>
      </c>
      <c r="B390" s="465" t="s">
        <v>1769</v>
      </c>
      <c r="C390" s="465" t="s">
        <v>1756</v>
      </c>
      <c r="D390" s="465" t="s">
        <v>1776</v>
      </c>
      <c r="E390" s="465" t="s">
        <v>1777</v>
      </c>
      <c r="F390" s="468">
        <v>361</v>
      </c>
      <c r="G390" s="468">
        <v>105051</v>
      </c>
      <c r="H390" s="468">
        <v>1</v>
      </c>
      <c r="I390" s="468">
        <v>291</v>
      </c>
      <c r="J390" s="468">
        <v>516</v>
      </c>
      <c r="K390" s="468">
        <v>150672</v>
      </c>
      <c r="L390" s="468">
        <v>1.4342747808207441</v>
      </c>
      <c r="M390" s="468">
        <v>292</v>
      </c>
      <c r="N390" s="468">
        <v>757</v>
      </c>
      <c r="O390" s="468">
        <v>222280</v>
      </c>
      <c r="P390" s="517">
        <v>2.1159246461242636</v>
      </c>
      <c r="Q390" s="469">
        <v>293.6327608982827</v>
      </c>
    </row>
    <row r="391" spans="1:17" ht="14.4" customHeight="1" x14ac:dyDescent="0.3">
      <c r="A391" s="464" t="s">
        <v>1886</v>
      </c>
      <c r="B391" s="465" t="s">
        <v>1769</v>
      </c>
      <c r="C391" s="465" t="s">
        <v>1756</v>
      </c>
      <c r="D391" s="465" t="s">
        <v>1778</v>
      </c>
      <c r="E391" s="465" t="s">
        <v>1779</v>
      </c>
      <c r="F391" s="468">
        <v>9</v>
      </c>
      <c r="G391" s="468">
        <v>828</v>
      </c>
      <c r="H391" s="468">
        <v>1</v>
      </c>
      <c r="I391" s="468">
        <v>92</v>
      </c>
      <c r="J391" s="468">
        <v>12</v>
      </c>
      <c r="K391" s="468">
        <v>1116</v>
      </c>
      <c r="L391" s="468">
        <v>1.3478260869565217</v>
      </c>
      <c r="M391" s="468">
        <v>93</v>
      </c>
      <c r="N391" s="468">
        <v>7</v>
      </c>
      <c r="O391" s="468">
        <v>655</v>
      </c>
      <c r="P391" s="517">
        <v>0.79106280193236711</v>
      </c>
      <c r="Q391" s="469">
        <v>93.571428571428569</v>
      </c>
    </row>
    <row r="392" spans="1:17" ht="14.4" customHeight="1" x14ac:dyDescent="0.3">
      <c r="A392" s="464" t="s">
        <v>1886</v>
      </c>
      <c r="B392" s="465" t="s">
        <v>1769</v>
      </c>
      <c r="C392" s="465" t="s">
        <v>1756</v>
      </c>
      <c r="D392" s="465" t="s">
        <v>1780</v>
      </c>
      <c r="E392" s="465" t="s">
        <v>1781</v>
      </c>
      <c r="F392" s="468">
        <v>1</v>
      </c>
      <c r="G392" s="468">
        <v>219</v>
      </c>
      <c r="H392" s="468">
        <v>1</v>
      </c>
      <c r="I392" s="468">
        <v>219</v>
      </c>
      <c r="J392" s="468">
        <v>1</v>
      </c>
      <c r="K392" s="468">
        <v>220</v>
      </c>
      <c r="L392" s="468">
        <v>1.004566210045662</v>
      </c>
      <c r="M392" s="468">
        <v>220</v>
      </c>
      <c r="N392" s="468"/>
      <c r="O392" s="468"/>
      <c r="P392" s="517"/>
      <c r="Q392" s="469"/>
    </row>
    <row r="393" spans="1:17" ht="14.4" customHeight="1" x14ac:dyDescent="0.3">
      <c r="A393" s="464" t="s">
        <v>1886</v>
      </c>
      <c r="B393" s="465" t="s">
        <v>1769</v>
      </c>
      <c r="C393" s="465" t="s">
        <v>1756</v>
      </c>
      <c r="D393" s="465" t="s">
        <v>1782</v>
      </c>
      <c r="E393" s="465" t="s">
        <v>1783</v>
      </c>
      <c r="F393" s="468">
        <v>330</v>
      </c>
      <c r="G393" s="468">
        <v>43890</v>
      </c>
      <c r="H393" s="468">
        <v>1</v>
      </c>
      <c r="I393" s="468">
        <v>133</v>
      </c>
      <c r="J393" s="468">
        <v>334</v>
      </c>
      <c r="K393" s="468">
        <v>44756</v>
      </c>
      <c r="L393" s="468">
        <v>1.0197311460469356</v>
      </c>
      <c r="M393" s="468">
        <v>134</v>
      </c>
      <c r="N393" s="468">
        <v>351</v>
      </c>
      <c r="O393" s="468">
        <v>47308</v>
      </c>
      <c r="P393" s="517">
        <v>1.0778765094554568</v>
      </c>
      <c r="Q393" s="469">
        <v>134.78062678062679</v>
      </c>
    </row>
    <row r="394" spans="1:17" ht="14.4" customHeight="1" x14ac:dyDescent="0.3">
      <c r="A394" s="464" t="s">
        <v>1886</v>
      </c>
      <c r="B394" s="465" t="s">
        <v>1769</v>
      </c>
      <c r="C394" s="465" t="s">
        <v>1756</v>
      </c>
      <c r="D394" s="465" t="s">
        <v>1784</v>
      </c>
      <c r="E394" s="465" t="s">
        <v>1783</v>
      </c>
      <c r="F394" s="468"/>
      <c r="G394" s="468"/>
      <c r="H394" s="468"/>
      <c r="I394" s="468"/>
      <c r="J394" s="468">
        <v>1</v>
      </c>
      <c r="K394" s="468">
        <v>175</v>
      </c>
      <c r="L394" s="468"/>
      <c r="M394" s="468">
        <v>175</v>
      </c>
      <c r="N394" s="468"/>
      <c r="O394" s="468"/>
      <c r="P394" s="517"/>
      <c r="Q394" s="469"/>
    </row>
    <row r="395" spans="1:17" ht="14.4" customHeight="1" x14ac:dyDescent="0.3">
      <c r="A395" s="464" t="s">
        <v>1886</v>
      </c>
      <c r="B395" s="465" t="s">
        <v>1769</v>
      </c>
      <c r="C395" s="465" t="s">
        <v>1756</v>
      </c>
      <c r="D395" s="465" t="s">
        <v>1785</v>
      </c>
      <c r="E395" s="465" t="s">
        <v>1786</v>
      </c>
      <c r="F395" s="468">
        <v>2</v>
      </c>
      <c r="G395" s="468">
        <v>1218</v>
      </c>
      <c r="H395" s="468">
        <v>1</v>
      </c>
      <c r="I395" s="468">
        <v>609</v>
      </c>
      <c r="J395" s="468">
        <v>1</v>
      </c>
      <c r="K395" s="468">
        <v>612</v>
      </c>
      <c r="L395" s="468">
        <v>0.50246305418719217</v>
      </c>
      <c r="M395" s="468">
        <v>612</v>
      </c>
      <c r="N395" s="468"/>
      <c r="O395" s="468"/>
      <c r="P395" s="517"/>
      <c r="Q395" s="469"/>
    </row>
    <row r="396" spans="1:17" ht="14.4" customHeight="1" x14ac:dyDescent="0.3">
      <c r="A396" s="464" t="s">
        <v>1886</v>
      </c>
      <c r="B396" s="465" t="s">
        <v>1769</v>
      </c>
      <c r="C396" s="465" t="s">
        <v>1756</v>
      </c>
      <c r="D396" s="465" t="s">
        <v>1789</v>
      </c>
      <c r="E396" s="465" t="s">
        <v>1790</v>
      </c>
      <c r="F396" s="468">
        <v>19</v>
      </c>
      <c r="G396" s="468">
        <v>3002</v>
      </c>
      <c r="H396" s="468">
        <v>1</v>
      </c>
      <c r="I396" s="468">
        <v>158</v>
      </c>
      <c r="J396" s="468">
        <v>22</v>
      </c>
      <c r="K396" s="468">
        <v>3498</v>
      </c>
      <c r="L396" s="468">
        <v>1.1652231845436376</v>
      </c>
      <c r="M396" s="468">
        <v>159</v>
      </c>
      <c r="N396" s="468">
        <v>35</v>
      </c>
      <c r="O396" s="468">
        <v>5595</v>
      </c>
      <c r="P396" s="517">
        <v>1.8637574950033311</v>
      </c>
      <c r="Q396" s="469">
        <v>159.85714285714286</v>
      </c>
    </row>
    <row r="397" spans="1:17" ht="14.4" customHeight="1" x14ac:dyDescent="0.3">
      <c r="A397" s="464" t="s">
        <v>1886</v>
      </c>
      <c r="B397" s="465" t="s">
        <v>1769</v>
      </c>
      <c r="C397" s="465" t="s">
        <v>1756</v>
      </c>
      <c r="D397" s="465" t="s">
        <v>1791</v>
      </c>
      <c r="E397" s="465" t="s">
        <v>1792</v>
      </c>
      <c r="F397" s="468">
        <v>2</v>
      </c>
      <c r="G397" s="468">
        <v>764</v>
      </c>
      <c r="H397" s="468">
        <v>1</v>
      </c>
      <c r="I397" s="468">
        <v>382</v>
      </c>
      <c r="J397" s="468">
        <v>2</v>
      </c>
      <c r="K397" s="468">
        <v>764</v>
      </c>
      <c r="L397" s="468">
        <v>1</v>
      </c>
      <c r="M397" s="468">
        <v>382</v>
      </c>
      <c r="N397" s="468">
        <v>4</v>
      </c>
      <c r="O397" s="468">
        <v>1528</v>
      </c>
      <c r="P397" s="517">
        <v>2</v>
      </c>
      <c r="Q397" s="469">
        <v>382</v>
      </c>
    </row>
    <row r="398" spans="1:17" ht="14.4" customHeight="1" x14ac:dyDescent="0.3">
      <c r="A398" s="464" t="s">
        <v>1886</v>
      </c>
      <c r="B398" s="465" t="s">
        <v>1769</v>
      </c>
      <c r="C398" s="465" t="s">
        <v>1756</v>
      </c>
      <c r="D398" s="465" t="s">
        <v>1793</v>
      </c>
      <c r="E398" s="465" t="s">
        <v>1794</v>
      </c>
      <c r="F398" s="468">
        <v>393</v>
      </c>
      <c r="G398" s="468">
        <v>6288</v>
      </c>
      <c r="H398" s="468">
        <v>1</v>
      </c>
      <c r="I398" s="468">
        <v>16</v>
      </c>
      <c r="J398" s="468">
        <v>385</v>
      </c>
      <c r="K398" s="468">
        <v>6160</v>
      </c>
      <c r="L398" s="468">
        <v>0.97964376590330793</v>
      </c>
      <c r="M398" s="468">
        <v>16</v>
      </c>
      <c r="N398" s="468">
        <v>388</v>
      </c>
      <c r="O398" s="468">
        <v>6208</v>
      </c>
      <c r="P398" s="517">
        <v>0.98727735368956748</v>
      </c>
      <c r="Q398" s="469">
        <v>16</v>
      </c>
    </row>
    <row r="399" spans="1:17" ht="14.4" customHeight="1" x14ac:dyDescent="0.3">
      <c r="A399" s="464" t="s">
        <v>1886</v>
      </c>
      <c r="B399" s="465" t="s">
        <v>1769</v>
      </c>
      <c r="C399" s="465" t="s">
        <v>1756</v>
      </c>
      <c r="D399" s="465" t="s">
        <v>1797</v>
      </c>
      <c r="E399" s="465" t="s">
        <v>1798</v>
      </c>
      <c r="F399" s="468">
        <v>48</v>
      </c>
      <c r="G399" s="468">
        <v>12528</v>
      </c>
      <c r="H399" s="468">
        <v>1</v>
      </c>
      <c r="I399" s="468">
        <v>261</v>
      </c>
      <c r="J399" s="468">
        <v>29</v>
      </c>
      <c r="K399" s="468">
        <v>7598</v>
      </c>
      <c r="L399" s="468">
        <v>0.60648148148148151</v>
      </c>
      <c r="M399" s="468">
        <v>262</v>
      </c>
      <c r="N399" s="468">
        <v>26</v>
      </c>
      <c r="O399" s="468">
        <v>6878</v>
      </c>
      <c r="P399" s="517">
        <v>0.54901021711366538</v>
      </c>
      <c r="Q399" s="469">
        <v>264.53846153846155</v>
      </c>
    </row>
    <row r="400" spans="1:17" ht="14.4" customHeight="1" x14ac:dyDescent="0.3">
      <c r="A400" s="464" t="s">
        <v>1886</v>
      </c>
      <c r="B400" s="465" t="s">
        <v>1769</v>
      </c>
      <c r="C400" s="465" t="s">
        <v>1756</v>
      </c>
      <c r="D400" s="465" t="s">
        <v>1799</v>
      </c>
      <c r="E400" s="465" t="s">
        <v>1796</v>
      </c>
      <c r="F400" s="468">
        <v>49</v>
      </c>
      <c r="G400" s="468">
        <v>6860</v>
      </c>
      <c r="H400" s="468">
        <v>1</v>
      </c>
      <c r="I400" s="468">
        <v>140</v>
      </c>
      <c r="J400" s="468">
        <v>30</v>
      </c>
      <c r="K400" s="468">
        <v>4230</v>
      </c>
      <c r="L400" s="468">
        <v>0.61661807580174932</v>
      </c>
      <c r="M400" s="468">
        <v>141</v>
      </c>
      <c r="N400" s="468">
        <v>26</v>
      </c>
      <c r="O400" s="468">
        <v>3666</v>
      </c>
      <c r="P400" s="517">
        <v>0.53440233236151602</v>
      </c>
      <c r="Q400" s="469">
        <v>141</v>
      </c>
    </row>
    <row r="401" spans="1:17" ht="14.4" customHeight="1" x14ac:dyDescent="0.3">
      <c r="A401" s="464" t="s">
        <v>1886</v>
      </c>
      <c r="B401" s="465" t="s">
        <v>1769</v>
      </c>
      <c r="C401" s="465" t="s">
        <v>1756</v>
      </c>
      <c r="D401" s="465" t="s">
        <v>1800</v>
      </c>
      <c r="E401" s="465" t="s">
        <v>1796</v>
      </c>
      <c r="F401" s="468">
        <v>330</v>
      </c>
      <c r="G401" s="468">
        <v>25740</v>
      </c>
      <c r="H401" s="468">
        <v>1</v>
      </c>
      <c r="I401" s="468">
        <v>78</v>
      </c>
      <c r="J401" s="468">
        <v>334</v>
      </c>
      <c r="K401" s="468">
        <v>26052</v>
      </c>
      <c r="L401" s="468">
        <v>1.0121212121212122</v>
      </c>
      <c r="M401" s="468">
        <v>78</v>
      </c>
      <c r="N401" s="468">
        <v>351</v>
      </c>
      <c r="O401" s="468">
        <v>27378</v>
      </c>
      <c r="P401" s="517">
        <v>1.0636363636363637</v>
      </c>
      <c r="Q401" s="469">
        <v>78</v>
      </c>
    </row>
    <row r="402" spans="1:17" ht="14.4" customHeight="1" x14ac:dyDescent="0.3">
      <c r="A402" s="464" t="s">
        <v>1886</v>
      </c>
      <c r="B402" s="465" t="s">
        <v>1769</v>
      </c>
      <c r="C402" s="465" t="s">
        <v>1756</v>
      </c>
      <c r="D402" s="465" t="s">
        <v>1801</v>
      </c>
      <c r="E402" s="465" t="s">
        <v>1802</v>
      </c>
      <c r="F402" s="468">
        <v>49</v>
      </c>
      <c r="G402" s="468">
        <v>14798</v>
      </c>
      <c r="H402" s="468">
        <v>1</v>
      </c>
      <c r="I402" s="468">
        <v>302</v>
      </c>
      <c r="J402" s="468">
        <v>30</v>
      </c>
      <c r="K402" s="468">
        <v>9090</v>
      </c>
      <c r="L402" s="468">
        <v>0.61427219894580354</v>
      </c>
      <c r="M402" s="468">
        <v>303</v>
      </c>
      <c r="N402" s="468">
        <v>26</v>
      </c>
      <c r="O402" s="468">
        <v>7944</v>
      </c>
      <c r="P402" s="517">
        <v>0.53682930125692663</v>
      </c>
      <c r="Q402" s="469">
        <v>305.53846153846155</v>
      </c>
    </row>
    <row r="403" spans="1:17" ht="14.4" customHeight="1" x14ac:dyDescent="0.3">
      <c r="A403" s="464" t="s">
        <v>1886</v>
      </c>
      <c r="B403" s="465" t="s">
        <v>1769</v>
      </c>
      <c r="C403" s="465" t="s">
        <v>1756</v>
      </c>
      <c r="D403" s="465" t="s">
        <v>1803</v>
      </c>
      <c r="E403" s="465" t="s">
        <v>1804</v>
      </c>
      <c r="F403" s="468">
        <v>2</v>
      </c>
      <c r="G403" s="468">
        <v>972</v>
      </c>
      <c r="H403" s="468">
        <v>1</v>
      </c>
      <c r="I403" s="468">
        <v>486</v>
      </c>
      <c r="J403" s="468">
        <v>2</v>
      </c>
      <c r="K403" s="468">
        <v>972</v>
      </c>
      <c r="L403" s="468">
        <v>1</v>
      </c>
      <c r="M403" s="468">
        <v>486</v>
      </c>
      <c r="N403" s="468">
        <v>4</v>
      </c>
      <c r="O403" s="468">
        <v>1944</v>
      </c>
      <c r="P403" s="517">
        <v>2</v>
      </c>
      <c r="Q403" s="469">
        <v>486</v>
      </c>
    </row>
    <row r="404" spans="1:17" ht="14.4" customHeight="1" x14ac:dyDescent="0.3">
      <c r="A404" s="464" t="s">
        <v>1886</v>
      </c>
      <c r="B404" s="465" t="s">
        <v>1769</v>
      </c>
      <c r="C404" s="465" t="s">
        <v>1756</v>
      </c>
      <c r="D404" s="465" t="s">
        <v>1805</v>
      </c>
      <c r="E404" s="465" t="s">
        <v>1806</v>
      </c>
      <c r="F404" s="468">
        <v>239</v>
      </c>
      <c r="G404" s="468">
        <v>38001</v>
      </c>
      <c r="H404" s="468">
        <v>1</v>
      </c>
      <c r="I404" s="468">
        <v>159</v>
      </c>
      <c r="J404" s="468">
        <v>256</v>
      </c>
      <c r="K404" s="468">
        <v>40960</v>
      </c>
      <c r="L404" s="468">
        <v>1.0778663719375805</v>
      </c>
      <c r="M404" s="468">
        <v>160</v>
      </c>
      <c r="N404" s="468">
        <v>270</v>
      </c>
      <c r="O404" s="468">
        <v>43412</v>
      </c>
      <c r="P404" s="517">
        <v>1.1423909897107971</v>
      </c>
      <c r="Q404" s="469">
        <v>160.78518518518518</v>
      </c>
    </row>
    <row r="405" spans="1:17" ht="14.4" customHeight="1" x14ac:dyDescent="0.3">
      <c r="A405" s="464" t="s">
        <v>1886</v>
      </c>
      <c r="B405" s="465" t="s">
        <v>1769</v>
      </c>
      <c r="C405" s="465" t="s">
        <v>1756</v>
      </c>
      <c r="D405" s="465" t="s">
        <v>1809</v>
      </c>
      <c r="E405" s="465" t="s">
        <v>1774</v>
      </c>
      <c r="F405" s="468">
        <v>827</v>
      </c>
      <c r="G405" s="468">
        <v>57890</v>
      </c>
      <c r="H405" s="468">
        <v>1</v>
      </c>
      <c r="I405" s="468">
        <v>70</v>
      </c>
      <c r="J405" s="468">
        <v>802</v>
      </c>
      <c r="K405" s="468">
        <v>56140</v>
      </c>
      <c r="L405" s="468">
        <v>0.96977025392986704</v>
      </c>
      <c r="M405" s="468">
        <v>70</v>
      </c>
      <c r="N405" s="468">
        <v>933</v>
      </c>
      <c r="O405" s="468">
        <v>66042</v>
      </c>
      <c r="P405" s="517">
        <v>1.1408187942649852</v>
      </c>
      <c r="Q405" s="469">
        <v>70.784565916398719</v>
      </c>
    </row>
    <row r="406" spans="1:17" ht="14.4" customHeight="1" x14ac:dyDescent="0.3">
      <c r="A406" s="464" t="s">
        <v>1886</v>
      </c>
      <c r="B406" s="465" t="s">
        <v>1769</v>
      </c>
      <c r="C406" s="465" t="s">
        <v>1756</v>
      </c>
      <c r="D406" s="465" t="s">
        <v>1814</v>
      </c>
      <c r="E406" s="465" t="s">
        <v>1815</v>
      </c>
      <c r="F406" s="468">
        <v>2</v>
      </c>
      <c r="G406" s="468">
        <v>430</v>
      </c>
      <c r="H406" s="468">
        <v>1</v>
      </c>
      <c r="I406" s="468">
        <v>215</v>
      </c>
      <c r="J406" s="468">
        <v>3</v>
      </c>
      <c r="K406" s="468">
        <v>648</v>
      </c>
      <c r="L406" s="468">
        <v>1.5069767441860464</v>
      </c>
      <c r="M406" s="468">
        <v>216</v>
      </c>
      <c r="N406" s="468"/>
      <c r="O406" s="468"/>
      <c r="P406" s="517"/>
      <c r="Q406" s="469"/>
    </row>
    <row r="407" spans="1:17" ht="14.4" customHeight="1" x14ac:dyDescent="0.3">
      <c r="A407" s="464" t="s">
        <v>1886</v>
      </c>
      <c r="B407" s="465" t="s">
        <v>1769</v>
      </c>
      <c r="C407" s="465" t="s">
        <v>1756</v>
      </c>
      <c r="D407" s="465" t="s">
        <v>1816</v>
      </c>
      <c r="E407" s="465" t="s">
        <v>1817</v>
      </c>
      <c r="F407" s="468">
        <v>11</v>
      </c>
      <c r="G407" s="468">
        <v>13046</v>
      </c>
      <c r="H407" s="468">
        <v>1</v>
      </c>
      <c r="I407" s="468">
        <v>1186</v>
      </c>
      <c r="J407" s="468">
        <v>15</v>
      </c>
      <c r="K407" s="468">
        <v>17835</v>
      </c>
      <c r="L407" s="468">
        <v>1.367085696765292</v>
      </c>
      <c r="M407" s="468">
        <v>1189</v>
      </c>
      <c r="N407" s="468">
        <v>22</v>
      </c>
      <c r="O407" s="468">
        <v>26230</v>
      </c>
      <c r="P407" s="517">
        <v>2.0105779549287139</v>
      </c>
      <c r="Q407" s="469">
        <v>1192.2727272727273</v>
      </c>
    </row>
    <row r="408" spans="1:17" ht="14.4" customHeight="1" x14ac:dyDescent="0.3">
      <c r="A408" s="464" t="s">
        <v>1886</v>
      </c>
      <c r="B408" s="465" t="s">
        <v>1769</v>
      </c>
      <c r="C408" s="465" t="s">
        <v>1756</v>
      </c>
      <c r="D408" s="465" t="s">
        <v>1818</v>
      </c>
      <c r="E408" s="465" t="s">
        <v>1819</v>
      </c>
      <c r="F408" s="468">
        <v>13</v>
      </c>
      <c r="G408" s="468">
        <v>1391</v>
      </c>
      <c r="H408" s="468">
        <v>1</v>
      </c>
      <c r="I408" s="468">
        <v>107</v>
      </c>
      <c r="J408" s="468">
        <v>14</v>
      </c>
      <c r="K408" s="468">
        <v>1512</v>
      </c>
      <c r="L408" s="468">
        <v>1.0869877785765636</v>
      </c>
      <c r="M408" s="468">
        <v>108</v>
      </c>
      <c r="N408" s="468">
        <v>22</v>
      </c>
      <c r="O408" s="468">
        <v>2393</v>
      </c>
      <c r="P408" s="517">
        <v>1.7203450754852625</v>
      </c>
      <c r="Q408" s="469">
        <v>108.77272727272727</v>
      </c>
    </row>
    <row r="409" spans="1:17" ht="14.4" customHeight="1" x14ac:dyDescent="0.3">
      <c r="A409" s="464" t="s">
        <v>1886</v>
      </c>
      <c r="B409" s="465" t="s">
        <v>1769</v>
      </c>
      <c r="C409" s="465" t="s">
        <v>1756</v>
      </c>
      <c r="D409" s="465" t="s">
        <v>1822</v>
      </c>
      <c r="E409" s="465" t="s">
        <v>1823</v>
      </c>
      <c r="F409" s="468">
        <v>1</v>
      </c>
      <c r="G409" s="468">
        <v>318</v>
      </c>
      <c r="H409" s="468">
        <v>1</v>
      </c>
      <c r="I409" s="468">
        <v>318</v>
      </c>
      <c r="J409" s="468">
        <v>1</v>
      </c>
      <c r="K409" s="468">
        <v>319</v>
      </c>
      <c r="L409" s="468">
        <v>1.0031446540880504</v>
      </c>
      <c r="M409" s="468">
        <v>319</v>
      </c>
      <c r="N409" s="468"/>
      <c r="O409" s="468"/>
      <c r="P409" s="517"/>
      <c r="Q409" s="469"/>
    </row>
    <row r="410" spans="1:17" ht="14.4" customHeight="1" x14ac:dyDescent="0.3">
      <c r="A410" s="464" t="s">
        <v>1886</v>
      </c>
      <c r="B410" s="465" t="s">
        <v>1769</v>
      </c>
      <c r="C410" s="465" t="s">
        <v>1756</v>
      </c>
      <c r="D410" s="465" t="s">
        <v>1828</v>
      </c>
      <c r="E410" s="465" t="s">
        <v>1829</v>
      </c>
      <c r="F410" s="468">
        <v>1</v>
      </c>
      <c r="G410" s="468">
        <v>1015</v>
      </c>
      <c r="H410" s="468">
        <v>1</v>
      </c>
      <c r="I410" s="468">
        <v>1015</v>
      </c>
      <c r="J410" s="468"/>
      <c r="K410" s="468"/>
      <c r="L410" s="468"/>
      <c r="M410" s="468"/>
      <c r="N410" s="468">
        <v>1</v>
      </c>
      <c r="O410" s="468">
        <v>1029</v>
      </c>
      <c r="P410" s="517">
        <v>1.0137931034482759</v>
      </c>
      <c r="Q410" s="469">
        <v>1029</v>
      </c>
    </row>
    <row r="411" spans="1:17" ht="14.4" customHeight="1" x14ac:dyDescent="0.3">
      <c r="A411" s="464" t="s">
        <v>1886</v>
      </c>
      <c r="B411" s="465" t="s">
        <v>1769</v>
      </c>
      <c r="C411" s="465" t="s">
        <v>1756</v>
      </c>
      <c r="D411" s="465" t="s">
        <v>1830</v>
      </c>
      <c r="E411" s="465" t="s">
        <v>1831</v>
      </c>
      <c r="F411" s="468">
        <v>1</v>
      </c>
      <c r="G411" s="468">
        <v>290</v>
      </c>
      <c r="H411" s="468">
        <v>1</v>
      </c>
      <c r="I411" s="468">
        <v>290</v>
      </c>
      <c r="J411" s="468"/>
      <c r="K411" s="468"/>
      <c r="L411" s="468"/>
      <c r="M411" s="468"/>
      <c r="N411" s="468"/>
      <c r="O411" s="468"/>
      <c r="P411" s="517"/>
      <c r="Q411" s="469"/>
    </row>
    <row r="412" spans="1:17" ht="14.4" customHeight="1" x14ac:dyDescent="0.3">
      <c r="A412" s="464" t="s">
        <v>1887</v>
      </c>
      <c r="B412" s="465" t="s">
        <v>1769</v>
      </c>
      <c r="C412" s="465" t="s">
        <v>1756</v>
      </c>
      <c r="D412" s="465" t="s">
        <v>1773</v>
      </c>
      <c r="E412" s="465" t="s">
        <v>1774</v>
      </c>
      <c r="F412" s="468">
        <v>33</v>
      </c>
      <c r="G412" s="468">
        <v>6666</v>
      </c>
      <c r="H412" s="468">
        <v>1</v>
      </c>
      <c r="I412" s="468">
        <v>202</v>
      </c>
      <c r="J412" s="468">
        <v>41</v>
      </c>
      <c r="K412" s="468">
        <v>8323</v>
      </c>
      <c r="L412" s="468">
        <v>1.2485748574857485</v>
      </c>
      <c r="M412" s="468">
        <v>203</v>
      </c>
      <c r="N412" s="468">
        <v>19</v>
      </c>
      <c r="O412" s="468">
        <v>3891</v>
      </c>
      <c r="P412" s="517">
        <v>0.58370837083708371</v>
      </c>
      <c r="Q412" s="469">
        <v>204.78947368421052</v>
      </c>
    </row>
    <row r="413" spans="1:17" ht="14.4" customHeight="1" x14ac:dyDescent="0.3">
      <c r="A413" s="464" t="s">
        <v>1887</v>
      </c>
      <c r="B413" s="465" t="s">
        <v>1769</v>
      </c>
      <c r="C413" s="465" t="s">
        <v>1756</v>
      </c>
      <c r="D413" s="465" t="s">
        <v>1776</v>
      </c>
      <c r="E413" s="465" t="s">
        <v>1777</v>
      </c>
      <c r="F413" s="468"/>
      <c r="G413" s="468"/>
      <c r="H413" s="468"/>
      <c r="I413" s="468"/>
      <c r="J413" s="468">
        <v>97</v>
      </c>
      <c r="K413" s="468">
        <v>28324</v>
      </c>
      <c r="L413" s="468"/>
      <c r="M413" s="468">
        <v>292</v>
      </c>
      <c r="N413" s="468">
        <v>12</v>
      </c>
      <c r="O413" s="468">
        <v>3504</v>
      </c>
      <c r="P413" s="517"/>
      <c r="Q413" s="469">
        <v>292</v>
      </c>
    </row>
    <row r="414" spans="1:17" ht="14.4" customHeight="1" x14ac:dyDescent="0.3">
      <c r="A414" s="464" t="s">
        <v>1887</v>
      </c>
      <c r="B414" s="465" t="s">
        <v>1769</v>
      </c>
      <c r="C414" s="465" t="s">
        <v>1756</v>
      </c>
      <c r="D414" s="465" t="s">
        <v>1782</v>
      </c>
      <c r="E414" s="465" t="s">
        <v>1783</v>
      </c>
      <c r="F414" s="468">
        <v>19</v>
      </c>
      <c r="G414" s="468">
        <v>2527</v>
      </c>
      <c r="H414" s="468">
        <v>1</v>
      </c>
      <c r="I414" s="468">
        <v>133</v>
      </c>
      <c r="J414" s="468">
        <v>41</v>
      </c>
      <c r="K414" s="468">
        <v>5494</v>
      </c>
      <c r="L414" s="468">
        <v>2.1741195092995649</v>
      </c>
      <c r="M414" s="468">
        <v>134</v>
      </c>
      <c r="N414" s="468">
        <v>37</v>
      </c>
      <c r="O414" s="468">
        <v>4987</v>
      </c>
      <c r="P414" s="517">
        <v>1.9734863474475663</v>
      </c>
      <c r="Q414" s="469">
        <v>134.78378378378378</v>
      </c>
    </row>
    <row r="415" spans="1:17" ht="14.4" customHeight="1" x14ac:dyDescent="0.3">
      <c r="A415" s="464" t="s">
        <v>1887</v>
      </c>
      <c r="B415" s="465" t="s">
        <v>1769</v>
      </c>
      <c r="C415" s="465" t="s">
        <v>1756</v>
      </c>
      <c r="D415" s="465" t="s">
        <v>1784</v>
      </c>
      <c r="E415" s="465" t="s">
        <v>1783</v>
      </c>
      <c r="F415" s="468"/>
      <c r="G415" s="468"/>
      <c r="H415" s="468"/>
      <c r="I415" s="468"/>
      <c r="J415" s="468">
        <v>1</v>
      </c>
      <c r="K415" s="468">
        <v>175</v>
      </c>
      <c r="L415" s="468"/>
      <c r="M415" s="468">
        <v>175</v>
      </c>
      <c r="N415" s="468"/>
      <c r="O415" s="468"/>
      <c r="P415" s="517"/>
      <c r="Q415" s="469"/>
    </row>
    <row r="416" spans="1:17" ht="14.4" customHeight="1" x14ac:dyDescent="0.3">
      <c r="A416" s="464" t="s">
        <v>1887</v>
      </c>
      <c r="B416" s="465" t="s">
        <v>1769</v>
      </c>
      <c r="C416" s="465" t="s">
        <v>1756</v>
      </c>
      <c r="D416" s="465" t="s">
        <v>1785</v>
      </c>
      <c r="E416" s="465" t="s">
        <v>1786</v>
      </c>
      <c r="F416" s="468"/>
      <c r="G416" s="468"/>
      <c r="H416" s="468"/>
      <c r="I416" s="468"/>
      <c r="J416" s="468">
        <v>2</v>
      </c>
      <c r="K416" s="468">
        <v>1224</v>
      </c>
      <c r="L416" s="468"/>
      <c r="M416" s="468">
        <v>612</v>
      </c>
      <c r="N416" s="468"/>
      <c r="O416" s="468"/>
      <c r="P416" s="517"/>
      <c r="Q416" s="469"/>
    </row>
    <row r="417" spans="1:17" ht="14.4" customHeight="1" x14ac:dyDescent="0.3">
      <c r="A417" s="464" t="s">
        <v>1887</v>
      </c>
      <c r="B417" s="465" t="s">
        <v>1769</v>
      </c>
      <c r="C417" s="465" t="s">
        <v>1756</v>
      </c>
      <c r="D417" s="465" t="s">
        <v>1789</v>
      </c>
      <c r="E417" s="465" t="s">
        <v>1790</v>
      </c>
      <c r="F417" s="468"/>
      <c r="G417" s="468"/>
      <c r="H417" s="468"/>
      <c r="I417" s="468"/>
      <c r="J417" s="468">
        <v>4</v>
      </c>
      <c r="K417" s="468">
        <v>636</v>
      </c>
      <c r="L417" s="468"/>
      <c r="M417" s="468">
        <v>159</v>
      </c>
      <c r="N417" s="468">
        <v>1</v>
      </c>
      <c r="O417" s="468">
        <v>159</v>
      </c>
      <c r="P417" s="517"/>
      <c r="Q417" s="469">
        <v>159</v>
      </c>
    </row>
    <row r="418" spans="1:17" ht="14.4" customHeight="1" x14ac:dyDescent="0.3">
      <c r="A418" s="464" t="s">
        <v>1887</v>
      </c>
      <c r="B418" s="465" t="s">
        <v>1769</v>
      </c>
      <c r="C418" s="465" t="s">
        <v>1756</v>
      </c>
      <c r="D418" s="465" t="s">
        <v>1793</v>
      </c>
      <c r="E418" s="465" t="s">
        <v>1794</v>
      </c>
      <c r="F418" s="468">
        <v>38</v>
      </c>
      <c r="G418" s="468">
        <v>608</v>
      </c>
      <c r="H418" s="468">
        <v>1</v>
      </c>
      <c r="I418" s="468">
        <v>16</v>
      </c>
      <c r="J418" s="468">
        <v>60</v>
      </c>
      <c r="K418" s="468">
        <v>960</v>
      </c>
      <c r="L418" s="468">
        <v>1.5789473684210527</v>
      </c>
      <c r="M418" s="468">
        <v>16</v>
      </c>
      <c r="N418" s="468">
        <v>49</v>
      </c>
      <c r="O418" s="468">
        <v>784</v>
      </c>
      <c r="P418" s="517">
        <v>1.2894736842105263</v>
      </c>
      <c r="Q418" s="469">
        <v>16</v>
      </c>
    </row>
    <row r="419" spans="1:17" ht="14.4" customHeight="1" x14ac:dyDescent="0.3">
      <c r="A419" s="464" t="s">
        <v>1887</v>
      </c>
      <c r="B419" s="465" t="s">
        <v>1769</v>
      </c>
      <c r="C419" s="465" t="s">
        <v>1756</v>
      </c>
      <c r="D419" s="465" t="s">
        <v>1797</v>
      </c>
      <c r="E419" s="465" t="s">
        <v>1798</v>
      </c>
      <c r="F419" s="468">
        <v>11</v>
      </c>
      <c r="G419" s="468">
        <v>2871</v>
      </c>
      <c r="H419" s="468">
        <v>1</v>
      </c>
      <c r="I419" s="468">
        <v>261</v>
      </c>
      <c r="J419" s="468">
        <v>15</v>
      </c>
      <c r="K419" s="468">
        <v>3930</v>
      </c>
      <c r="L419" s="468">
        <v>1.3688610240334378</v>
      </c>
      <c r="M419" s="468">
        <v>262</v>
      </c>
      <c r="N419" s="468">
        <v>7</v>
      </c>
      <c r="O419" s="468">
        <v>1852</v>
      </c>
      <c r="P419" s="517">
        <v>0.64507140369209337</v>
      </c>
      <c r="Q419" s="469">
        <v>264.57142857142856</v>
      </c>
    </row>
    <row r="420" spans="1:17" ht="14.4" customHeight="1" x14ac:dyDescent="0.3">
      <c r="A420" s="464" t="s">
        <v>1887</v>
      </c>
      <c r="B420" s="465" t="s">
        <v>1769</v>
      </c>
      <c r="C420" s="465" t="s">
        <v>1756</v>
      </c>
      <c r="D420" s="465" t="s">
        <v>1799</v>
      </c>
      <c r="E420" s="465" t="s">
        <v>1796</v>
      </c>
      <c r="F420" s="468">
        <v>12</v>
      </c>
      <c r="G420" s="468">
        <v>1680</v>
      </c>
      <c r="H420" s="468">
        <v>1</v>
      </c>
      <c r="I420" s="468">
        <v>140</v>
      </c>
      <c r="J420" s="468">
        <v>15</v>
      </c>
      <c r="K420" s="468">
        <v>2115</v>
      </c>
      <c r="L420" s="468">
        <v>1.2589285714285714</v>
      </c>
      <c r="M420" s="468">
        <v>141</v>
      </c>
      <c r="N420" s="468">
        <v>8</v>
      </c>
      <c r="O420" s="468">
        <v>1128</v>
      </c>
      <c r="P420" s="517">
        <v>0.67142857142857137</v>
      </c>
      <c r="Q420" s="469">
        <v>141</v>
      </c>
    </row>
    <row r="421" spans="1:17" ht="14.4" customHeight="1" x14ac:dyDescent="0.3">
      <c r="A421" s="464" t="s">
        <v>1887</v>
      </c>
      <c r="B421" s="465" t="s">
        <v>1769</v>
      </c>
      <c r="C421" s="465" t="s">
        <v>1756</v>
      </c>
      <c r="D421" s="465" t="s">
        <v>1800</v>
      </c>
      <c r="E421" s="465" t="s">
        <v>1796</v>
      </c>
      <c r="F421" s="468">
        <v>19</v>
      </c>
      <c r="G421" s="468">
        <v>1482</v>
      </c>
      <c r="H421" s="468">
        <v>1</v>
      </c>
      <c r="I421" s="468">
        <v>78</v>
      </c>
      <c r="J421" s="468">
        <v>41</v>
      </c>
      <c r="K421" s="468">
        <v>3198</v>
      </c>
      <c r="L421" s="468">
        <v>2.1578947368421053</v>
      </c>
      <c r="M421" s="468">
        <v>78</v>
      </c>
      <c r="N421" s="468">
        <v>37</v>
      </c>
      <c r="O421" s="468">
        <v>2886</v>
      </c>
      <c r="P421" s="517">
        <v>1.9473684210526316</v>
      </c>
      <c r="Q421" s="469">
        <v>78</v>
      </c>
    </row>
    <row r="422" spans="1:17" ht="14.4" customHeight="1" x14ac:dyDescent="0.3">
      <c r="A422" s="464" t="s">
        <v>1887</v>
      </c>
      <c r="B422" s="465" t="s">
        <v>1769</v>
      </c>
      <c r="C422" s="465" t="s">
        <v>1756</v>
      </c>
      <c r="D422" s="465" t="s">
        <v>1801</v>
      </c>
      <c r="E422" s="465" t="s">
        <v>1802</v>
      </c>
      <c r="F422" s="468">
        <v>11</v>
      </c>
      <c r="G422" s="468">
        <v>3322</v>
      </c>
      <c r="H422" s="468">
        <v>1</v>
      </c>
      <c r="I422" s="468">
        <v>302</v>
      </c>
      <c r="J422" s="468">
        <v>15</v>
      </c>
      <c r="K422" s="468">
        <v>4545</v>
      </c>
      <c r="L422" s="468">
        <v>1.368151715833835</v>
      </c>
      <c r="M422" s="468">
        <v>303</v>
      </c>
      <c r="N422" s="468">
        <v>8</v>
      </c>
      <c r="O422" s="468">
        <v>2448</v>
      </c>
      <c r="P422" s="517">
        <v>0.73690547862733291</v>
      </c>
      <c r="Q422" s="469">
        <v>306</v>
      </c>
    </row>
    <row r="423" spans="1:17" ht="14.4" customHeight="1" x14ac:dyDescent="0.3">
      <c r="A423" s="464" t="s">
        <v>1887</v>
      </c>
      <c r="B423" s="465" t="s">
        <v>1769</v>
      </c>
      <c r="C423" s="465" t="s">
        <v>1756</v>
      </c>
      <c r="D423" s="465" t="s">
        <v>1805</v>
      </c>
      <c r="E423" s="465" t="s">
        <v>1806</v>
      </c>
      <c r="F423" s="468">
        <v>27</v>
      </c>
      <c r="G423" s="468">
        <v>4293</v>
      </c>
      <c r="H423" s="468">
        <v>1</v>
      </c>
      <c r="I423" s="468">
        <v>159</v>
      </c>
      <c r="J423" s="468">
        <v>40</v>
      </c>
      <c r="K423" s="468">
        <v>6400</v>
      </c>
      <c r="L423" s="468">
        <v>1.4907989750757047</v>
      </c>
      <c r="M423" s="468">
        <v>160</v>
      </c>
      <c r="N423" s="468">
        <v>36</v>
      </c>
      <c r="O423" s="468">
        <v>5789</v>
      </c>
      <c r="P423" s="517">
        <v>1.3484742604239459</v>
      </c>
      <c r="Q423" s="469">
        <v>160.80555555555554</v>
      </c>
    </row>
    <row r="424" spans="1:17" ht="14.4" customHeight="1" x14ac:dyDescent="0.3">
      <c r="A424" s="464" t="s">
        <v>1887</v>
      </c>
      <c r="B424" s="465" t="s">
        <v>1769</v>
      </c>
      <c r="C424" s="465" t="s">
        <v>1756</v>
      </c>
      <c r="D424" s="465" t="s">
        <v>1809</v>
      </c>
      <c r="E424" s="465" t="s">
        <v>1774</v>
      </c>
      <c r="F424" s="468">
        <v>38</v>
      </c>
      <c r="G424" s="468">
        <v>2660</v>
      </c>
      <c r="H424" s="468">
        <v>1</v>
      </c>
      <c r="I424" s="468">
        <v>70</v>
      </c>
      <c r="J424" s="468">
        <v>94</v>
      </c>
      <c r="K424" s="468">
        <v>6580</v>
      </c>
      <c r="L424" s="468">
        <v>2.4736842105263159</v>
      </c>
      <c r="M424" s="468">
        <v>70</v>
      </c>
      <c r="N424" s="468">
        <v>78</v>
      </c>
      <c r="O424" s="468">
        <v>5521</v>
      </c>
      <c r="P424" s="517">
        <v>2.0755639097744361</v>
      </c>
      <c r="Q424" s="469">
        <v>70.782051282051285</v>
      </c>
    </row>
    <row r="425" spans="1:17" ht="14.4" customHeight="1" x14ac:dyDescent="0.3">
      <c r="A425" s="464" t="s">
        <v>1887</v>
      </c>
      <c r="B425" s="465" t="s">
        <v>1769</v>
      </c>
      <c r="C425" s="465" t="s">
        <v>1756</v>
      </c>
      <c r="D425" s="465" t="s">
        <v>1814</v>
      </c>
      <c r="E425" s="465" t="s">
        <v>1815</v>
      </c>
      <c r="F425" s="468"/>
      <c r="G425" s="468"/>
      <c r="H425" s="468"/>
      <c r="I425" s="468"/>
      <c r="J425" s="468">
        <v>1</v>
      </c>
      <c r="K425" s="468">
        <v>216</v>
      </c>
      <c r="L425" s="468"/>
      <c r="M425" s="468">
        <v>216</v>
      </c>
      <c r="N425" s="468"/>
      <c r="O425" s="468"/>
      <c r="P425" s="517"/>
      <c r="Q425" s="469"/>
    </row>
    <row r="426" spans="1:17" ht="14.4" customHeight="1" x14ac:dyDescent="0.3">
      <c r="A426" s="464" t="s">
        <v>1887</v>
      </c>
      <c r="B426" s="465" t="s">
        <v>1769</v>
      </c>
      <c r="C426" s="465" t="s">
        <v>1756</v>
      </c>
      <c r="D426" s="465" t="s">
        <v>1816</v>
      </c>
      <c r="E426" s="465" t="s">
        <v>1817</v>
      </c>
      <c r="F426" s="468"/>
      <c r="G426" s="468"/>
      <c r="H426" s="468"/>
      <c r="I426" s="468"/>
      <c r="J426" s="468">
        <v>3</v>
      </c>
      <c r="K426" s="468">
        <v>3567</v>
      </c>
      <c r="L426" s="468"/>
      <c r="M426" s="468">
        <v>1189</v>
      </c>
      <c r="N426" s="468">
        <v>2</v>
      </c>
      <c r="O426" s="468">
        <v>2378</v>
      </c>
      <c r="P426" s="517"/>
      <c r="Q426" s="469">
        <v>1189</v>
      </c>
    </row>
    <row r="427" spans="1:17" ht="14.4" customHeight="1" x14ac:dyDescent="0.3">
      <c r="A427" s="464" t="s">
        <v>1887</v>
      </c>
      <c r="B427" s="465" t="s">
        <v>1769</v>
      </c>
      <c r="C427" s="465" t="s">
        <v>1756</v>
      </c>
      <c r="D427" s="465" t="s">
        <v>1818</v>
      </c>
      <c r="E427" s="465" t="s">
        <v>1819</v>
      </c>
      <c r="F427" s="468"/>
      <c r="G427" s="468"/>
      <c r="H427" s="468"/>
      <c r="I427" s="468"/>
      <c r="J427" s="468">
        <v>4</v>
      </c>
      <c r="K427" s="468">
        <v>432</v>
      </c>
      <c r="L427" s="468"/>
      <c r="M427" s="468">
        <v>108</v>
      </c>
      <c r="N427" s="468">
        <v>1</v>
      </c>
      <c r="O427" s="468">
        <v>108</v>
      </c>
      <c r="P427" s="517"/>
      <c r="Q427" s="469">
        <v>108</v>
      </c>
    </row>
    <row r="428" spans="1:17" ht="14.4" customHeight="1" x14ac:dyDescent="0.3">
      <c r="A428" s="464" t="s">
        <v>1888</v>
      </c>
      <c r="B428" s="465" t="s">
        <v>1769</v>
      </c>
      <c r="C428" s="465" t="s">
        <v>1756</v>
      </c>
      <c r="D428" s="465" t="s">
        <v>1773</v>
      </c>
      <c r="E428" s="465" t="s">
        <v>1774</v>
      </c>
      <c r="F428" s="468">
        <v>5</v>
      </c>
      <c r="G428" s="468">
        <v>1010</v>
      </c>
      <c r="H428" s="468">
        <v>1</v>
      </c>
      <c r="I428" s="468">
        <v>202</v>
      </c>
      <c r="J428" s="468">
        <v>4</v>
      </c>
      <c r="K428" s="468">
        <v>812</v>
      </c>
      <c r="L428" s="468">
        <v>0.80396039603960401</v>
      </c>
      <c r="M428" s="468">
        <v>203</v>
      </c>
      <c r="N428" s="468"/>
      <c r="O428" s="468"/>
      <c r="P428" s="517"/>
      <c r="Q428" s="469"/>
    </row>
    <row r="429" spans="1:17" ht="14.4" customHeight="1" x14ac:dyDescent="0.3">
      <c r="A429" s="464" t="s">
        <v>1888</v>
      </c>
      <c r="B429" s="465" t="s">
        <v>1769</v>
      </c>
      <c r="C429" s="465" t="s">
        <v>1756</v>
      </c>
      <c r="D429" s="465" t="s">
        <v>1776</v>
      </c>
      <c r="E429" s="465" t="s">
        <v>1777</v>
      </c>
      <c r="F429" s="468"/>
      <c r="G429" s="468"/>
      <c r="H429" s="468"/>
      <c r="I429" s="468"/>
      <c r="J429" s="468">
        <v>9</v>
      </c>
      <c r="K429" s="468">
        <v>2628</v>
      </c>
      <c r="L429" s="468"/>
      <c r="M429" s="468">
        <v>292</v>
      </c>
      <c r="N429" s="468"/>
      <c r="O429" s="468"/>
      <c r="P429" s="517"/>
      <c r="Q429" s="469"/>
    </row>
    <row r="430" spans="1:17" ht="14.4" customHeight="1" x14ac:dyDescent="0.3">
      <c r="A430" s="464" t="s">
        <v>1888</v>
      </c>
      <c r="B430" s="465" t="s">
        <v>1769</v>
      </c>
      <c r="C430" s="465" t="s">
        <v>1756</v>
      </c>
      <c r="D430" s="465" t="s">
        <v>1782</v>
      </c>
      <c r="E430" s="465" t="s">
        <v>1783</v>
      </c>
      <c r="F430" s="468">
        <v>3</v>
      </c>
      <c r="G430" s="468">
        <v>399</v>
      </c>
      <c r="H430" s="468">
        <v>1</v>
      </c>
      <c r="I430" s="468">
        <v>133</v>
      </c>
      <c r="J430" s="468"/>
      <c r="K430" s="468"/>
      <c r="L430" s="468"/>
      <c r="M430" s="468"/>
      <c r="N430" s="468"/>
      <c r="O430" s="468"/>
      <c r="P430" s="517"/>
      <c r="Q430" s="469"/>
    </row>
    <row r="431" spans="1:17" ht="14.4" customHeight="1" x14ac:dyDescent="0.3">
      <c r="A431" s="464" t="s">
        <v>1888</v>
      </c>
      <c r="B431" s="465" t="s">
        <v>1769</v>
      </c>
      <c r="C431" s="465" t="s">
        <v>1756</v>
      </c>
      <c r="D431" s="465" t="s">
        <v>1793</v>
      </c>
      <c r="E431" s="465" t="s">
        <v>1794</v>
      </c>
      <c r="F431" s="468">
        <v>5</v>
      </c>
      <c r="G431" s="468">
        <v>80</v>
      </c>
      <c r="H431" s="468">
        <v>1</v>
      </c>
      <c r="I431" s="468">
        <v>16</v>
      </c>
      <c r="J431" s="468">
        <v>2</v>
      </c>
      <c r="K431" s="468">
        <v>32</v>
      </c>
      <c r="L431" s="468">
        <v>0.4</v>
      </c>
      <c r="M431" s="468">
        <v>16</v>
      </c>
      <c r="N431" s="468"/>
      <c r="O431" s="468"/>
      <c r="P431" s="517"/>
      <c r="Q431" s="469"/>
    </row>
    <row r="432" spans="1:17" ht="14.4" customHeight="1" x14ac:dyDescent="0.3">
      <c r="A432" s="464" t="s">
        <v>1888</v>
      </c>
      <c r="B432" s="465" t="s">
        <v>1769</v>
      </c>
      <c r="C432" s="465" t="s">
        <v>1756</v>
      </c>
      <c r="D432" s="465" t="s">
        <v>1797</v>
      </c>
      <c r="E432" s="465" t="s">
        <v>1798</v>
      </c>
      <c r="F432" s="468"/>
      <c r="G432" s="468"/>
      <c r="H432" s="468"/>
      <c r="I432" s="468"/>
      <c r="J432" s="468">
        <v>2</v>
      </c>
      <c r="K432" s="468">
        <v>524</v>
      </c>
      <c r="L432" s="468"/>
      <c r="M432" s="468">
        <v>262</v>
      </c>
      <c r="N432" s="468"/>
      <c r="O432" s="468"/>
      <c r="P432" s="517"/>
      <c r="Q432" s="469"/>
    </row>
    <row r="433" spans="1:17" ht="14.4" customHeight="1" x14ac:dyDescent="0.3">
      <c r="A433" s="464" t="s">
        <v>1888</v>
      </c>
      <c r="B433" s="465" t="s">
        <v>1769</v>
      </c>
      <c r="C433" s="465" t="s">
        <v>1756</v>
      </c>
      <c r="D433" s="465" t="s">
        <v>1799</v>
      </c>
      <c r="E433" s="465" t="s">
        <v>1796</v>
      </c>
      <c r="F433" s="468">
        <v>2</v>
      </c>
      <c r="G433" s="468">
        <v>280</v>
      </c>
      <c r="H433" s="468">
        <v>1</v>
      </c>
      <c r="I433" s="468">
        <v>140</v>
      </c>
      <c r="J433" s="468">
        <v>2</v>
      </c>
      <c r="K433" s="468">
        <v>282</v>
      </c>
      <c r="L433" s="468">
        <v>1.0071428571428571</v>
      </c>
      <c r="M433" s="468">
        <v>141</v>
      </c>
      <c r="N433" s="468"/>
      <c r="O433" s="468"/>
      <c r="P433" s="517"/>
      <c r="Q433" s="469"/>
    </row>
    <row r="434" spans="1:17" ht="14.4" customHeight="1" x14ac:dyDescent="0.3">
      <c r="A434" s="464" t="s">
        <v>1888</v>
      </c>
      <c r="B434" s="465" t="s">
        <v>1769</v>
      </c>
      <c r="C434" s="465" t="s">
        <v>1756</v>
      </c>
      <c r="D434" s="465" t="s">
        <v>1800</v>
      </c>
      <c r="E434" s="465" t="s">
        <v>1796</v>
      </c>
      <c r="F434" s="468">
        <v>3</v>
      </c>
      <c r="G434" s="468">
        <v>234</v>
      </c>
      <c r="H434" s="468">
        <v>1</v>
      </c>
      <c r="I434" s="468">
        <v>78</v>
      </c>
      <c r="J434" s="468"/>
      <c r="K434" s="468"/>
      <c r="L434" s="468"/>
      <c r="M434" s="468"/>
      <c r="N434" s="468"/>
      <c r="O434" s="468"/>
      <c r="P434" s="517"/>
      <c r="Q434" s="469"/>
    </row>
    <row r="435" spans="1:17" ht="14.4" customHeight="1" x14ac:dyDescent="0.3">
      <c r="A435" s="464" t="s">
        <v>1888</v>
      </c>
      <c r="B435" s="465" t="s">
        <v>1769</v>
      </c>
      <c r="C435" s="465" t="s">
        <v>1756</v>
      </c>
      <c r="D435" s="465" t="s">
        <v>1801</v>
      </c>
      <c r="E435" s="465" t="s">
        <v>1802</v>
      </c>
      <c r="F435" s="468">
        <v>2</v>
      </c>
      <c r="G435" s="468">
        <v>604</v>
      </c>
      <c r="H435" s="468">
        <v>1</v>
      </c>
      <c r="I435" s="468">
        <v>302</v>
      </c>
      <c r="J435" s="468">
        <v>2</v>
      </c>
      <c r="K435" s="468">
        <v>606</v>
      </c>
      <c r="L435" s="468">
        <v>1.0033112582781456</v>
      </c>
      <c r="M435" s="468">
        <v>303</v>
      </c>
      <c r="N435" s="468"/>
      <c r="O435" s="468"/>
      <c r="P435" s="517"/>
      <c r="Q435" s="469"/>
    </row>
    <row r="436" spans="1:17" ht="14.4" customHeight="1" x14ac:dyDescent="0.3">
      <c r="A436" s="464" t="s">
        <v>1888</v>
      </c>
      <c r="B436" s="465" t="s">
        <v>1769</v>
      </c>
      <c r="C436" s="465" t="s">
        <v>1756</v>
      </c>
      <c r="D436" s="465" t="s">
        <v>1805</v>
      </c>
      <c r="E436" s="465" t="s">
        <v>1806</v>
      </c>
      <c r="F436" s="468">
        <v>1</v>
      </c>
      <c r="G436" s="468">
        <v>159</v>
      </c>
      <c r="H436" s="468">
        <v>1</v>
      </c>
      <c r="I436" s="468">
        <v>159</v>
      </c>
      <c r="J436" s="468"/>
      <c r="K436" s="468"/>
      <c r="L436" s="468"/>
      <c r="M436" s="468"/>
      <c r="N436" s="468"/>
      <c r="O436" s="468"/>
      <c r="P436" s="517"/>
      <c r="Q436" s="469"/>
    </row>
    <row r="437" spans="1:17" ht="14.4" customHeight="1" x14ac:dyDescent="0.3">
      <c r="A437" s="464" t="s">
        <v>1888</v>
      </c>
      <c r="B437" s="465" t="s">
        <v>1769</v>
      </c>
      <c r="C437" s="465" t="s">
        <v>1756</v>
      </c>
      <c r="D437" s="465" t="s">
        <v>1809</v>
      </c>
      <c r="E437" s="465" t="s">
        <v>1774</v>
      </c>
      <c r="F437" s="468">
        <v>5</v>
      </c>
      <c r="G437" s="468">
        <v>350</v>
      </c>
      <c r="H437" s="468">
        <v>1</v>
      </c>
      <c r="I437" s="468">
        <v>70</v>
      </c>
      <c r="J437" s="468"/>
      <c r="K437" s="468"/>
      <c r="L437" s="468"/>
      <c r="M437" s="468"/>
      <c r="N437" s="468"/>
      <c r="O437" s="468"/>
      <c r="P437" s="517"/>
      <c r="Q437" s="469"/>
    </row>
    <row r="438" spans="1:17" ht="14.4" customHeight="1" x14ac:dyDescent="0.3">
      <c r="A438" s="464" t="s">
        <v>1889</v>
      </c>
      <c r="B438" s="465" t="s">
        <v>1769</v>
      </c>
      <c r="C438" s="465" t="s">
        <v>1756</v>
      </c>
      <c r="D438" s="465" t="s">
        <v>1773</v>
      </c>
      <c r="E438" s="465" t="s">
        <v>1774</v>
      </c>
      <c r="F438" s="468">
        <v>20</v>
      </c>
      <c r="G438" s="468">
        <v>4040</v>
      </c>
      <c r="H438" s="468">
        <v>1</v>
      </c>
      <c r="I438" s="468">
        <v>202</v>
      </c>
      <c r="J438" s="468"/>
      <c r="K438" s="468"/>
      <c r="L438" s="468"/>
      <c r="M438" s="468"/>
      <c r="N438" s="468"/>
      <c r="O438" s="468"/>
      <c r="P438" s="517"/>
      <c r="Q438" s="469"/>
    </row>
    <row r="439" spans="1:17" ht="14.4" customHeight="1" x14ac:dyDescent="0.3">
      <c r="A439" s="464" t="s">
        <v>1889</v>
      </c>
      <c r="B439" s="465" t="s">
        <v>1769</v>
      </c>
      <c r="C439" s="465" t="s">
        <v>1756</v>
      </c>
      <c r="D439" s="465" t="s">
        <v>1776</v>
      </c>
      <c r="E439" s="465" t="s">
        <v>1777</v>
      </c>
      <c r="F439" s="468">
        <v>6</v>
      </c>
      <c r="G439" s="468">
        <v>1746</v>
      </c>
      <c r="H439" s="468">
        <v>1</v>
      </c>
      <c r="I439" s="468">
        <v>291</v>
      </c>
      <c r="J439" s="468"/>
      <c r="K439" s="468"/>
      <c r="L439" s="468"/>
      <c r="M439" s="468"/>
      <c r="N439" s="468"/>
      <c r="O439" s="468"/>
      <c r="P439" s="517"/>
      <c r="Q439" s="469"/>
    </row>
    <row r="440" spans="1:17" ht="14.4" customHeight="1" x14ac:dyDescent="0.3">
      <c r="A440" s="464" t="s">
        <v>1889</v>
      </c>
      <c r="B440" s="465" t="s">
        <v>1769</v>
      </c>
      <c r="C440" s="465" t="s">
        <v>1756</v>
      </c>
      <c r="D440" s="465" t="s">
        <v>1782</v>
      </c>
      <c r="E440" s="465" t="s">
        <v>1783</v>
      </c>
      <c r="F440" s="468">
        <v>10</v>
      </c>
      <c r="G440" s="468">
        <v>1330</v>
      </c>
      <c r="H440" s="468">
        <v>1</v>
      </c>
      <c r="I440" s="468">
        <v>133</v>
      </c>
      <c r="J440" s="468"/>
      <c r="K440" s="468"/>
      <c r="L440" s="468"/>
      <c r="M440" s="468"/>
      <c r="N440" s="468"/>
      <c r="O440" s="468"/>
      <c r="P440" s="517"/>
      <c r="Q440" s="469"/>
    </row>
    <row r="441" spans="1:17" ht="14.4" customHeight="1" x14ac:dyDescent="0.3">
      <c r="A441" s="464" t="s">
        <v>1889</v>
      </c>
      <c r="B441" s="465" t="s">
        <v>1769</v>
      </c>
      <c r="C441" s="465" t="s">
        <v>1756</v>
      </c>
      <c r="D441" s="465" t="s">
        <v>1785</v>
      </c>
      <c r="E441" s="465" t="s">
        <v>1786</v>
      </c>
      <c r="F441" s="468">
        <v>1</v>
      </c>
      <c r="G441" s="468">
        <v>609</v>
      </c>
      <c r="H441" s="468">
        <v>1</v>
      </c>
      <c r="I441" s="468">
        <v>609</v>
      </c>
      <c r="J441" s="468"/>
      <c r="K441" s="468"/>
      <c r="L441" s="468"/>
      <c r="M441" s="468"/>
      <c r="N441" s="468"/>
      <c r="O441" s="468"/>
      <c r="P441" s="517"/>
      <c r="Q441" s="469"/>
    </row>
    <row r="442" spans="1:17" ht="14.4" customHeight="1" x14ac:dyDescent="0.3">
      <c r="A442" s="464" t="s">
        <v>1889</v>
      </c>
      <c r="B442" s="465" t="s">
        <v>1769</v>
      </c>
      <c r="C442" s="465" t="s">
        <v>1756</v>
      </c>
      <c r="D442" s="465" t="s">
        <v>1789</v>
      </c>
      <c r="E442" s="465" t="s">
        <v>1790</v>
      </c>
      <c r="F442" s="468">
        <v>1</v>
      </c>
      <c r="G442" s="468">
        <v>158</v>
      </c>
      <c r="H442" s="468">
        <v>1</v>
      </c>
      <c r="I442" s="468">
        <v>158</v>
      </c>
      <c r="J442" s="468"/>
      <c r="K442" s="468"/>
      <c r="L442" s="468"/>
      <c r="M442" s="468"/>
      <c r="N442" s="468"/>
      <c r="O442" s="468"/>
      <c r="P442" s="517"/>
      <c r="Q442" s="469"/>
    </row>
    <row r="443" spans="1:17" ht="14.4" customHeight="1" x14ac:dyDescent="0.3">
      <c r="A443" s="464" t="s">
        <v>1889</v>
      </c>
      <c r="B443" s="465" t="s">
        <v>1769</v>
      </c>
      <c r="C443" s="465" t="s">
        <v>1756</v>
      </c>
      <c r="D443" s="465" t="s">
        <v>1793</v>
      </c>
      <c r="E443" s="465" t="s">
        <v>1794</v>
      </c>
      <c r="F443" s="468">
        <v>20</v>
      </c>
      <c r="G443" s="468">
        <v>320</v>
      </c>
      <c r="H443" s="468">
        <v>1</v>
      </c>
      <c r="I443" s="468">
        <v>16</v>
      </c>
      <c r="J443" s="468"/>
      <c r="K443" s="468"/>
      <c r="L443" s="468"/>
      <c r="M443" s="468"/>
      <c r="N443" s="468"/>
      <c r="O443" s="468"/>
      <c r="P443" s="517"/>
      <c r="Q443" s="469"/>
    </row>
    <row r="444" spans="1:17" ht="14.4" customHeight="1" x14ac:dyDescent="0.3">
      <c r="A444" s="464" t="s">
        <v>1889</v>
      </c>
      <c r="B444" s="465" t="s">
        <v>1769</v>
      </c>
      <c r="C444" s="465" t="s">
        <v>1756</v>
      </c>
      <c r="D444" s="465" t="s">
        <v>1797</v>
      </c>
      <c r="E444" s="465" t="s">
        <v>1798</v>
      </c>
      <c r="F444" s="468">
        <v>4</v>
      </c>
      <c r="G444" s="468">
        <v>1044</v>
      </c>
      <c r="H444" s="468">
        <v>1</v>
      </c>
      <c r="I444" s="468">
        <v>261</v>
      </c>
      <c r="J444" s="468"/>
      <c r="K444" s="468"/>
      <c r="L444" s="468"/>
      <c r="M444" s="468"/>
      <c r="N444" s="468"/>
      <c r="O444" s="468"/>
      <c r="P444" s="517"/>
      <c r="Q444" s="469"/>
    </row>
    <row r="445" spans="1:17" ht="14.4" customHeight="1" x14ac:dyDescent="0.3">
      <c r="A445" s="464" t="s">
        <v>1889</v>
      </c>
      <c r="B445" s="465" t="s">
        <v>1769</v>
      </c>
      <c r="C445" s="465" t="s">
        <v>1756</v>
      </c>
      <c r="D445" s="465" t="s">
        <v>1799</v>
      </c>
      <c r="E445" s="465" t="s">
        <v>1796</v>
      </c>
      <c r="F445" s="468">
        <v>4</v>
      </c>
      <c r="G445" s="468">
        <v>560</v>
      </c>
      <c r="H445" s="468">
        <v>1</v>
      </c>
      <c r="I445" s="468">
        <v>140</v>
      </c>
      <c r="J445" s="468"/>
      <c r="K445" s="468"/>
      <c r="L445" s="468"/>
      <c r="M445" s="468"/>
      <c r="N445" s="468"/>
      <c r="O445" s="468"/>
      <c r="P445" s="517"/>
      <c r="Q445" s="469"/>
    </row>
    <row r="446" spans="1:17" ht="14.4" customHeight="1" x14ac:dyDescent="0.3">
      <c r="A446" s="464" t="s">
        <v>1889</v>
      </c>
      <c r="B446" s="465" t="s">
        <v>1769</v>
      </c>
      <c r="C446" s="465" t="s">
        <v>1756</v>
      </c>
      <c r="D446" s="465" t="s">
        <v>1800</v>
      </c>
      <c r="E446" s="465" t="s">
        <v>1796</v>
      </c>
      <c r="F446" s="468">
        <v>10</v>
      </c>
      <c r="G446" s="468">
        <v>780</v>
      </c>
      <c r="H446" s="468">
        <v>1</v>
      </c>
      <c r="I446" s="468">
        <v>78</v>
      </c>
      <c r="J446" s="468"/>
      <c r="K446" s="468"/>
      <c r="L446" s="468"/>
      <c r="M446" s="468"/>
      <c r="N446" s="468"/>
      <c r="O446" s="468"/>
      <c r="P446" s="517"/>
      <c r="Q446" s="469"/>
    </row>
    <row r="447" spans="1:17" ht="14.4" customHeight="1" x14ac:dyDescent="0.3">
      <c r="A447" s="464" t="s">
        <v>1889</v>
      </c>
      <c r="B447" s="465" t="s">
        <v>1769</v>
      </c>
      <c r="C447" s="465" t="s">
        <v>1756</v>
      </c>
      <c r="D447" s="465" t="s">
        <v>1801</v>
      </c>
      <c r="E447" s="465" t="s">
        <v>1802</v>
      </c>
      <c r="F447" s="468">
        <v>4</v>
      </c>
      <c r="G447" s="468">
        <v>1208</v>
      </c>
      <c r="H447" s="468">
        <v>1</v>
      </c>
      <c r="I447" s="468">
        <v>302</v>
      </c>
      <c r="J447" s="468"/>
      <c r="K447" s="468"/>
      <c r="L447" s="468"/>
      <c r="M447" s="468"/>
      <c r="N447" s="468"/>
      <c r="O447" s="468"/>
      <c r="P447" s="517"/>
      <c r="Q447" s="469"/>
    </row>
    <row r="448" spans="1:17" ht="14.4" customHeight="1" x14ac:dyDescent="0.3">
      <c r="A448" s="464" t="s">
        <v>1889</v>
      </c>
      <c r="B448" s="465" t="s">
        <v>1769</v>
      </c>
      <c r="C448" s="465" t="s">
        <v>1756</v>
      </c>
      <c r="D448" s="465" t="s">
        <v>1805</v>
      </c>
      <c r="E448" s="465" t="s">
        <v>1806</v>
      </c>
      <c r="F448" s="468">
        <v>11</v>
      </c>
      <c r="G448" s="468">
        <v>1749</v>
      </c>
      <c r="H448" s="468">
        <v>1</v>
      </c>
      <c r="I448" s="468">
        <v>159</v>
      </c>
      <c r="J448" s="468"/>
      <c r="K448" s="468"/>
      <c r="L448" s="468"/>
      <c r="M448" s="468"/>
      <c r="N448" s="468"/>
      <c r="O448" s="468"/>
      <c r="P448" s="517"/>
      <c r="Q448" s="469"/>
    </row>
    <row r="449" spans="1:17" ht="14.4" customHeight="1" x14ac:dyDescent="0.3">
      <c r="A449" s="464" t="s">
        <v>1889</v>
      </c>
      <c r="B449" s="465" t="s">
        <v>1769</v>
      </c>
      <c r="C449" s="465" t="s">
        <v>1756</v>
      </c>
      <c r="D449" s="465" t="s">
        <v>1809</v>
      </c>
      <c r="E449" s="465" t="s">
        <v>1774</v>
      </c>
      <c r="F449" s="468">
        <v>23</v>
      </c>
      <c r="G449" s="468">
        <v>1610</v>
      </c>
      <c r="H449" s="468">
        <v>1</v>
      </c>
      <c r="I449" s="468">
        <v>70</v>
      </c>
      <c r="J449" s="468"/>
      <c r="K449" s="468"/>
      <c r="L449" s="468"/>
      <c r="M449" s="468"/>
      <c r="N449" s="468"/>
      <c r="O449" s="468"/>
      <c r="P449" s="517"/>
      <c r="Q449" s="469"/>
    </row>
    <row r="450" spans="1:17" ht="14.4" customHeight="1" x14ac:dyDescent="0.3">
      <c r="A450" s="464" t="s">
        <v>1889</v>
      </c>
      <c r="B450" s="465" t="s">
        <v>1769</v>
      </c>
      <c r="C450" s="465" t="s">
        <v>1756</v>
      </c>
      <c r="D450" s="465" t="s">
        <v>1814</v>
      </c>
      <c r="E450" s="465" t="s">
        <v>1815</v>
      </c>
      <c r="F450" s="468">
        <v>3</v>
      </c>
      <c r="G450" s="468">
        <v>645</v>
      </c>
      <c r="H450" s="468">
        <v>1</v>
      </c>
      <c r="I450" s="468">
        <v>215</v>
      </c>
      <c r="J450" s="468"/>
      <c r="K450" s="468"/>
      <c r="L450" s="468"/>
      <c r="M450" s="468"/>
      <c r="N450" s="468"/>
      <c r="O450" s="468"/>
      <c r="P450" s="517"/>
      <c r="Q450" s="469"/>
    </row>
    <row r="451" spans="1:17" ht="14.4" customHeight="1" x14ac:dyDescent="0.3">
      <c r="A451" s="464" t="s">
        <v>1889</v>
      </c>
      <c r="B451" s="465" t="s">
        <v>1769</v>
      </c>
      <c r="C451" s="465" t="s">
        <v>1756</v>
      </c>
      <c r="D451" s="465" t="s">
        <v>1816</v>
      </c>
      <c r="E451" s="465" t="s">
        <v>1817</v>
      </c>
      <c r="F451" s="468">
        <v>1</v>
      </c>
      <c r="G451" s="468">
        <v>1186</v>
      </c>
      <c r="H451" s="468">
        <v>1</v>
      </c>
      <c r="I451" s="468">
        <v>1186</v>
      </c>
      <c r="J451" s="468"/>
      <c r="K451" s="468"/>
      <c r="L451" s="468"/>
      <c r="M451" s="468"/>
      <c r="N451" s="468"/>
      <c r="O451" s="468"/>
      <c r="P451" s="517"/>
      <c r="Q451" s="469"/>
    </row>
    <row r="452" spans="1:17" ht="14.4" customHeight="1" x14ac:dyDescent="0.3">
      <c r="A452" s="464" t="s">
        <v>1889</v>
      </c>
      <c r="B452" s="465" t="s">
        <v>1769</v>
      </c>
      <c r="C452" s="465" t="s">
        <v>1756</v>
      </c>
      <c r="D452" s="465" t="s">
        <v>1818</v>
      </c>
      <c r="E452" s="465" t="s">
        <v>1819</v>
      </c>
      <c r="F452" s="468">
        <v>2</v>
      </c>
      <c r="G452" s="468">
        <v>214</v>
      </c>
      <c r="H452" s="468">
        <v>1</v>
      </c>
      <c r="I452" s="468">
        <v>107</v>
      </c>
      <c r="J452" s="468"/>
      <c r="K452" s="468"/>
      <c r="L452" s="468"/>
      <c r="M452" s="468"/>
      <c r="N452" s="468"/>
      <c r="O452" s="468"/>
      <c r="P452" s="517"/>
      <c r="Q452" s="469"/>
    </row>
    <row r="453" spans="1:17" ht="14.4" customHeight="1" x14ac:dyDescent="0.3">
      <c r="A453" s="464" t="s">
        <v>1889</v>
      </c>
      <c r="B453" s="465" t="s">
        <v>1769</v>
      </c>
      <c r="C453" s="465" t="s">
        <v>1756</v>
      </c>
      <c r="D453" s="465" t="s">
        <v>1822</v>
      </c>
      <c r="E453" s="465" t="s">
        <v>1823</v>
      </c>
      <c r="F453" s="468">
        <v>1</v>
      </c>
      <c r="G453" s="468">
        <v>318</v>
      </c>
      <c r="H453" s="468">
        <v>1</v>
      </c>
      <c r="I453" s="468">
        <v>318</v>
      </c>
      <c r="J453" s="468"/>
      <c r="K453" s="468"/>
      <c r="L453" s="468"/>
      <c r="M453" s="468"/>
      <c r="N453" s="468"/>
      <c r="O453" s="468"/>
      <c r="P453" s="517"/>
      <c r="Q453" s="469"/>
    </row>
    <row r="454" spans="1:17" ht="14.4" customHeight="1" x14ac:dyDescent="0.3">
      <c r="A454" s="464" t="s">
        <v>1890</v>
      </c>
      <c r="B454" s="465" t="s">
        <v>1769</v>
      </c>
      <c r="C454" s="465" t="s">
        <v>1756</v>
      </c>
      <c r="D454" s="465" t="s">
        <v>1773</v>
      </c>
      <c r="E454" s="465" t="s">
        <v>1774</v>
      </c>
      <c r="F454" s="468">
        <v>19</v>
      </c>
      <c r="G454" s="468">
        <v>3838</v>
      </c>
      <c r="H454" s="468">
        <v>1</v>
      </c>
      <c r="I454" s="468">
        <v>202</v>
      </c>
      <c r="J454" s="468">
        <v>16</v>
      </c>
      <c r="K454" s="468">
        <v>3248</v>
      </c>
      <c r="L454" s="468">
        <v>0.84627410109432</v>
      </c>
      <c r="M454" s="468">
        <v>203</v>
      </c>
      <c r="N454" s="468">
        <v>22</v>
      </c>
      <c r="O454" s="468">
        <v>4504</v>
      </c>
      <c r="P454" s="517">
        <v>1.1735278791036998</v>
      </c>
      <c r="Q454" s="469">
        <v>204.72727272727272</v>
      </c>
    </row>
    <row r="455" spans="1:17" ht="14.4" customHeight="1" x14ac:dyDescent="0.3">
      <c r="A455" s="464" t="s">
        <v>1890</v>
      </c>
      <c r="B455" s="465" t="s">
        <v>1769</v>
      </c>
      <c r="C455" s="465" t="s">
        <v>1756</v>
      </c>
      <c r="D455" s="465" t="s">
        <v>1776</v>
      </c>
      <c r="E455" s="465" t="s">
        <v>1777</v>
      </c>
      <c r="F455" s="468">
        <v>33</v>
      </c>
      <c r="G455" s="468">
        <v>9603</v>
      </c>
      <c r="H455" s="468">
        <v>1</v>
      </c>
      <c r="I455" s="468">
        <v>291</v>
      </c>
      <c r="J455" s="468">
        <v>77</v>
      </c>
      <c r="K455" s="468">
        <v>22484</v>
      </c>
      <c r="L455" s="468">
        <v>2.3413516609392899</v>
      </c>
      <c r="M455" s="468">
        <v>292</v>
      </c>
      <c r="N455" s="468">
        <v>97</v>
      </c>
      <c r="O455" s="468">
        <v>28518</v>
      </c>
      <c r="P455" s="517">
        <v>2.9696969696969697</v>
      </c>
      <c r="Q455" s="469">
        <v>294</v>
      </c>
    </row>
    <row r="456" spans="1:17" ht="14.4" customHeight="1" x14ac:dyDescent="0.3">
      <c r="A456" s="464" t="s">
        <v>1890</v>
      </c>
      <c r="B456" s="465" t="s">
        <v>1769</v>
      </c>
      <c r="C456" s="465" t="s">
        <v>1756</v>
      </c>
      <c r="D456" s="465" t="s">
        <v>1778</v>
      </c>
      <c r="E456" s="465" t="s">
        <v>1779</v>
      </c>
      <c r="F456" s="468"/>
      <c r="G456" s="468"/>
      <c r="H456" s="468"/>
      <c r="I456" s="468"/>
      <c r="J456" s="468">
        <v>3</v>
      </c>
      <c r="K456" s="468">
        <v>279</v>
      </c>
      <c r="L456" s="468"/>
      <c r="M456" s="468">
        <v>93</v>
      </c>
      <c r="N456" s="468">
        <v>9</v>
      </c>
      <c r="O456" s="468">
        <v>846</v>
      </c>
      <c r="P456" s="517"/>
      <c r="Q456" s="469">
        <v>94</v>
      </c>
    </row>
    <row r="457" spans="1:17" ht="14.4" customHeight="1" x14ac:dyDescent="0.3">
      <c r="A457" s="464" t="s">
        <v>1890</v>
      </c>
      <c r="B457" s="465" t="s">
        <v>1769</v>
      </c>
      <c r="C457" s="465" t="s">
        <v>1756</v>
      </c>
      <c r="D457" s="465" t="s">
        <v>1782</v>
      </c>
      <c r="E457" s="465" t="s">
        <v>1783</v>
      </c>
      <c r="F457" s="468">
        <v>24</v>
      </c>
      <c r="G457" s="468">
        <v>3192</v>
      </c>
      <c r="H457" s="468">
        <v>1</v>
      </c>
      <c r="I457" s="468">
        <v>133</v>
      </c>
      <c r="J457" s="468">
        <v>23</v>
      </c>
      <c r="K457" s="468">
        <v>3082</v>
      </c>
      <c r="L457" s="468">
        <v>0.96553884711779447</v>
      </c>
      <c r="M457" s="468">
        <v>134</v>
      </c>
      <c r="N457" s="468">
        <v>34</v>
      </c>
      <c r="O457" s="468">
        <v>4580</v>
      </c>
      <c r="P457" s="517">
        <v>1.4348370927318295</v>
      </c>
      <c r="Q457" s="469">
        <v>134.70588235294119</v>
      </c>
    </row>
    <row r="458" spans="1:17" ht="14.4" customHeight="1" x14ac:dyDescent="0.3">
      <c r="A458" s="464" t="s">
        <v>1890</v>
      </c>
      <c r="B458" s="465" t="s">
        <v>1769</v>
      </c>
      <c r="C458" s="465" t="s">
        <v>1756</v>
      </c>
      <c r="D458" s="465" t="s">
        <v>1785</v>
      </c>
      <c r="E458" s="465" t="s">
        <v>1786</v>
      </c>
      <c r="F458" s="468"/>
      <c r="G458" s="468"/>
      <c r="H458" s="468"/>
      <c r="I458" s="468"/>
      <c r="J458" s="468">
        <v>1</v>
      </c>
      <c r="K458" s="468">
        <v>612</v>
      </c>
      <c r="L458" s="468"/>
      <c r="M458" s="468">
        <v>612</v>
      </c>
      <c r="N458" s="468"/>
      <c r="O458" s="468"/>
      <c r="P458" s="517"/>
      <c r="Q458" s="469"/>
    </row>
    <row r="459" spans="1:17" ht="14.4" customHeight="1" x14ac:dyDescent="0.3">
      <c r="A459" s="464" t="s">
        <v>1890</v>
      </c>
      <c r="B459" s="465" t="s">
        <v>1769</v>
      </c>
      <c r="C459" s="465" t="s">
        <v>1756</v>
      </c>
      <c r="D459" s="465" t="s">
        <v>1789</v>
      </c>
      <c r="E459" s="465" t="s">
        <v>1790</v>
      </c>
      <c r="F459" s="468">
        <v>2</v>
      </c>
      <c r="G459" s="468">
        <v>316</v>
      </c>
      <c r="H459" s="468">
        <v>1</v>
      </c>
      <c r="I459" s="468">
        <v>158</v>
      </c>
      <c r="J459" s="468">
        <v>2</v>
      </c>
      <c r="K459" s="468">
        <v>318</v>
      </c>
      <c r="L459" s="468">
        <v>1.0063291139240507</v>
      </c>
      <c r="M459" s="468">
        <v>159</v>
      </c>
      <c r="N459" s="468">
        <v>5</v>
      </c>
      <c r="O459" s="468">
        <v>800</v>
      </c>
      <c r="P459" s="517">
        <v>2.5316455696202533</v>
      </c>
      <c r="Q459" s="469">
        <v>160</v>
      </c>
    </row>
    <row r="460" spans="1:17" ht="14.4" customHeight="1" x14ac:dyDescent="0.3">
      <c r="A460" s="464" t="s">
        <v>1890</v>
      </c>
      <c r="B460" s="465" t="s">
        <v>1769</v>
      </c>
      <c r="C460" s="465" t="s">
        <v>1756</v>
      </c>
      <c r="D460" s="465" t="s">
        <v>1791</v>
      </c>
      <c r="E460" s="465" t="s">
        <v>1792</v>
      </c>
      <c r="F460" s="468">
        <v>1</v>
      </c>
      <c r="G460" s="468">
        <v>382</v>
      </c>
      <c r="H460" s="468">
        <v>1</v>
      </c>
      <c r="I460" s="468">
        <v>382</v>
      </c>
      <c r="J460" s="468"/>
      <c r="K460" s="468"/>
      <c r="L460" s="468"/>
      <c r="M460" s="468"/>
      <c r="N460" s="468"/>
      <c r="O460" s="468"/>
      <c r="P460" s="517"/>
      <c r="Q460" s="469"/>
    </row>
    <row r="461" spans="1:17" ht="14.4" customHeight="1" x14ac:dyDescent="0.3">
      <c r="A461" s="464" t="s">
        <v>1890</v>
      </c>
      <c r="B461" s="465" t="s">
        <v>1769</v>
      </c>
      <c r="C461" s="465" t="s">
        <v>1756</v>
      </c>
      <c r="D461" s="465" t="s">
        <v>1793</v>
      </c>
      <c r="E461" s="465" t="s">
        <v>1794</v>
      </c>
      <c r="F461" s="468">
        <v>40</v>
      </c>
      <c r="G461" s="468">
        <v>640</v>
      </c>
      <c r="H461" s="468">
        <v>1</v>
      </c>
      <c r="I461" s="468">
        <v>16</v>
      </c>
      <c r="J461" s="468">
        <v>33</v>
      </c>
      <c r="K461" s="468">
        <v>528</v>
      </c>
      <c r="L461" s="468">
        <v>0.82499999999999996</v>
      </c>
      <c r="M461" s="468">
        <v>16</v>
      </c>
      <c r="N461" s="468">
        <v>44</v>
      </c>
      <c r="O461" s="468">
        <v>704</v>
      </c>
      <c r="P461" s="517">
        <v>1.1000000000000001</v>
      </c>
      <c r="Q461" s="469">
        <v>16</v>
      </c>
    </row>
    <row r="462" spans="1:17" ht="14.4" customHeight="1" x14ac:dyDescent="0.3">
      <c r="A462" s="464" t="s">
        <v>1890</v>
      </c>
      <c r="B462" s="465" t="s">
        <v>1769</v>
      </c>
      <c r="C462" s="465" t="s">
        <v>1756</v>
      </c>
      <c r="D462" s="465" t="s">
        <v>1797</v>
      </c>
      <c r="E462" s="465" t="s">
        <v>1798</v>
      </c>
      <c r="F462" s="468">
        <v>8</v>
      </c>
      <c r="G462" s="468">
        <v>2088</v>
      </c>
      <c r="H462" s="468">
        <v>1</v>
      </c>
      <c r="I462" s="468">
        <v>261</v>
      </c>
      <c r="J462" s="468">
        <v>5</v>
      </c>
      <c r="K462" s="468">
        <v>1310</v>
      </c>
      <c r="L462" s="468">
        <v>0.62739463601532564</v>
      </c>
      <c r="M462" s="468">
        <v>262</v>
      </c>
      <c r="N462" s="468">
        <v>5</v>
      </c>
      <c r="O462" s="468">
        <v>1319</v>
      </c>
      <c r="P462" s="517">
        <v>0.63170498084291182</v>
      </c>
      <c r="Q462" s="469">
        <v>263.8</v>
      </c>
    </row>
    <row r="463" spans="1:17" ht="14.4" customHeight="1" x14ac:dyDescent="0.3">
      <c r="A463" s="464" t="s">
        <v>1890</v>
      </c>
      <c r="B463" s="465" t="s">
        <v>1769</v>
      </c>
      <c r="C463" s="465" t="s">
        <v>1756</v>
      </c>
      <c r="D463" s="465" t="s">
        <v>1799</v>
      </c>
      <c r="E463" s="465" t="s">
        <v>1796</v>
      </c>
      <c r="F463" s="468">
        <v>8</v>
      </c>
      <c r="G463" s="468">
        <v>1120</v>
      </c>
      <c r="H463" s="468">
        <v>1</v>
      </c>
      <c r="I463" s="468">
        <v>140</v>
      </c>
      <c r="J463" s="468">
        <v>6</v>
      </c>
      <c r="K463" s="468">
        <v>846</v>
      </c>
      <c r="L463" s="468">
        <v>0.75535714285714284</v>
      </c>
      <c r="M463" s="468">
        <v>141</v>
      </c>
      <c r="N463" s="468">
        <v>7</v>
      </c>
      <c r="O463" s="468">
        <v>987</v>
      </c>
      <c r="P463" s="517">
        <v>0.88124999999999998</v>
      </c>
      <c r="Q463" s="469">
        <v>141</v>
      </c>
    </row>
    <row r="464" spans="1:17" ht="14.4" customHeight="1" x14ac:dyDescent="0.3">
      <c r="A464" s="464" t="s">
        <v>1890</v>
      </c>
      <c r="B464" s="465" t="s">
        <v>1769</v>
      </c>
      <c r="C464" s="465" t="s">
        <v>1756</v>
      </c>
      <c r="D464" s="465" t="s">
        <v>1800</v>
      </c>
      <c r="E464" s="465" t="s">
        <v>1796</v>
      </c>
      <c r="F464" s="468">
        <v>24</v>
      </c>
      <c r="G464" s="468">
        <v>1872</v>
      </c>
      <c r="H464" s="468">
        <v>1</v>
      </c>
      <c r="I464" s="468">
        <v>78</v>
      </c>
      <c r="J464" s="468">
        <v>23</v>
      </c>
      <c r="K464" s="468">
        <v>1794</v>
      </c>
      <c r="L464" s="468">
        <v>0.95833333333333337</v>
      </c>
      <c r="M464" s="468">
        <v>78</v>
      </c>
      <c r="N464" s="468">
        <v>34</v>
      </c>
      <c r="O464" s="468">
        <v>2652</v>
      </c>
      <c r="P464" s="517">
        <v>1.4166666666666667</v>
      </c>
      <c r="Q464" s="469">
        <v>78</v>
      </c>
    </row>
    <row r="465" spans="1:17" ht="14.4" customHeight="1" x14ac:dyDescent="0.3">
      <c r="A465" s="464" t="s">
        <v>1890</v>
      </c>
      <c r="B465" s="465" t="s">
        <v>1769</v>
      </c>
      <c r="C465" s="465" t="s">
        <v>1756</v>
      </c>
      <c r="D465" s="465" t="s">
        <v>1801</v>
      </c>
      <c r="E465" s="465" t="s">
        <v>1802</v>
      </c>
      <c r="F465" s="468">
        <v>8</v>
      </c>
      <c r="G465" s="468">
        <v>2416</v>
      </c>
      <c r="H465" s="468">
        <v>1</v>
      </c>
      <c r="I465" s="468">
        <v>302</v>
      </c>
      <c r="J465" s="468">
        <v>6</v>
      </c>
      <c r="K465" s="468">
        <v>1818</v>
      </c>
      <c r="L465" s="468">
        <v>0.75248344370860931</v>
      </c>
      <c r="M465" s="468">
        <v>303</v>
      </c>
      <c r="N465" s="468">
        <v>7</v>
      </c>
      <c r="O465" s="468">
        <v>2136</v>
      </c>
      <c r="P465" s="517">
        <v>0.88410596026490063</v>
      </c>
      <c r="Q465" s="469">
        <v>305.14285714285717</v>
      </c>
    </row>
    <row r="466" spans="1:17" ht="14.4" customHeight="1" x14ac:dyDescent="0.3">
      <c r="A466" s="464" t="s">
        <v>1890</v>
      </c>
      <c r="B466" s="465" t="s">
        <v>1769</v>
      </c>
      <c r="C466" s="465" t="s">
        <v>1756</v>
      </c>
      <c r="D466" s="465" t="s">
        <v>1803</v>
      </c>
      <c r="E466" s="465" t="s">
        <v>1804</v>
      </c>
      <c r="F466" s="468">
        <v>1</v>
      </c>
      <c r="G466" s="468">
        <v>486</v>
      </c>
      <c r="H466" s="468">
        <v>1</v>
      </c>
      <c r="I466" s="468">
        <v>486</v>
      </c>
      <c r="J466" s="468"/>
      <c r="K466" s="468"/>
      <c r="L466" s="468"/>
      <c r="M466" s="468"/>
      <c r="N466" s="468"/>
      <c r="O466" s="468"/>
      <c r="P466" s="517"/>
      <c r="Q466" s="469"/>
    </row>
    <row r="467" spans="1:17" ht="14.4" customHeight="1" x14ac:dyDescent="0.3">
      <c r="A467" s="464" t="s">
        <v>1890</v>
      </c>
      <c r="B467" s="465" t="s">
        <v>1769</v>
      </c>
      <c r="C467" s="465" t="s">
        <v>1756</v>
      </c>
      <c r="D467" s="465" t="s">
        <v>1805</v>
      </c>
      <c r="E467" s="465" t="s">
        <v>1806</v>
      </c>
      <c r="F467" s="468">
        <v>20</v>
      </c>
      <c r="G467" s="468">
        <v>3180</v>
      </c>
      <c r="H467" s="468">
        <v>1</v>
      </c>
      <c r="I467" s="468">
        <v>159</v>
      </c>
      <c r="J467" s="468">
        <v>13</v>
      </c>
      <c r="K467" s="468">
        <v>2080</v>
      </c>
      <c r="L467" s="468">
        <v>0.65408805031446537</v>
      </c>
      <c r="M467" s="468">
        <v>160</v>
      </c>
      <c r="N467" s="468">
        <v>15</v>
      </c>
      <c r="O467" s="468">
        <v>2409</v>
      </c>
      <c r="P467" s="517">
        <v>0.75754716981132075</v>
      </c>
      <c r="Q467" s="469">
        <v>160.6</v>
      </c>
    </row>
    <row r="468" spans="1:17" ht="14.4" customHeight="1" x14ac:dyDescent="0.3">
      <c r="A468" s="464" t="s">
        <v>1890</v>
      </c>
      <c r="B468" s="465" t="s">
        <v>1769</v>
      </c>
      <c r="C468" s="465" t="s">
        <v>1756</v>
      </c>
      <c r="D468" s="465" t="s">
        <v>1809</v>
      </c>
      <c r="E468" s="465" t="s">
        <v>1774</v>
      </c>
      <c r="F468" s="468">
        <v>40</v>
      </c>
      <c r="G468" s="468">
        <v>2800</v>
      </c>
      <c r="H468" s="468">
        <v>1</v>
      </c>
      <c r="I468" s="468">
        <v>70</v>
      </c>
      <c r="J468" s="468">
        <v>42</v>
      </c>
      <c r="K468" s="468">
        <v>2940</v>
      </c>
      <c r="L468" s="468">
        <v>1.05</v>
      </c>
      <c r="M468" s="468">
        <v>70</v>
      </c>
      <c r="N468" s="468">
        <v>69</v>
      </c>
      <c r="O468" s="468">
        <v>4884</v>
      </c>
      <c r="P468" s="517">
        <v>1.7442857142857142</v>
      </c>
      <c r="Q468" s="469">
        <v>70.782608695652172</v>
      </c>
    </row>
    <row r="469" spans="1:17" ht="14.4" customHeight="1" x14ac:dyDescent="0.3">
      <c r="A469" s="464" t="s">
        <v>1890</v>
      </c>
      <c r="B469" s="465" t="s">
        <v>1769</v>
      </c>
      <c r="C469" s="465" t="s">
        <v>1756</v>
      </c>
      <c r="D469" s="465" t="s">
        <v>1816</v>
      </c>
      <c r="E469" s="465" t="s">
        <v>1817</v>
      </c>
      <c r="F469" s="468">
        <v>1</v>
      </c>
      <c r="G469" s="468">
        <v>1186</v>
      </c>
      <c r="H469" s="468">
        <v>1</v>
      </c>
      <c r="I469" s="468">
        <v>1186</v>
      </c>
      <c r="J469" s="468">
        <v>4</v>
      </c>
      <c r="K469" s="468">
        <v>4756</v>
      </c>
      <c r="L469" s="468">
        <v>4.0101180438448569</v>
      </c>
      <c r="M469" s="468">
        <v>1189</v>
      </c>
      <c r="N469" s="468">
        <v>1</v>
      </c>
      <c r="O469" s="468">
        <v>1193</v>
      </c>
      <c r="P469" s="517">
        <v>1.0059021922428331</v>
      </c>
      <c r="Q469" s="469">
        <v>1193</v>
      </c>
    </row>
    <row r="470" spans="1:17" ht="14.4" customHeight="1" x14ac:dyDescent="0.3">
      <c r="A470" s="464" t="s">
        <v>1890</v>
      </c>
      <c r="B470" s="465" t="s">
        <v>1769</v>
      </c>
      <c r="C470" s="465" t="s">
        <v>1756</v>
      </c>
      <c r="D470" s="465" t="s">
        <v>1818</v>
      </c>
      <c r="E470" s="465" t="s">
        <v>1819</v>
      </c>
      <c r="F470" s="468">
        <v>1</v>
      </c>
      <c r="G470" s="468">
        <v>107</v>
      </c>
      <c r="H470" s="468">
        <v>1</v>
      </c>
      <c r="I470" s="468">
        <v>107</v>
      </c>
      <c r="J470" s="468">
        <v>2</v>
      </c>
      <c r="K470" s="468">
        <v>216</v>
      </c>
      <c r="L470" s="468">
        <v>2.0186915887850465</v>
      </c>
      <c r="M470" s="468">
        <v>108</v>
      </c>
      <c r="N470" s="468">
        <v>3</v>
      </c>
      <c r="O470" s="468">
        <v>327</v>
      </c>
      <c r="P470" s="517">
        <v>3.05607476635514</v>
      </c>
      <c r="Q470" s="469">
        <v>109</v>
      </c>
    </row>
    <row r="471" spans="1:17" ht="14.4" customHeight="1" x14ac:dyDescent="0.3">
      <c r="A471" s="464" t="s">
        <v>1890</v>
      </c>
      <c r="B471" s="465" t="s">
        <v>1769</v>
      </c>
      <c r="C471" s="465" t="s">
        <v>1756</v>
      </c>
      <c r="D471" s="465" t="s">
        <v>1822</v>
      </c>
      <c r="E471" s="465" t="s">
        <v>1823</v>
      </c>
      <c r="F471" s="468"/>
      <c r="G471" s="468"/>
      <c r="H471" s="468"/>
      <c r="I471" s="468"/>
      <c r="J471" s="468">
        <v>1</v>
      </c>
      <c r="K471" s="468">
        <v>319</v>
      </c>
      <c r="L471" s="468"/>
      <c r="M471" s="468">
        <v>319</v>
      </c>
      <c r="N471" s="468"/>
      <c r="O471" s="468"/>
      <c r="P471" s="517"/>
      <c r="Q471" s="469"/>
    </row>
    <row r="472" spans="1:17" ht="14.4" customHeight="1" x14ac:dyDescent="0.3">
      <c r="A472" s="464" t="s">
        <v>1890</v>
      </c>
      <c r="B472" s="465" t="s">
        <v>1769</v>
      </c>
      <c r="C472" s="465" t="s">
        <v>1756</v>
      </c>
      <c r="D472" s="465" t="s">
        <v>1830</v>
      </c>
      <c r="E472" s="465" t="s">
        <v>1831</v>
      </c>
      <c r="F472" s="468"/>
      <c r="G472" s="468"/>
      <c r="H472" s="468"/>
      <c r="I472" s="468"/>
      <c r="J472" s="468">
        <v>1</v>
      </c>
      <c r="K472" s="468">
        <v>291</v>
      </c>
      <c r="L472" s="468"/>
      <c r="M472" s="468">
        <v>291</v>
      </c>
      <c r="N472" s="468">
        <v>1</v>
      </c>
      <c r="O472" s="468">
        <v>293</v>
      </c>
      <c r="P472" s="517"/>
      <c r="Q472" s="469">
        <v>293</v>
      </c>
    </row>
    <row r="473" spans="1:17" ht="14.4" customHeight="1" x14ac:dyDescent="0.3">
      <c r="A473" s="464" t="s">
        <v>1891</v>
      </c>
      <c r="B473" s="465" t="s">
        <v>1769</v>
      </c>
      <c r="C473" s="465" t="s">
        <v>1756</v>
      </c>
      <c r="D473" s="465" t="s">
        <v>1773</v>
      </c>
      <c r="E473" s="465" t="s">
        <v>1774</v>
      </c>
      <c r="F473" s="468">
        <v>1069</v>
      </c>
      <c r="G473" s="468">
        <v>215938</v>
      </c>
      <c r="H473" s="468">
        <v>1</v>
      </c>
      <c r="I473" s="468">
        <v>202</v>
      </c>
      <c r="J473" s="468">
        <v>857</v>
      </c>
      <c r="K473" s="468">
        <v>173971</v>
      </c>
      <c r="L473" s="468">
        <v>0.80565254841667511</v>
      </c>
      <c r="M473" s="468">
        <v>203</v>
      </c>
      <c r="N473" s="468">
        <v>953</v>
      </c>
      <c r="O473" s="468">
        <v>194931</v>
      </c>
      <c r="P473" s="517">
        <v>0.90271744667450837</v>
      </c>
      <c r="Q473" s="469">
        <v>204.54459601259182</v>
      </c>
    </row>
    <row r="474" spans="1:17" ht="14.4" customHeight="1" x14ac:dyDescent="0.3">
      <c r="A474" s="464" t="s">
        <v>1891</v>
      </c>
      <c r="B474" s="465" t="s">
        <v>1769</v>
      </c>
      <c r="C474" s="465" t="s">
        <v>1756</v>
      </c>
      <c r="D474" s="465" t="s">
        <v>1776</v>
      </c>
      <c r="E474" s="465" t="s">
        <v>1777</v>
      </c>
      <c r="F474" s="468">
        <v>410</v>
      </c>
      <c r="G474" s="468">
        <v>119310</v>
      </c>
      <c r="H474" s="468">
        <v>1</v>
      </c>
      <c r="I474" s="468">
        <v>291</v>
      </c>
      <c r="J474" s="468">
        <v>358</v>
      </c>
      <c r="K474" s="468">
        <v>104536</v>
      </c>
      <c r="L474" s="468">
        <v>0.87617131841421503</v>
      </c>
      <c r="M474" s="468">
        <v>292</v>
      </c>
      <c r="N474" s="468">
        <v>426</v>
      </c>
      <c r="O474" s="468">
        <v>125086</v>
      </c>
      <c r="P474" s="517">
        <v>1.0484117006118514</v>
      </c>
      <c r="Q474" s="469">
        <v>293.62910798122067</v>
      </c>
    </row>
    <row r="475" spans="1:17" ht="14.4" customHeight="1" x14ac:dyDescent="0.3">
      <c r="A475" s="464" t="s">
        <v>1891</v>
      </c>
      <c r="B475" s="465" t="s">
        <v>1769</v>
      </c>
      <c r="C475" s="465" t="s">
        <v>1756</v>
      </c>
      <c r="D475" s="465" t="s">
        <v>1778</v>
      </c>
      <c r="E475" s="465" t="s">
        <v>1779</v>
      </c>
      <c r="F475" s="468">
        <v>6</v>
      </c>
      <c r="G475" s="468">
        <v>552</v>
      </c>
      <c r="H475" s="468">
        <v>1</v>
      </c>
      <c r="I475" s="468">
        <v>92</v>
      </c>
      <c r="J475" s="468">
        <v>3</v>
      </c>
      <c r="K475" s="468">
        <v>279</v>
      </c>
      <c r="L475" s="468">
        <v>0.50543478260869568</v>
      </c>
      <c r="M475" s="468">
        <v>93</v>
      </c>
      <c r="N475" s="468"/>
      <c r="O475" s="468"/>
      <c r="P475" s="517"/>
      <c r="Q475" s="469"/>
    </row>
    <row r="476" spans="1:17" ht="14.4" customHeight="1" x14ac:dyDescent="0.3">
      <c r="A476" s="464" t="s">
        <v>1891</v>
      </c>
      <c r="B476" s="465" t="s">
        <v>1769</v>
      </c>
      <c r="C476" s="465" t="s">
        <v>1756</v>
      </c>
      <c r="D476" s="465" t="s">
        <v>1780</v>
      </c>
      <c r="E476" s="465" t="s">
        <v>1781</v>
      </c>
      <c r="F476" s="468"/>
      <c r="G476" s="468"/>
      <c r="H476" s="468"/>
      <c r="I476" s="468"/>
      <c r="J476" s="468">
        <v>1</v>
      </c>
      <c r="K476" s="468">
        <v>220</v>
      </c>
      <c r="L476" s="468"/>
      <c r="M476" s="468">
        <v>220</v>
      </c>
      <c r="N476" s="468"/>
      <c r="O476" s="468"/>
      <c r="P476" s="517"/>
      <c r="Q476" s="469"/>
    </row>
    <row r="477" spans="1:17" ht="14.4" customHeight="1" x14ac:dyDescent="0.3">
      <c r="A477" s="464" t="s">
        <v>1891</v>
      </c>
      <c r="B477" s="465" t="s">
        <v>1769</v>
      </c>
      <c r="C477" s="465" t="s">
        <v>1756</v>
      </c>
      <c r="D477" s="465" t="s">
        <v>1782</v>
      </c>
      <c r="E477" s="465" t="s">
        <v>1783</v>
      </c>
      <c r="F477" s="468">
        <v>56</v>
      </c>
      <c r="G477" s="468">
        <v>7448</v>
      </c>
      <c r="H477" s="468">
        <v>1</v>
      </c>
      <c r="I477" s="468">
        <v>133</v>
      </c>
      <c r="J477" s="468">
        <v>69</v>
      </c>
      <c r="K477" s="468">
        <v>9246</v>
      </c>
      <c r="L477" s="468">
        <v>1.2414070891514501</v>
      </c>
      <c r="M477" s="468">
        <v>134</v>
      </c>
      <c r="N477" s="468">
        <v>58</v>
      </c>
      <c r="O477" s="468">
        <v>7813</v>
      </c>
      <c r="P477" s="517">
        <v>1.0490064446831364</v>
      </c>
      <c r="Q477" s="469">
        <v>134.70689655172413</v>
      </c>
    </row>
    <row r="478" spans="1:17" ht="14.4" customHeight="1" x14ac:dyDescent="0.3">
      <c r="A478" s="464" t="s">
        <v>1891</v>
      </c>
      <c r="B478" s="465" t="s">
        <v>1769</v>
      </c>
      <c r="C478" s="465" t="s">
        <v>1756</v>
      </c>
      <c r="D478" s="465" t="s">
        <v>1784</v>
      </c>
      <c r="E478" s="465" t="s">
        <v>1783</v>
      </c>
      <c r="F478" s="468">
        <v>1</v>
      </c>
      <c r="G478" s="468">
        <v>174</v>
      </c>
      <c r="H478" s="468">
        <v>1</v>
      </c>
      <c r="I478" s="468">
        <v>174</v>
      </c>
      <c r="J478" s="468"/>
      <c r="K478" s="468"/>
      <c r="L478" s="468"/>
      <c r="M478" s="468"/>
      <c r="N478" s="468"/>
      <c r="O478" s="468"/>
      <c r="P478" s="517"/>
      <c r="Q478" s="469"/>
    </row>
    <row r="479" spans="1:17" ht="14.4" customHeight="1" x14ac:dyDescent="0.3">
      <c r="A479" s="464" t="s">
        <v>1891</v>
      </c>
      <c r="B479" s="465" t="s">
        <v>1769</v>
      </c>
      <c r="C479" s="465" t="s">
        <v>1756</v>
      </c>
      <c r="D479" s="465" t="s">
        <v>1785</v>
      </c>
      <c r="E479" s="465" t="s">
        <v>1786</v>
      </c>
      <c r="F479" s="468">
        <v>1</v>
      </c>
      <c r="G479" s="468">
        <v>609</v>
      </c>
      <c r="H479" s="468">
        <v>1</v>
      </c>
      <c r="I479" s="468">
        <v>609</v>
      </c>
      <c r="J479" s="468">
        <v>2</v>
      </c>
      <c r="K479" s="468">
        <v>1224</v>
      </c>
      <c r="L479" s="468">
        <v>2.0098522167487687</v>
      </c>
      <c r="M479" s="468">
        <v>612</v>
      </c>
      <c r="N479" s="468">
        <v>2</v>
      </c>
      <c r="O479" s="468">
        <v>1236</v>
      </c>
      <c r="P479" s="517">
        <v>2.0295566502463056</v>
      </c>
      <c r="Q479" s="469">
        <v>618</v>
      </c>
    </row>
    <row r="480" spans="1:17" ht="14.4" customHeight="1" x14ac:dyDescent="0.3">
      <c r="A480" s="464" t="s">
        <v>1891</v>
      </c>
      <c r="B480" s="465" t="s">
        <v>1769</v>
      </c>
      <c r="C480" s="465" t="s">
        <v>1756</v>
      </c>
      <c r="D480" s="465" t="s">
        <v>1789</v>
      </c>
      <c r="E480" s="465" t="s">
        <v>1790</v>
      </c>
      <c r="F480" s="468">
        <v>18</v>
      </c>
      <c r="G480" s="468">
        <v>2844</v>
      </c>
      <c r="H480" s="468">
        <v>1</v>
      </c>
      <c r="I480" s="468">
        <v>158</v>
      </c>
      <c r="J480" s="468">
        <v>15</v>
      </c>
      <c r="K480" s="468">
        <v>2385</v>
      </c>
      <c r="L480" s="468">
        <v>0.83860759493670889</v>
      </c>
      <c r="M480" s="468">
        <v>159</v>
      </c>
      <c r="N480" s="468">
        <v>23</v>
      </c>
      <c r="O480" s="468">
        <v>3675</v>
      </c>
      <c r="P480" s="517">
        <v>1.2921940928270041</v>
      </c>
      <c r="Q480" s="469">
        <v>159.78260869565219</v>
      </c>
    </row>
    <row r="481" spans="1:17" ht="14.4" customHeight="1" x14ac:dyDescent="0.3">
      <c r="A481" s="464" t="s">
        <v>1891</v>
      </c>
      <c r="B481" s="465" t="s">
        <v>1769</v>
      </c>
      <c r="C481" s="465" t="s">
        <v>1756</v>
      </c>
      <c r="D481" s="465" t="s">
        <v>1793</v>
      </c>
      <c r="E481" s="465" t="s">
        <v>1794</v>
      </c>
      <c r="F481" s="468">
        <v>447</v>
      </c>
      <c r="G481" s="468">
        <v>7152</v>
      </c>
      <c r="H481" s="468">
        <v>1</v>
      </c>
      <c r="I481" s="468">
        <v>16</v>
      </c>
      <c r="J481" s="468">
        <v>352</v>
      </c>
      <c r="K481" s="468">
        <v>5632</v>
      </c>
      <c r="L481" s="468">
        <v>0.78747203579418346</v>
      </c>
      <c r="M481" s="468">
        <v>16</v>
      </c>
      <c r="N481" s="468">
        <v>374</v>
      </c>
      <c r="O481" s="468">
        <v>5984</v>
      </c>
      <c r="P481" s="517">
        <v>0.83668903803131989</v>
      </c>
      <c r="Q481" s="469">
        <v>16</v>
      </c>
    </row>
    <row r="482" spans="1:17" ht="14.4" customHeight="1" x14ac:dyDescent="0.3">
      <c r="A482" s="464" t="s">
        <v>1891</v>
      </c>
      <c r="B482" s="465" t="s">
        <v>1769</v>
      </c>
      <c r="C482" s="465" t="s">
        <v>1756</v>
      </c>
      <c r="D482" s="465" t="s">
        <v>1797</v>
      </c>
      <c r="E482" s="465" t="s">
        <v>1798</v>
      </c>
      <c r="F482" s="468">
        <v>313</v>
      </c>
      <c r="G482" s="468">
        <v>81693</v>
      </c>
      <c r="H482" s="468">
        <v>1</v>
      </c>
      <c r="I482" s="468">
        <v>261</v>
      </c>
      <c r="J482" s="468">
        <v>255</v>
      </c>
      <c r="K482" s="468">
        <v>66810</v>
      </c>
      <c r="L482" s="468">
        <v>0.81781792809665455</v>
      </c>
      <c r="M482" s="468">
        <v>262</v>
      </c>
      <c r="N482" s="468">
        <v>278</v>
      </c>
      <c r="O482" s="468">
        <v>73502</v>
      </c>
      <c r="P482" s="517">
        <v>0.89973437136596768</v>
      </c>
      <c r="Q482" s="469">
        <v>264.39568345323738</v>
      </c>
    </row>
    <row r="483" spans="1:17" ht="14.4" customHeight="1" x14ac:dyDescent="0.3">
      <c r="A483" s="464" t="s">
        <v>1891</v>
      </c>
      <c r="B483" s="465" t="s">
        <v>1769</v>
      </c>
      <c r="C483" s="465" t="s">
        <v>1756</v>
      </c>
      <c r="D483" s="465" t="s">
        <v>1799</v>
      </c>
      <c r="E483" s="465" t="s">
        <v>1796</v>
      </c>
      <c r="F483" s="468">
        <v>376</v>
      </c>
      <c r="G483" s="468">
        <v>52640</v>
      </c>
      <c r="H483" s="468">
        <v>1</v>
      </c>
      <c r="I483" s="468">
        <v>140</v>
      </c>
      <c r="J483" s="468">
        <v>278</v>
      </c>
      <c r="K483" s="468">
        <v>39198</v>
      </c>
      <c r="L483" s="468">
        <v>0.74464285714285716</v>
      </c>
      <c r="M483" s="468">
        <v>141</v>
      </c>
      <c r="N483" s="468">
        <v>313</v>
      </c>
      <c r="O483" s="468">
        <v>44133</v>
      </c>
      <c r="P483" s="517">
        <v>0.83839285714285716</v>
      </c>
      <c r="Q483" s="469">
        <v>141</v>
      </c>
    </row>
    <row r="484" spans="1:17" ht="14.4" customHeight="1" x14ac:dyDescent="0.3">
      <c r="A484" s="464" t="s">
        <v>1891</v>
      </c>
      <c r="B484" s="465" t="s">
        <v>1769</v>
      </c>
      <c r="C484" s="465" t="s">
        <v>1756</v>
      </c>
      <c r="D484" s="465" t="s">
        <v>1800</v>
      </c>
      <c r="E484" s="465" t="s">
        <v>1796</v>
      </c>
      <c r="F484" s="468">
        <v>56</v>
      </c>
      <c r="G484" s="468">
        <v>4368</v>
      </c>
      <c r="H484" s="468">
        <v>1</v>
      </c>
      <c r="I484" s="468">
        <v>78</v>
      </c>
      <c r="J484" s="468">
        <v>69</v>
      </c>
      <c r="K484" s="468">
        <v>5382</v>
      </c>
      <c r="L484" s="468">
        <v>1.2321428571428572</v>
      </c>
      <c r="M484" s="468">
        <v>78</v>
      </c>
      <c r="N484" s="468">
        <v>58</v>
      </c>
      <c r="O484" s="468">
        <v>4524</v>
      </c>
      <c r="P484" s="517">
        <v>1.0357142857142858</v>
      </c>
      <c r="Q484" s="469">
        <v>78</v>
      </c>
    </row>
    <row r="485" spans="1:17" ht="14.4" customHeight="1" x14ac:dyDescent="0.3">
      <c r="A485" s="464" t="s">
        <v>1891</v>
      </c>
      <c r="B485" s="465" t="s">
        <v>1769</v>
      </c>
      <c r="C485" s="465" t="s">
        <v>1756</v>
      </c>
      <c r="D485" s="465" t="s">
        <v>1801</v>
      </c>
      <c r="E485" s="465" t="s">
        <v>1802</v>
      </c>
      <c r="F485" s="468">
        <v>377</v>
      </c>
      <c r="G485" s="468">
        <v>113854</v>
      </c>
      <c r="H485" s="468">
        <v>1</v>
      </c>
      <c r="I485" s="468">
        <v>302</v>
      </c>
      <c r="J485" s="468">
        <v>278</v>
      </c>
      <c r="K485" s="468">
        <v>84234</v>
      </c>
      <c r="L485" s="468">
        <v>0.73984225411491911</v>
      </c>
      <c r="M485" s="468">
        <v>303</v>
      </c>
      <c r="N485" s="468">
        <v>313</v>
      </c>
      <c r="O485" s="468">
        <v>95580</v>
      </c>
      <c r="P485" s="517">
        <v>0.83949619688372823</v>
      </c>
      <c r="Q485" s="469">
        <v>305.36741214057508</v>
      </c>
    </row>
    <row r="486" spans="1:17" ht="14.4" customHeight="1" x14ac:dyDescent="0.3">
      <c r="A486" s="464" t="s">
        <v>1891</v>
      </c>
      <c r="B486" s="465" t="s">
        <v>1769</v>
      </c>
      <c r="C486" s="465" t="s">
        <v>1756</v>
      </c>
      <c r="D486" s="465" t="s">
        <v>1805</v>
      </c>
      <c r="E486" s="465" t="s">
        <v>1806</v>
      </c>
      <c r="F486" s="468">
        <v>44</v>
      </c>
      <c r="G486" s="468">
        <v>6996</v>
      </c>
      <c r="H486" s="468">
        <v>1</v>
      </c>
      <c r="I486" s="468">
        <v>159</v>
      </c>
      <c r="J486" s="468">
        <v>39</v>
      </c>
      <c r="K486" s="468">
        <v>6240</v>
      </c>
      <c r="L486" s="468">
        <v>0.89193825042881647</v>
      </c>
      <c r="M486" s="468">
        <v>160</v>
      </c>
      <c r="N486" s="468">
        <v>42</v>
      </c>
      <c r="O486" s="468">
        <v>6753</v>
      </c>
      <c r="P486" s="517">
        <v>0.96526586620926247</v>
      </c>
      <c r="Q486" s="469">
        <v>160.78571428571428</v>
      </c>
    </row>
    <row r="487" spans="1:17" ht="14.4" customHeight="1" x14ac:dyDescent="0.3">
      <c r="A487" s="464" t="s">
        <v>1891</v>
      </c>
      <c r="B487" s="465" t="s">
        <v>1769</v>
      </c>
      <c r="C487" s="465" t="s">
        <v>1756</v>
      </c>
      <c r="D487" s="465" t="s">
        <v>1809</v>
      </c>
      <c r="E487" s="465" t="s">
        <v>1774</v>
      </c>
      <c r="F487" s="468">
        <v>165</v>
      </c>
      <c r="G487" s="468">
        <v>11550</v>
      </c>
      <c r="H487" s="468">
        <v>1</v>
      </c>
      <c r="I487" s="468">
        <v>70</v>
      </c>
      <c r="J487" s="468">
        <v>177</v>
      </c>
      <c r="K487" s="468">
        <v>12390</v>
      </c>
      <c r="L487" s="468">
        <v>1.0727272727272728</v>
      </c>
      <c r="M487" s="468">
        <v>70</v>
      </c>
      <c r="N487" s="468">
        <v>141</v>
      </c>
      <c r="O487" s="468">
        <v>9979</v>
      </c>
      <c r="P487" s="517">
        <v>0.86398268398268396</v>
      </c>
      <c r="Q487" s="469">
        <v>70.773049645390074</v>
      </c>
    </row>
    <row r="488" spans="1:17" ht="14.4" customHeight="1" x14ac:dyDescent="0.3">
      <c r="A488" s="464" t="s">
        <v>1891</v>
      </c>
      <c r="B488" s="465" t="s">
        <v>1769</v>
      </c>
      <c r="C488" s="465" t="s">
        <v>1756</v>
      </c>
      <c r="D488" s="465" t="s">
        <v>1814</v>
      </c>
      <c r="E488" s="465" t="s">
        <v>1815</v>
      </c>
      <c r="F488" s="468">
        <v>1</v>
      </c>
      <c r="G488" s="468">
        <v>215</v>
      </c>
      <c r="H488" s="468">
        <v>1</v>
      </c>
      <c r="I488" s="468">
        <v>215</v>
      </c>
      <c r="J488" s="468">
        <v>1</v>
      </c>
      <c r="K488" s="468">
        <v>216</v>
      </c>
      <c r="L488" s="468">
        <v>1.0046511627906978</v>
      </c>
      <c r="M488" s="468">
        <v>216</v>
      </c>
      <c r="N488" s="468"/>
      <c r="O488" s="468"/>
      <c r="P488" s="517"/>
      <c r="Q488" s="469"/>
    </row>
    <row r="489" spans="1:17" ht="14.4" customHeight="1" x14ac:dyDescent="0.3">
      <c r="A489" s="464" t="s">
        <v>1891</v>
      </c>
      <c r="B489" s="465" t="s">
        <v>1769</v>
      </c>
      <c r="C489" s="465" t="s">
        <v>1756</v>
      </c>
      <c r="D489" s="465" t="s">
        <v>1816</v>
      </c>
      <c r="E489" s="465" t="s">
        <v>1817</v>
      </c>
      <c r="F489" s="468">
        <v>18</v>
      </c>
      <c r="G489" s="468">
        <v>21348</v>
      </c>
      <c r="H489" s="468">
        <v>1</v>
      </c>
      <c r="I489" s="468">
        <v>1186</v>
      </c>
      <c r="J489" s="468">
        <v>8</v>
      </c>
      <c r="K489" s="468">
        <v>9512</v>
      </c>
      <c r="L489" s="468">
        <v>0.44556867153831742</v>
      </c>
      <c r="M489" s="468">
        <v>1189</v>
      </c>
      <c r="N489" s="468">
        <v>16</v>
      </c>
      <c r="O489" s="468">
        <v>19080</v>
      </c>
      <c r="P489" s="517">
        <v>0.89376053962900504</v>
      </c>
      <c r="Q489" s="469">
        <v>1192.5</v>
      </c>
    </row>
    <row r="490" spans="1:17" ht="14.4" customHeight="1" x14ac:dyDescent="0.3">
      <c r="A490" s="464" t="s">
        <v>1891</v>
      </c>
      <c r="B490" s="465" t="s">
        <v>1769</v>
      </c>
      <c r="C490" s="465" t="s">
        <v>1756</v>
      </c>
      <c r="D490" s="465" t="s">
        <v>1818</v>
      </c>
      <c r="E490" s="465" t="s">
        <v>1819</v>
      </c>
      <c r="F490" s="468">
        <v>21</v>
      </c>
      <c r="G490" s="468">
        <v>2247</v>
      </c>
      <c r="H490" s="468">
        <v>1</v>
      </c>
      <c r="I490" s="468">
        <v>107</v>
      </c>
      <c r="J490" s="468">
        <v>10</v>
      </c>
      <c r="K490" s="468">
        <v>1080</v>
      </c>
      <c r="L490" s="468">
        <v>0.48064085447263016</v>
      </c>
      <c r="M490" s="468">
        <v>108</v>
      </c>
      <c r="N490" s="468">
        <v>13</v>
      </c>
      <c r="O490" s="468">
        <v>1416</v>
      </c>
      <c r="P490" s="517">
        <v>0.63017356475300401</v>
      </c>
      <c r="Q490" s="469">
        <v>108.92307692307692</v>
      </c>
    </row>
    <row r="491" spans="1:17" ht="14.4" customHeight="1" x14ac:dyDescent="0.3">
      <c r="A491" s="464" t="s">
        <v>1891</v>
      </c>
      <c r="B491" s="465" t="s">
        <v>1769</v>
      </c>
      <c r="C491" s="465" t="s">
        <v>1756</v>
      </c>
      <c r="D491" s="465" t="s">
        <v>1822</v>
      </c>
      <c r="E491" s="465" t="s">
        <v>1823</v>
      </c>
      <c r="F491" s="468">
        <v>1</v>
      </c>
      <c r="G491" s="468">
        <v>318</v>
      </c>
      <c r="H491" s="468">
        <v>1</v>
      </c>
      <c r="I491" s="468">
        <v>318</v>
      </c>
      <c r="J491" s="468">
        <v>1</v>
      </c>
      <c r="K491" s="468">
        <v>319</v>
      </c>
      <c r="L491" s="468">
        <v>1.0031446540880504</v>
      </c>
      <c r="M491" s="468">
        <v>319</v>
      </c>
      <c r="N491" s="468"/>
      <c r="O491" s="468"/>
      <c r="P491" s="517"/>
      <c r="Q491" s="469"/>
    </row>
    <row r="492" spans="1:17" ht="14.4" customHeight="1" x14ac:dyDescent="0.3">
      <c r="A492" s="464" t="s">
        <v>1892</v>
      </c>
      <c r="B492" s="465" t="s">
        <v>1769</v>
      </c>
      <c r="C492" s="465" t="s">
        <v>1756</v>
      </c>
      <c r="D492" s="465" t="s">
        <v>1773</v>
      </c>
      <c r="E492" s="465" t="s">
        <v>1774</v>
      </c>
      <c r="F492" s="468">
        <v>208</v>
      </c>
      <c r="G492" s="468">
        <v>42016</v>
      </c>
      <c r="H492" s="468">
        <v>1</v>
      </c>
      <c r="I492" s="468">
        <v>202</v>
      </c>
      <c r="J492" s="468">
        <v>232</v>
      </c>
      <c r="K492" s="468">
        <v>47096</v>
      </c>
      <c r="L492" s="468">
        <v>1.1209063214013708</v>
      </c>
      <c r="M492" s="468">
        <v>203</v>
      </c>
      <c r="N492" s="468">
        <v>251</v>
      </c>
      <c r="O492" s="468">
        <v>51371</v>
      </c>
      <c r="P492" s="517">
        <v>1.2226532749428789</v>
      </c>
      <c r="Q492" s="469">
        <v>204.66533864541833</v>
      </c>
    </row>
    <row r="493" spans="1:17" ht="14.4" customHeight="1" x14ac:dyDescent="0.3">
      <c r="A493" s="464" t="s">
        <v>1892</v>
      </c>
      <c r="B493" s="465" t="s">
        <v>1769</v>
      </c>
      <c r="C493" s="465" t="s">
        <v>1756</v>
      </c>
      <c r="D493" s="465" t="s">
        <v>1775</v>
      </c>
      <c r="E493" s="465" t="s">
        <v>1774</v>
      </c>
      <c r="F493" s="468"/>
      <c r="G493" s="468"/>
      <c r="H493" s="468"/>
      <c r="I493" s="468"/>
      <c r="J493" s="468">
        <v>7</v>
      </c>
      <c r="K493" s="468">
        <v>588</v>
      </c>
      <c r="L493" s="468"/>
      <c r="M493" s="468">
        <v>84</v>
      </c>
      <c r="N493" s="468">
        <v>112</v>
      </c>
      <c r="O493" s="468">
        <v>9487</v>
      </c>
      <c r="P493" s="517"/>
      <c r="Q493" s="469">
        <v>84.705357142857139</v>
      </c>
    </row>
    <row r="494" spans="1:17" ht="14.4" customHeight="1" x14ac:dyDescent="0.3">
      <c r="A494" s="464" t="s">
        <v>1892</v>
      </c>
      <c r="B494" s="465" t="s">
        <v>1769</v>
      </c>
      <c r="C494" s="465" t="s">
        <v>1756</v>
      </c>
      <c r="D494" s="465" t="s">
        <v>1776</v>
      </c>
      <c r="E494" s="465" t="s">
        <v>1777</v>
      </c>
      <c r="F494" s="468">
        <v>2276</v>
      </c>
      <c r="G494" s="468">
        <v>662316</v>
      </c>
      <c r="H494" s="468">
        <v>1</v>
      </c>
      <c r="I494" s="468">
        <v>291</v>
      </c>
      <c r="J494" s="468">
        <v>2653</v>
      </c>
      <c r="K494" s="468">
        <v>774676</v>
      </c>
      <c r="L494" s="468">
        <v>1.1696471170861038</v>
      </c>
      <c r="M494" s="468">
        <v>292</v>
      </c>
      <c r="N494" s="468">
        <v>3317</v>
      </c>
      <c r="O494" s="468">
        <v>974274</v>
      </c>
      <c r="P494" s="517">
        <v>1.4710108165890603</v>
      </c>
      <c r="Q494" s="469">
        <v>293.72143503165512</v>
      </c>
    </row>
    <row r="495" spans="1:17" ht="14.4" customHeight="1" x14ac:dyDescent="0.3">
      <c r="A495" s="464" t="s">
        <v>1892</v>
      </c>
      <c r="B495" s="465" t="s">
        <v>1769</v>
      </c>
      <c r="C495" s="465" t="s">
        <v>1756</v>
      </c>
      <c r="D495" s="465" t="s">
        <v>1778</v>
      </c>
      <c r="E495" s="465" t="s">
        <v>1779</v>
      </c>
      <c r="F495" s="468">
        <v>62</v>
      </c>
      <c r="G495" s="468">
        <v>5704</v>
      </c>
      <c r="H495" s="468">
        <v>1</v>
      </c>
      <c r="I495" s="468">
        <v>92</v>
      </c>
      <c r="J495" s="468">
        <v>123</v>
      </c>
      <c r="K495" s="468">
        <v>11439</v>
      </c>
      <c r="L495" s="468">
        <v>2.0054347826086958</v>
      </c>
      <c r="M495" s="468">
        <v>93</v>
      </c>
      <c r="N495" s="468">
        <v>101</v>
      </c>
      <c r="O495" s="468">
        <v>9467</v>
      </c>
      <c r="P495" s="517">
        <v>1.6597124824684433</v>
      </c>
      <c r="Q495" s="469">
        <v>93.732673267326732</v>
      </c>
    </row>
    <row r="496" spans="1:17" ht="14.4" customHeight="1" x14ac:dyDescent="0.3">
      <c r="A496" s="464" t="s">
        <v>1892</v>
      </c>
      <c r="B496" s="465" t="s">
        <v>1769</v>
      </c>
      <c r="C496" s="465" t="s">
        <v>1756</v>
      </c>
      <c r="D496" s="465" t="s">
        <v>1780</v>
      </c>
      <c r="E496" s="465" t="s">
        <v>1781</v>
      </c>
      <c r="F496" s="468">
        <v>32</v>
      </c>
      <c r="G496" s="468">
        <v>7008</v>
      </c>
      <c r="H496" s="468">
        <v>1</v>
      </c>
      <c r="I496" s="468">
        <v>219</v>
      </c>
      <c r="J496" s="468">
        <v>30</v>
      </c>
      <c r="K496" s="468">
        <v>6600</v>
      </c>
      <c r="L496" s="468">
        <v>0.94178082191780821</v>
      </c>
      <c r="M496" s="468">
        <v>220</v>
      </c>
      <c r="N496" s="468">
        <v>12</v>
      </c>
      <c r="O496" s="468">
        <v>2664</v>
      </c>
      <c r="P496" s="517">
        <v>0.38013698630136988</v>
      </c>
      <c r="Q496" s="469">
        <v>222</v>
      </c>
    </row>
    <row r="497" spans="1:17" ht="14.4" customHeight="1" x14ac:dyDescent="0.3">
      <c r="A497" s="464" t="s">
        <v>1892</v>
      </c>
      <c r="B497" s="465" t="s">
        <v>1769</v>
      </c>
      <c r="C497" s="465" t="s">
        <v>1756</v>
      </c>
      <c r="D497" s="465" t="s">
        <v>1782</v>
      </c>
      <c r="E497" s="465" t="s">
        <v>1783</v>
      </c>
      <c r="F497" s="468">
        <v>1306</v>
      </c>
      <c r="G497" s="468">
        <v>173698</v>
      </c>
      <c r="H497" s="468">
        <v>1</v>
      </c>
      <c r="I497" s="468">
        <v>133</v>
      </c>
      <c r="J497" s="468">
        <v>1241</v>
      </c>
      <c r="K497" s="468">
        <v>166294</v>
      </c>
      <c r="L497" s="468">
        <v>0.9573742933136824</v>
      </c>
      <c r="M497" s="468">
        <v>134</v>
      </c>
      <c r="N497" s="468">
        <v>1363</v>
      </c>
      <c r="O497" s="468">
        <v>183709</v>
      </c>
      <c r="P497" s="517">
        <v>1.0576345150778939</v>
      </c>
      <c r="Q497" s="469">
        <v>134.78283198826119</v>
      </c>
    </row>
    <row r="498" spans="1:17" ht="14.4" customHeight="1" x14ac:dyDescent="0.3">
      <c r="A498" s="464" t="s">
        <v>1892</v>
      </c>
      <c r="B498" s="465" t="s">
        <v>1769</v>
      </c>
      <c r="C498" s="465" t="s">
        <v>1756</v>
      </c>
      <c r="D498" s="465" t="s">
        <v>1784</v>
      </c>
      <c r="E498" s="465" t="s">
        <v>1783</v>
      </c>
      <c r="F498" s="468">
        <v>67</v>
      </c>
      <c r="G498" s="468">
        <v>11658</v>
      </c>
      <c r="H498" s="468">
        <v>1</v>
      </c>
      <c r="I498" s="468">
        <v>174</v>
      </c>
      <c r="J498" s="468">
        <v>102</v>
      </c>
      <c r="K498" s="468">
        <v>17850</v>
      </c>
      <c r="L498" s="468">
        <v>1.5311374163664437</v>
      </c>
      <c r="M498" s="468">
        <v>175</v>
      </c>
      <c r="N498" s="468">
        <v>111</v>
      </c>
      <c r="O498" s="468">
        <v>19581</v>
      </c>
      <c r="P498" s="517">
        <v>1.679619145651055</v>
      </c>
      <c r="Q498" s="469">
        <v>176.40540540540542</v>
      </c>
    </row>
    <row r="499" spans="1:17" ht="14.4" customHeight="1" x14ac:dyDescent="0.3">
      <c r="A499" s="464" t="s">
        <v>1892</v>
      </c>
      <c r="B499" s="465" t="s">
        <v>1769</v>
      </c>
      <c r="C499" s="465" t="s">
        <v>1756</v>
      </c>
      <c r="D499" s="465" t="s">
        <v>1785</v>
      </c>
      <c r="E499" s="465" t="s">
        <v>1786</v>
      </c>
      <c r="F499" s="468">
        <v>5</v>
      </c>
      <c r="G499" s="468">
        <v>3045</v>
      </c>
      <c r="H499" s="468">
        <v>1</v>
      </c>
      <c r="I499" s="468">
        <v>609</v>
      </c>
      <c r="J499" s="468">
        <v>12</v>
      </c>
      <c r="K499" s="468">
        <v>7344</v>
      </c>
      <c r="L499" s="468">
        <v>2.411822660098522</v>
      </c>
      <c r="M499" s="468">
        <v>612</v>
      </c>
      <c r="N499" s="468">
        <v>9</v>
      </c>
      <c r="O499" s="468">
        <v>5544</v>
      </c>
      <c r="P499" s="517">
        <v>1.8206896551724139</v>
      </c>
      <c r="Q499" s="469">
        <v>616</v>
      </c>
    </row>
    <row r="500" spans="1:17" ht="14.4" customHeight="1" x14ac:dyDescent="0.3">
      <c r="A500" s="464" t="s">
        <v>1892</v>
      </c>
      <c r="B500" s="465" t="s">
        <v>1769</v>
      </c>
      <c r="C500" s="465" t="s">
        <v>1756</v>
      </c>
      <c r="D500" s="465" t="s">
        <v>1787</v>
      </c>
      <c r="E500" s="465" t="s">
        <v>1788</v>
      </c>
      <c r="F500" s="468">
        <v>6</v>
      </c>
      <c r="G500" s="468">
        <v>3492</v>
      </c>
      <c r="H500" s="468">
        <v>1</v>
      </c>
      <c r="I500" s="468">
        <v>582</v>
      </c>
      <c r="J500" s="468">
        <v>10</v>
      </c>
      <c r="K500" s="468">
        <v>5850</v>
      </c>
      <c r="L500" s="468">
        <v>1.6752577319587629</v>
      </c>
      <c r="M500" s="468">
        <v>585</v>
      </c>
      <c r="N500" s="468">
        <v>14</v>
      </c>
      <c r="O500" s="468">
        <v>8262</v>
      </c>
      <c r="P500" s="517">
        <v>2.365979381443299</v>
      </c>
      <c r="Q500" s="469">
        <v>590.14285714285711</v>
      </c>
    </row>
    <row r="501" spans="1:17" ht="14.4" customHeight="1" x14ac:dyDescent="0.3">
      <c r="A501" s="464" t="s">
        <v>1892</v>
      </c>
      <c r="B501" s="465" t="s">
        <v>1769</v>
      </c>
      <c r="C501" s="465" t="s">
        <v>1756</v>
      </c>
      <c r="D501" s="465" t="s">
        <v>1789</v>
      </c>
      <c r="E501" s="465" t="s">
        <v>1790</v>
      </c>
      <c r="F501" s="468">
        <v>137</v>
      </c>
      <c r="G501" s="468">
        <v>21646</v>
      </c>
      <c r="H501" s="468">
        <v>1</v>
      </c>
      <c r="I501" s="468">
        <v>158</v>
      </c>
      <c r="J501" s="468">
        <v>208</v>
      </c>
      <c r="K501" s="468">
        <v>33072</v>
      </c>
      <c r="L501" s="468">
        <v>1.5278573408481937</v>
      </c>
      <c r="M501" s="468">
        <v>159</v>
      </c>
      <c r="N501" s="468">
        <v>208</v>
      </c>
      <c r="O501" s="468">
        <v>33244</v>
      </c>
      <c r="P501" s="517">
        <v>1.5358033816871477</v>
      </c>
      <c r="Q501" s="469">
        <v>159.82692307692307</v>
      </c>
    </row>
    <row r="502" spans="1:17" ht="14.4" customHeight="1" x14ac:dyDescent="0.3">
      <c r="A502" s="464" t="s">
        <v>1892</v>
      </c>
      <c r="B502" s="465" t="s">
        <v>1769</v>
      </c>
      <c r="C502" s="465" t="s">
        <v>1756</v>
      </c>
      <c r="D502" s="465" t="s">
        <v>1791</v>
      </c>
      <c r="E502" s="465" t="s">
        <v>1792</v>
      </c>
      <c r="F502" s="468">
        <v>52</v>
      </c>
      <c r="G502" s="468">
        <v>19864</v>
      </c>
      <c r="H502" s="468">
        <v>1</v>
      </c>
      <c r="I502" s="468">
        <v>382</v>
      </c>
      <c r="J502" s="468">
        <v>59</v>
      </c>
      <c r="K502" s="468">
        <v>22538</v>
      </c>
      <c r="L502" s="468">
        <v>1.1346153846153846</v>
      </c>
      <c r="M502" s="468">
        <v>382</v>
      </c>
      <c r="N502" s="468">
        <v>61</v>
      </c>
      <c r="O502" s="468">
        <v>23344</v>
      </c>
      <c r="P502" s="517">
        <v>1.1751913008457511</v>
      </c>
      <c r="Q502" s="469">
        <v>382.68852459016392</v>
      </c>
    </row>
    <row r="503" spans="1:17" ht="14.4" customHeight="1" x14ac:dyDescent="0.3">
      <c r="A503" s="464" t="s">
        <v>1892</v>
      </c>
      <c r="B503" s="465" t="s">
        <v>1769</v>
      </c>
      <c r="C503" s="465" t="s">
        <v>1756</v>
      </c>
      <c r="D503" s="465" t="s">
        <v>1793</v>
      </c>
      <c r="E503" s="465" t="s">
        <v>1794</v>
      </c>
      <c r="F503" s="468">
        <v>1716</v>
      </c>
      <c r="G503" s="468">
        <v>27456</v>
      </c>
      <c r="H503" s="468">
        <v>1</v>
      </c>
      <c r="I503" s="468">
        <v>16</v>
      </c>
      <c r="J503" s="468">
        <v>1725</v>
      </c>
      <c r="K503" s="468">
        <v>27600</v>
      </c>
      <c r="L503" s="468">
        <v>1.0052447552447552</v>
      </c>
      <c r="M503" s="468">
        <v>16</v>
      </c>
      <c r="N503" s="468">
        <v>1824</v>
      </c>
      <c r="O503" s="468">
        <v>29184</v>
      </c>
      <c r="P503" s="517">
        <v>1.0629370629370629</v>
      </c>
      <c r="Q503" s="469">
        <v>16</v>
      </c>
    </row>
    <row r="504" spans="1:17" ht="14.4" customHeight="1" x14ac:dyDescent="0.3">
      <c r="A504" s="464" t="s">
        <v>1892</v>
      </c>
      <c r="B504" s="465" t="s">
        <v>1769</v>
      </c>
      <c r="C504" s="465" t="s">
        <v>1756</v>
      </c>
      <c r="D504" s="465" t="s">
        <v>1797</v>
      </c>
      <c r="E504" s="465" t="s">
        <v>1798</v>
      </c>
      <c r="F504" s="468">
        <v>93</v>
      </c>
      <c r="G504" s="468">
        <v>24273</v>
      </c>
      <c r="H504" s="468">
        <v>1</v>
      </c>
      <c r="I504" s="468">
        <v>261</v>
      </c>
      <c r="J504" s="468">
        <v>148</v>
      </c>
      <c r="K504" s="468">
        <v>38776</v>
      </c>
      <c r="L504" s="468">
        <v>1.5974951592304207</v>
      </c>
      <c r="M504" s="468">
        <v>262</v>
      </c>
      <c r="N504" s="468">
        <v>140</v>
      </c>
      <c r="O504" s="468">
        <v>37031</v>
      </c>
      <c r="P504" s="517">
        <v>1.5256045812219339</v>
      </c>
      <c r="Q504" s="469">
        <v>264.50714285714287</v>
      </c>
    </row>
    <row r="505" spans="1:17" ht="14.4" customHeight="1" x14ac:dyDescent="0.3">
      <c r="A505" s="464" t="s">
        <v>1892</v>
      </c>
      <c r="B505" s="465" t="s">
        <v>1769</v>
      </c>
      <c r="C505" s="465" t="s">
        <v>1756</v>
      </c>
      <c r="D505" s="465" t="s">
        <v>1799</v>
      </c>
      <c r="E505" s="465" t="s">
        <v>1796</v>
      </c>
      <c r="F505" s="468">
        <v>111</v>
      </c>
      <c r="G505" s="468">
        <v>15540</v>
      </c>
      <c r="H505" s="468">
        <v>1</v>
      </c>
      <c r="I505" s="468">
        <v>140</v>
      </c>
      <c r="J505" s="468">
        <v>131</v>
      </c>
      <c r="K505" s="468">
        <v>18471</v>
      </c>
      <c r="L505" s="468">
        <v>1.1886100386100387</v>
      </c>
      <c r="M505" s="468">
        <v>141</v>
      </c>
      <c r="N505" s="468">
        <v>121</v>
      </c>
      <c r="O505" s="468">
        <v>17061</v>
      </c>
      <c r="P505" s="517">
        <v>1.0978764478764478</v>
      </c>
      <c r="Q505" s="469">
        <v>141</v>
      </c>
    </row>
    <row r="506" spans="1:17" ht="14.4" customHeight="1" x14ac:dyDescent="0.3">
      <c r="A506" s="464" t="s">
        <v>1892</v>
      </c>
      <c r="B506" s="465" t="s">
        <v>1769</v>
      </c>
      <c r="C506" s="465" t="s">
        <v>1756</v>
      </c>
      <c r="D506" s="465" t="s">
        <v>1800</v>
      </c>
      <c r="E506" s="465" t="s">
        <v>1796</v>
      </c>
      <c r="F506" s="468">
        <v>1302</v>
      </c>
      <c r="G506" s="468">
        <v>101556</v>
      </c>
      <c r="H506" s="468">
        <v>1</v>
      </c>
      <c r="I506" s="468">
        <v>78</v>
      </c>
      <c r="J506" s="468">
        <v>1240</v>
      </c>
      <c r="K506" s="468">
        <v>96720</v>
      </c>
      <c r="L506" s="468">
        <v>0.95238095238095233</v>
      </c>
      <c r="M506" s="468">
        <v>78</v>
      </c>
      <c r="N506" s="468">
        <v>1363</v>
      </c>
      <c r="O506" s="468">
        <v>106314</v>
      </c>
      <c r="P506" s="517">
        <v>1.0468509984639016</v>
      </c>
      <c r="Q506" s="469">
        <v>78</v>
      </c>
    </row>
    <row r="507" spans="1:17" ht="14.4" customHeight="1" x14ac:dyDescent="0.3">
      <c r="A507" s="464" t="s">
        <v>1892</v>
      </c>
      <c r="B507" s="465" t="s">
        <v>1769</v>
      </c>
      <c r="C507" s="465" t="s">
        <v>1756</v>
      </c>
      <c r="D507" s="465" t="s">
        <v>1801</v>
      </c>
      <c r="E507" s="465" t="s">
        <v>1802</v>
      </c>
      <c r="F507" s="468">
        <v>111</v>
      </c>
      <c r="G507" s="468">
        <v>33522</v>
      </c>
      <c r="H507" s="468">
        <v>1</v>
      </c>
      <c r="I507" s="468">
        <v>302</v>
      </c>
      <c r="J507" s="468">
        <v>131</v>
      </c>
      <c r="K507" s="468">
        <v>39693</v>
      </c>
      <c r="L507" s="468">
        <v>1.1840880615715053</v>
      </c>
      <c r="M507" s="468">
        <v>303</v>
      </c>
      <c r="N507" s="468">
        <v>121</v>
      </c>
      <c r="O507" s="468">
        <v>36975</v>
      </c>
      <c r="P507" s="517">
        <v>1.1030069804904241</v>
      </c>
      <c r="Q507" s="469">
        <v>305.57851239669424</v>
      </c>
    </row>
    <row r="508" spans="1:17" ht="14.4" customHeight="1" x14ac:dyDescent="0.3">
      <c r="A508" s="464" t="s">
        <v>1892</v>
      </c>
      <c r="B508" s="465" t="s">
        <v>1769</v>
      </c>
      <c r="C508" s="465" t="s">
        <v>1756</v>
      </c>
      <c r="D508" s="465" t="s">
        <v>1803</v>
      </c>
      <c r="E508" s="465" t="s">
        <v>1804</v>
      </c>
      <c r="F508" s="468">
        <v>52</v>
      </c>
      <c r="G508" s="468">
        <v>25272</v>
      </c>
      <c r="H508" s="468">
        <v>1</v>
      </c>
      <c r="I508" s="468">
        <v>486</v>
      </c>
      <c r="J508" s="468">
        <v>59</v>
      </c>
      <c r="K508" s="468">
        <v>28674</v>
      </c>
      <c r="L508" s="468">
        <v>1.1346153846153846</v>
      </c>
      <c r="M508" s="468">
        <v>486</v>
      </c>
      <c r="N508" s="468">
        <v>60</v>
      </c>
      <c r="O508" s="468">
        <v>29201</v>
      </c>
      <c r="P508" s="517">
        <v>1.155468502690725</v>
      </c>
      <c r="Q508" s="469">
        <v>486.68333333333334</v>
      </c>
    </row>
    <row r="509" spans="1:17" ht="14.4" customHeight="1" x14ac:dyDescent="0.3">
      <c r="A509" s="464" t="s">
        <v>1892</v>
      </c>
      <c r="B509" s="465" t="s">
        <v>1769</v>
      </c>
      <c r="C509" s="465" t="s">
        <v>1756</v>
      </c>
      <c r="D509" s="465" t="s">
        <v>1805</v>
      </c>
      <c r="E509" s="465" t="s">
        <v>1806</v>
      </c>
      <c r="F509" s="468">
        <v>340</v>
      </c>
      <c r="G509" s="468">
        <v>54060</v>
      </c>
      <c r="H509" s="468">
        <v>1</v>
      </c>
      <c r="I509" s="468">
        <v>159</v>
      </c>
      <c r="J509" s="468">
        <v>310</v>
      </c>
      <c r="K509" s="468">
        <v>49600</v>
      </c>
      <c r="L509" s="468">
        <v>0.91749907510173878</v>
      </c>
      <c r="M509" s="468">
        <v>160</v>
      </c>
      <c r="N509" s="468">
        <v>348</v>
      </c>
      <c r="O509" s="468">
        <v>55951</v>
      </c>
      <c r="P509" s="517">
        <v>1.0349796522382537</v>
      </c>
      <c r="Q509" s="469">
        <v>160.7787356321839</v>
      </c>
    </row>
    <row r="510" spans="1:17" ht="14.4" customHeight="1" x14ac:dyDescent="0.3">
      <c r="A510" s="464" t="s">
        <v>1892</v>
      </c>
      <c r="B510" s="465" t="s">
        <v>1769</v>
      </c>
      <c r="C510" s="465" t="s">
        <v>1756</v>
      </c>
      <c r="D510" s="465" t="s">
        <v>1809</v>
      </c>
      <c r="E510" s="465" t="s">
        <v>1774</v>
      </c>
      <c r="F510" s="468">
        <v>1938</v>
      </c>
      <c r="G510" s="468">
        <v>135660</v>
      </c>
      <c r="H510" s="468">
        <v>1</v>
      </c>
      <c r="I510" s="468">
        <v>70</v>
      </c>
      <c r="J510" s="468">
        <v>1798</v>
      </c>
      <c r="K510" s="468">
        <v>125860</v>
      </c>
      <c r="L510" s="468">
        <v>0.92776057791537669</v>
      </c>
      <c r="M510" s="468">
        <v>70</v>
      </c>
      <c r="N510" s="468">
        <v>2048</v>
      </c>
      <c r="O510" s="468">
        <v>144973</v>
      </c>
      <c r="P510" s="517">
        <v>1.0686495650891936</v>
      </c>
      <c r="Q510" s="469">
        <v>70.78759765625</v>
      </c>
    </row>
    <row r="511" spans="1:17" ht="14.4" customHeight="1" x14ac:dyDescent="0.3">
      <c r="A511" s="464" t="s">
        <v>1892</v>
      </c>
      <c r="B511" s="465" t="s">
        <v>1769</v>
      </c>
      <c r="C511" s="465" t="s">
        <v>1756</v>
      </c>
      <c r="D511" s="465" t="s">
        <v>1814</v>
      </c>
      <c r="E511" s="465" t="s">
        <v>1815</v>
      </c>
      <c r="F511" s="468">
        <v>117</v>
      </c>
      <c r="G511" s="468">
        <v>25155</v>
      </c>
      <c r="H511" s="468">
        <v>1</v>
      </c>
      <c r="I511" s="468">
        <v>215</v>
      </c>
      <c r="J511" s="468">
        <v>130</v>
      </c>
      <c r="K511" s="468">
        <v>28080</v>
      </c>
      <c r="L511" s="468">
        <v>1.1162790697674418</v>
      </c>
      <c r="M511" s="468">
        <v>216</v>
      </c>
      <c r="N511" s="468">
        <v>116</v>
      </c>
      <c r="O511" s="468">
        <v>25296</v>
      </c>
      <c r="P511" s="517">
        <v>1.0056052474657127</v>
      </c>
      <c r="Q511" s="469">
        <v>218.06896551724137</v>
      </c>
    </row>
    <row r="512" spans="1:17" ht="14.4" customHeight="1" x14ac:dyDescent="0.3">
      <c r="A512" s="464" t="s">
        <v>1892</v>
      </c>
      <c r="B512" s="465" t="s">
        <v>1769</v>
      </c>
      <c r="C512" s="465" t="s">
        <v>1756</v>
      </c>
      <c r="D512" s="465" t="s">
        <v>1816</v>
      </c>
      <c r="E512" s="465" t="s">
        <v>1817</v>
      </c>
      <c r="F512" s="468">
        <v>32</v>
      </c>
      <c r="G512" s="468">
        <v>37952</v>
      </c>
      <c r="H512" s="468">
        <v>1</v>
      </c>
      <c r="I512" s="468">
        <v>1186</v>
      </c>
      <c r="J512" s="468">
        <v>54</v>
      </c>
      <c r="K512" s="468">
        <v>64206</v>
      </c>
      <c r="L512" s="468">
        <v>1.6917685497470489</v>
      </c>
      <c r="M512" s="468">
        <v>1189</v>
      </c>
      <c r="N512" s="468">
        <v>50</v>
      </c>
      <c r="O512" s="468">
        <v>59586</v>
      </c>
      <c r="P512" s="517">
        <v>1.5700358347386172</v>
      </c>
      <c r="Q512" s="469">
        <v>1191.72</v>
      </c>
    </row>
    <row r="513" spans="1:17" ht="14.4" customHeight="1" x14ac:dyDescent="0.3">
      <c r="A513" s="464" t="s">
        <v>1892</v>
      </c>
      <c r="B513" s="465" t="s">
        <v>1769</v>
      </c>
      <c r="C513" s="465" t="s">
        <v>1756</v>
      </c>
      <c r="D513" s="465" t="s">
        <v>1818</v>
      </c>
      <c r="E513" s="465" t="s">
        <v>1819</v>
      </c>
      <c r="F513" s="468">
        <v>140</v>
      </c>
      <c r="G513" s="468">
        <v>14980</v>
      </c>
      <c r="H513" s="468">
        <v>1</v>
      </c>
      <c r="I513" s="468">
        <v>107</v>
      </c>
      <c r="J513" s="468">
        <v>162</v>
      </c>
      <c r="K513" s="468">
        <v>17496</v>
      </c>
      <c r="L513" s="468">
        <v>1.1679572763684913</v>
      </c>
      <c r="M513" s="468">
        <v>108</v>
      </c>
      <c r="N513" s="468">
        <v>136</v>
      </c>
      <c r="O513" s="468">
        <v>14785</v>
      </c>
      <c r="P513" s="517">
        <v>0.98698264352469955</v>
      </c>
      <c r="Q513" s="469">
        <v>108.71323529411765</v>
      </c>
    </row>
    <row r="514" spans="1:17" ht="14.4" customHeight="1" x14ac:dyDescent="0.3">
      <c r="A514" s="464" t="s">
        <v>1892</v>
      </c>
      <c r="B514" s="465" t="s">
        <v>1769</v>
      </c>
      <c r="C514" s="465" t="s">
        <v>1756</v>
      </c>
      <c r="D514" s="465" t="s">
        <v>1822</v>
      </c>
      <c r="E514" s="465" t="s">
        <v>1823</v>
      </c>
      <c r="F514" s="468">
        <v>55</v>
      </c>
      <c r="G514" s="468">
        <v>17490</v>
      </c>
      <c r="H514" s="468">
        <v>1</v>
      </c>
      <c r="I514" s="468">
        <v>318</v>
      </c>
      <c r="J514" s="468">
        <v>33</v>
      </c>
      <c r="K514" s="468">
        <v>10527</v>
      </c>
      <c r="L514" s="468">
        <v>0.60188679245283017</v>
      </c>
      <c r="M514" s="468">
        <v>319</v>
      </c>
      <c r="N514" s="468">
        <v>12</v>
      </c>
      <c r="O514" s="468">
        <v>3849</v>
      </c>
      <c r="P514" s="517">
        <v>0.22006861063464836</v>
      </c>
      <c r="Q514" s="469">
        <v>320.75</v>
      </c>
    </row>
    <row r="515" spans="1:17" ht="14.4" customHeight="1" x14ac:dyDescent="0.3">
      <c r="A515" s="464" t="s">
        <v>1892</v>
      </c>
      <c r="B515" s="465" t="s">
        <v>1769</v>
      </c>
      <c r="C515" s="465" t="s">
        <v>1756</v>
      </c>
      <c r="D515" s="465" t="s">
        <v>1828</v>
      </c>
      <c r="E515" s="465" t="s">
        <v>1829</v>
      </c>
      <c r="F515" s="468">
        <v>13</v>
      </c>
      <c r="G515" s="468">
        <v>13195</v>
      </c>
      <c r="H515" s="468">
        <v>1</v>
      </c>
      <c r="I515" s="468">
        <v>1015</v>
      </c>
      <c r="J515" s="468">
        <v>16</v>
      </c>
      <c r="K515" s="468">
        <v>16320</v>
      </c>
      <c r="L515" s="468">
        <v>1.2368321333838574</v>
      </c>
      <c r="M515" s="468">
        <v>1020</v>
      </c>
      <c r="N515" s="468">
        <v>16</v>
      </c>
      <c r="O515" s="468">
        <v>16437</v>
      </c>
      <c r="P515" s="517">
        <v>1.2456991284577492</v>
      </c>
      <c r="Q515" s="469">
        <v>1027.3125</v>
      </c>
    </row>
    <row r="516" spans="1:17" ht="14.4" customHeight="1" x14ac:dyDescent="0.3">
      <c r="A516" s="464" t="s">
        <v>1892</v>
      </c>
      <c r="B516" s="465" t="s">
        <v>1769</v>
      </c>
      <c r="C516" s="465" t="s">
        <v>1756</v>
      </c>
      <c r="D516" s="465" t="s">
        <v>1830</v>
      </c>
      <c r="E516" s="465" t="s">
        <v>1831</v>
      </c>
      <c r="F516" s="468">
        <v>7</v>
      </c>
      <c r="G516" s="468">
        <v>2030</v>
      </c>
      <c r="H516" s="468">
        <v>1</v>
      </c>
      <c r="I516" s="468">
        <v>290</v>
      </c>
      <c r="J516" s="468">
        <v>12</v>
      </c>
      <c r="K516" s="468">
        <v>3492</v>
      </c>
      <c r="L516" s="468">
        <v>1.7201970443349754</v>
      </c>
      <c r="M516" s="468">
        <v>291</v>
      </c>
      <c r="N516" s="468">
        <v>10</v>
      </c>
      <c r="O516" s="468">
        <v>2924</v>
      </c>
      <c r="P516" s="517">
        <v>1.4403940886699507</v>
      </c>
      <c r="Q516" s="469">
        <v>292.39999999999998</v>
      </c>
    </row>
    <row r="517" spans="1:17" ht="14.4" customHeight="1" x14ac:dyDescent="0.3">
      <c r="A517" s="464" t="s">
        <v>1892</v>
      </c>
      <c r="B517" s="465" t="s">
        <v>1769</v>
      </c>
      <c r="C517" s="465" t="s">
        <v>1756</v>
      </c>
      <c r="D517" s="465" t="s">
        <v>1834</v>
      </c>
      <c r="E517" s="465" t="s">
        <v>1835</v>
      </c>
      <c r="F517" s="468"/>
      <c r="G517" s="468"/>
      <c r="H517" s="468"/>
      <c r="I517" s="468"/>
      <c r="J517" s="468">
        <v>1</v>
      </c>
      <c r="K517" s="468">
        <v>26</v>
      </c>
      <c r="L517" s="468"/>
      <c r="M517" s="468">
        <v>26</v>
      </c>
      <c r="N517" s="468"/>
      <c r="O517" s="468"/>
      <c r="P517" s="517"/>
      <c r="Q517" s="469"/>
    </row>
    <row r="518" spans="1:17" ht="14.4" customHeight="1" x14ac:dyDescent="0.3">
      <c r="A518" s="464" t="s">
        <v>1893</v>
      </c>
      <c r="B518" s="465" t="s">
        <v>1769</v>
      </c>
      <c r="C518" s="465" t="s">
        <v>1756</v>
      </c>
      <c r="D518" s="465" t="s">
        <v>1773</v>
      </c>
      <c r="E518" s="465" t="s">
        <v>1774</v>
      </c>
      <c r="F518" s="468">
        <v>747</v>
      </c>
      <c r="G518" s="468">
        <v>150894</v>
      </c>
      <c r="H518" s="468">
        <v>1</v>
      </c>
      <c r="I518" s="468">
        <v>202</v>
      </c>
      <c r="J518" s="468">
        <v>858</v>
      </c>
      <c r="K518" s="468">
        <v>174174</v>
      </c>
      <c r="L518" s="468">
        <v>1.1542804882897928</v>
      </c>
      <c r="M518" s="468">
        <v>203</v>
      </c>
      <c r="N518" s="468">
        <v>809</v>
      </c>
      <c r="O518" s="468">
        <v>165407</v>
      </c>
      <c r="P518" s="517">
        <v>1.0961800999377047</v>
      </c>
      <c r="Q518" s="469">
        <v>204.45859085290482</v>
      </c>
    </row>
    <row r="519" spans="1:17" ht="14.4" customHeight="1" x14ac:dyDescent="0.3">
      <c r="A519" s="464" t="s">
        <v>1893</v>
      </c>
      <c r="B519" s="465" t="s">
        <v>1769</v>
      </c>
      <c r="C519" s="465" t="s">
        <v>1756</v>
      </c>
      <c r="D519" s="465" t="s">
        <v>1775</v>
      </c>
      <c r="E519" s="465" t="s">
        <v>1774</v>
      </c>
      <c r="F519" s="468"/>
      <c r="G519" s="468"/>
      <c r="H519" s="468"/>
      <c r="I519" s="468"/>
      <c r="J519" s="468"/>
      <c r="K519" s="468"/>
      <c r="L519" s="468"/>
      <c r="M519" s="468"/>
      <c r="N519" s="468">
        <v>3</v>
      </c>
      <c r="O519" s="468">
        <v>255</v>
      </c>
      <c r="P519" s="517"/>
      <c r="Q519" s="469">
        <v>85</v>
      </c>
    </row>
    <row r="520" spans="1:17" ht="14.4" customHeight="1" x14ac:dyDescent="0.3">
      <c r="A520" s="464" t="s">
        <v>1893</v>
      </c>
      <c r="B520" s="465" t="s">
        <v>1769</v>
      </c>
      <c r="C520" s="465" t="s">
        <v>1756</v>
      </c>
      <c r="D520" s="465" t="s">
        <v>1776</v>
      </c>
      <c r="E520" s="465" t="s">
        <v>1777</v>
      </c>
      <c r="F520" s="468">
        <v>144</v>
      </c>
      <c r="G520" s="468">
        <v>41904</v>
      </c>
      <c r="H520" s="468">
        <v>1</v>
      </c>
      <c r="I520" s="468">
        <v>291</v>
      </c>
      <c r="J520" s="468">
        <v>861</v>
      </c>
      <c r="K520" s="468">
        <v>251412</v>
      </c>
      <c r="L520" s="468">
        <v>5.9997136311569301</v>
      </c>
      <c r="M520" s="468">
        <v>292</v>
      </c>
      <c r="N520" s="468">
        <v>734</v>
      </c>
      <c r="O520" s="468">
        <v>215422</v>
      </c>
      <c r="P520" s="517">
        <v>5.1408457426498666</v>
      </c>
      <c r="Q520" s="469">
        <v>293.49046321525884</v>
      </c>
    </row>
    <row r="521" spans="1:17" ht="14.4" customHeight="1" x14ac:dyDescent="0.3">
      <c r="A521" s="464" t="s">
        <v>1893</v>
      </c>
      <c r="B521" s="465" t="s">
        <v>1769</v>
      </c>
      <c r="C521" s="465" t="s">
        <v>1756</v>
      </c>
      <c r="D521" s="465" t="s">
        <v>1778</v>
      </c>
      <c r="E521" s="465" t="s">
        <v>1779</v>
      </c>
      <c r="F521" s="468">
        <v>3</v>
      </c>
      <c r="G521" s="468">
        <v>276</v>
      </c>
      <c r="H521" s="468">
        <v>1</v>
      </c>
      <c r="I521" s="468">
        <v>92</v>
      </c>
      <c r="J521" s="468">
        <v>6</v>
      </c>
      <c r="K521" s="468">
        <v>558</v>
      </c>
      <c r="L521" s="468">
        <v>2.0217391304347827</v>
      </c>
      <c r="M521" s="468">
        <v>93</v>
      </c>
      <c r="N521" s="468">
        <v>3</v>
      </c>
      <c r="O521" s="468">
        <v>279</v>
      </c>
      <c r="P521" s="517">
        <v>1.0108695652173914</v>
      </c>
      <c r="Q521" s="469">
        <v>93</v>
      </c>
    </row>
    <row r="522" spans="1:17" ht="14.4" customHeight="1" x14ac:dyDescent="0.3">
      <c r="A522" s="464" t="s">
        <v>1893</v>
      </c>
      <c r="B522" s="465" t="s">
        <v>1769</v>
      </c>
      <c r="C522" s="465" t="s">
        <v>1756</v>
      </c>
      <c r="D522" s="465" t="s">
        <v>1782</v>
      </c>
      <c r="E522" s="465" t="s">
        <v>1783</v>
      </c>
      <c r="F522" s="468">
        <v>706</v>
      </c>
      <c r="G522" s="468">
        <v>93898</v>
      </c>
      <c r="H522" s="468">
        <v>1</v>
      </c>
      <c r="I522" s="468">
        <v>133</v>
      </c>
      <c r="J522" s="468">
        <v>627</v>
      </c>
      <c r="K522" s="468">
        <v>84018</v>
      </c>
      <c r="L522" s="468">
        <v>0.89477944152165112</v>
      </c>
      <c r="M522" s="468">
        <v>134</v>
      </c>
      <c r="N522" s="468">
        <v>683</v>
      </c>
      <c r="O522" s="468">
        <v>92013</v>
      </c>
      <c r="P522" s="517">
        <v>0.97992502502715717</v>
      </c>
      <c r="Q522" s="469">
        <v>134.71888726207905</v>
      </c>
    </row>
    <row r="523" spans="1:17" ht="14.4" customHeight="1" x14ac:dyDescent="0.3">
      <c r="A523" s="464" t="s">
        <v>1893</v>
      </c>
      <c r="B523" s="465" t="s">
        <v>1769</v>
      </c>
      <c r="C523" s="465" t="s">
        <v>1756</v>
      </c>
      <c r="D523" s="465" t="s">
        <v>1784</v>
      </c>
      <c r="E523" s="465" t="s">
        <v>1783</v>
      </c>
      <c r="F523" s="468"/>
      <c r="G523" s="468"/>
      <c r="H523" s="468"/>
      <c r="I523" s="468"/>
      <c r="J523" s="468">
        <v>1</v>
      </c>
      <c r="K523" s="468">
        <v>175</v>
      </c>
      <c r="L523" s="468"/>
      <c r="M523" s="468">
        <v>175</v>
      </c>
      <c r="N523" s="468">
        <v>1</v>
      </c>
      <c r="O523" s="468">
        <v>177</v>
      </c>
      <c r="P523" s="517"/>
      <c r="Q523" s="469">
        <v>177</v>
      </c>
    </row>
    <row r="524" spans="1:17" ht="14.4" customHeight="1" x14ac:dyDescent="0.3">
      <c r="A524" s="464" t="s">
        <v>1893</v>
      </c>
      <c r="B524" s="465" t="s">
        <v>1769</v>
      </c>
      <c r="C524" s="465" t="s">
        <v>1756</v>
      </c>
      <c r="D524" s="465" t="s">
        <v>1785</v>
      </c>
      <c r="E524" s="465" t="s">
        <v>1786</v>
      </c>
      <c r="F524" s="468">
        <v>1</v>
      </c>
      <c r="G524" s="468">
        <v>609</v>
      </c>
      <c r="H524" s="468">
        <v>1</v>
      </c>
      <c r="I524" s="468">
        <v>609</v>
      </c>
      <c r="J524" s="468">
        <v>1</v>
      </c>
      <c r="K524" s="468">
        <v>612</v>
      </c>
      <c r="L524" s="468">
        <v>1.0049261083743843</v>
      </c>
      <c r="M524" s="468">
        <v>612</v>
      </c>
      <c r="N524" s="468">
        <v>2</v>
      </c>
      <c r="O524" s="468">
        <v>1236</v>
      </c>
      <c r="P524" s="517">
        <v>2.0295566502463056</v>
      </c>
      <c r="Q524" s="469">
        <v>618</v>
      </c>
    </row>
    <row r="525" spans="1:17" ht="14.4" customHeight="1" x14ac:dyDescent="0.3">
      <c r="A525" s="464" t="s">
        <v>1893</v>
      </c>
      <c r="B525" s="465" t="s">
        <v>1769</v>
      </c>
      <c r="C525" s="465" t="s">
        <v>1756</v>
      </c>
      <c r="D525" s="465" t="s">
        <v>1789</v>
      </c>
      <c r="E525" s="465" t="s">
        <v>1790</v>
      </c>
      <c r="F525" s="468">
        <v>7</v>
      </c>
      <c r="G525" s="468">
        <v>1106</v>
      </c>
      <c r="H525" s="468">
        <v>1</v>
      </c>
      <c r="I525" s="468">
        <v>158</v>
      </c>
      <c r="J525" s="468">
        <v>20</v>
      </c>
      <c r="K525" s="468">
        <v>3180</v>
      </c>
      <c r="L525" s="468">
        <v>2.8752260397830018</v>
      </c>
      <c r="M525" s="468">
        <v>159</v>
      </c>
      <c r="N525" s="468">
        <v>24</v>
      </c>
      <c r="O525" s="468">
        <v>3834</v>
      </c>
      <c r="P525" s="517">
        <v>3.4665461121157324</v>
      </c>
      <c r="Q525" s="469">
        <v>159.75</v>
      </c>
    </row>
    <row r="526" spans="1:17" ht="14.4" customHeight="1" x14ac:dyDescent="0.3">
      <c r="A526" s="464" t="s">
        <v>1893</v>
      </c>
      <c r="B526" s="465" t="s">
        <v>1769</v>
      </c>
      <c r="C526" s="465" t="s">
        <v>1756</v>
      </c>
      <c r="D526" s="465" t="s">
        <v>1791</v>
      </c>
      <c r="E526" s="465" t="s">
        <v>1792</v>
      </c>
      <c r="F526" s="468">
        <v>4</v>
      </c>
      <c r="G526" s="468">
        <v>1528</v>
      </c>
      <c r="H526" s="468">
        <v>1</v>
      </c>
      <c r="I526" s="468">
        <v>382</v>
      </c>
      <c r="J526" s="468">
        <v>14</v>
      </c>
      <c r="K526" s="468">
        <v>5348</v>
      </c>
      <c r="L526" s="468">
        <v>3.5</v>
      </c>
      <c r="M526" s="468">
        <v>382</v>
      </c>
      <c r="N526" s="468">
        <v>27</v>
      </c>
      <c r="O526" s="468">
        <v>10334</v>
      </c>
      <c r="P526" s="517">
        <v>6.7630890052356021</v>
      </c>
      <c r="Q526" s="469">
        <v>382.74074074074076</v>
      </c>
    </row>
    <row r="527" spans="1:17" ht="14.4" customHeight="1" x14ac:dyDescent="0.3">
      <c r="A527" s="464" t="s">
        <v>1893</v>
      </c>
      <c r="B527" s="465" t="s">
        <v>1769</v>
      </c>
      <c r="C527" s="465" t="s">
        <v>1756</v>
      </c>
      <c r="D527" s="465" t="s">
        <v>1793</v>
      </c>
      <c r="E527" s="465" t="s">
        <v>1794</v>
      </c>
      <c r="F527" s="468">
        <v>895</v>
      </c>
      <c r="G527" s="468">
        <v>14320</v>
      </c>
      <c r="H527" s="468">
        <v>1</v>
      </c>
      <c r="I527" s="468">
        <v>16</v>
      </c>
      <c r="J527" s="468">
        <v>834</v>
      </c>
      <c r="K527" s="468">
        <v>13344</v>
      </c>
      <c r="L527" s="468">
        <v>0.93184357541899443</v>
      </c>
      <c r="M527" s="468">
        <v>16</v>
      </c>
      <c r="N527" s="468">
        <v>920</v>
      </c>
      <c r="O527" s="468">
        <v>14720</v>
      </c>
      <c r="P527" s="517">
        <v>1.0279329608938548</v>
      </c>
      <c r="Q527" s="469">
        <v>16</v>
      </c>
    </row>
    <row r="528" spans="1:17" ht="14.4" customHeight="1" x14ac:dyDescent="0.3">
      <c r="A528" s="464" t="s">
        <v>1893</v>
      </c>
      <c r="B528" s="465" t="s">
        <v>1769</v>
      </c>
      <c r="C528" s="465" t="s">
        <v>1756</v>
      </c>
      <c r="D528" s="465" t="s">
        <v>1797</v>
      </c>
      <c r="E528" s="465" t="s">
        <v>1798</v>
      </c>
      <c r="F528" s="468">
        <v>86</v>
      </c>
      <c r="G528" s="468">
        <v>22446</v>
      </c>
      <c r="H528" s="468">
        <v>1</v>
      </c>
      <c r="I528" s="468">
        <v>261</v>
      </c>
      <c r="J528" s="468">
        <v>134</v>
      </c>
      <c r="K528" s="468">
        <v>35108</v>
      </c>
      <c r="L528" s="468">
        <v>1.5641094181591375</v>
      </c>
      <c r="M528" s="468">
        <v>262</v>
      </c>
      <c r="N528" s="468">
        <v>131</v>
      </c>
      <c r="O528" s="468">
        <v>34598</v>
      </c>
      <c r="P528" s="517">
        <v>1.5413882206183729</v>
      </c>
      <c r="Q528" s="469">
        <v>264.10687022900765</v>
      </c>
    </row>
    <row r="529" spans="1:17" ht="14.4" customHeight="1" x14ac:dyDescent="0.3">
      <c r="A529" s="464" t="s">
        <v>1893</v>
      </c>
      <c r="B529" s="465" t="s">
        <v>1769</v>
      </c>
      <c r="C529" s="465" t="s">
        <v>1756</v>
      </c>
      <c r="D529" s="465" t="s">
        <v>1799</v>
      </c>
      <c r="E529" s="465" t="s">
        <v>1796</v>
      </c>
      <c r="F529" s="468">
        <v>149</v>
      </c>
      <c r="G529" s="468">
        <v>20860</v>
      </c>
      <c r="H529" s="468">
        <v>1</v>
      </c>
      <c r="I529" s="468">
        <v>140</v>
      </c>
      <c r="J529" s="468">
        <v>160</v>
      </c>
      <c r="K529" s="468">
        <v>22560</v>
      </c>
      <c r="L529" s="468">
        <v>1.0814956855225311</v>
      </c>
      <c r="M529" s="468">
        <v>141</v>
      </c>
      <c r="N529" s="468">
        <v>166</v>
      </c>
      <c r="O529" s="468">
        <v>23406</v>
      </c>
      <c r="P529" s="517">
        <v>1.1220517737296261</v>
      </c>
      <c r="Q529" s="469">
        <v>141</v>
      </c>
    </row>
    <row r="530" spans="1:17" ht="14.4" customHeight="1" x14ac:dyDescent="0.3">
      <c r="A530" s="464" t="s">
        <v>1893</v>
      </c>
      <c r="B530" s="465" t="s">
        <v>1769</v>
      </c>
      <c r="C530" s="465" t="s">
        <v>1756</v>
      </c>
      <c r="D530" s="465" t="s">
        <v>1800</v>
      </c>
      <c r="E530" s="465" t="s">
        <v>1796</v>
      </c>
      <c r="F530" s="468">
        <v>706</v>
      </c>
      <c r="G530" s="468">
        <v>55068</v>
      </c>
      <c r="H530" s="468">
        <v>1</v>
      </c>
      <c r="I530" s="468">
        <v>78</v>
      </c>
      <c r="J530" s="468">
        <v>627</v>
      </c>
      <c r="K530" s="468">
        <v>48906</v>
      </c>
      <c r="L530" s="468">
        <v>0.88810198300283283</v>
      </c>
      <c r="M530" s="468">
        <v>78</v>
      </c>
      <c r="N530" s="468">
        <v>683</v>
      </c>
      <c r="O530" s="468">
        <v>53274</v>
      </c>
      <c r="P530" s="517">
        <v>0.96742209631728049</v>
      </c>
      <c r="Q530" s="469">
        <v>78</v>
      </c>
    </row>
    <row r="531" spans="1:17" ht="14.4" customHeight="1" x14ac:dyDescent="0.3">
      <c r="A531" s="464" t="s">
        <v>1893</v>
      </c>
      <c r="B531" s="465" t="s">
        <v>1769</v>
      </c>
      <c r="C531" s="465" t="s">
        <v>1756</v>
      </c>
      <c r="D531" s="465" t="s">
        <v>1801</v>
      </c>
      <c r="E531" s="465" t="s">
        <v>1802</v>
      </c>
      <c r="F531" s="468">
        <v>149</v>
      </c>
      <c r="G531" s="468">
        <v>44998</v>
      </c>
      <c r="H531" s="468">
        <v>1</v>
      </c>
      <c r="I531" s="468">
        <v>302</v>
      </c>
      <c r="J531" s="468">
        <v>160</v>
      </c>
      <c r="K531" s="468">
        <v>48480</v>
      </c>
      <c r="L531" s="468">
        <v>1.0773812169429753</v>
      </c>
      <c r="M531" s="468">
        <v>303</v>
      </c>
      <c r="N531" s="468">
        <v>165</v>
      </c>
      <c r="O531" s="468">
        <v>50373</v>
      </c>
      <c r="P531" s="517">
        <v>1.11944975332237</v>
      </c>
      <c r="Q531" s="469">
        <v>305.29090909090911</v>
      </c>
    </row>
    <row r="532" spans="1:17" ht="14.4" customHeight="1" x14ac:dyDescent="0.3">
      <c r="A532" s="464" t="s">
        <v>1893</v>
      </c>
      <c r="B532" s="465" t="s">
        <v>1769</v>
      </c>
      <c r="C532" s="465" t="s">
        <v>1756</v>
      </c>
      <c r="D532" s="465" t="s">
        <v>1803</v>
      </c>
      <c r="E532" s="465" t="s">
        <v>1804</v>
      </c>
      <c r="F532" s="468">
        <v>5</v>
      </c>
      <c r="G532" s="468">
        <v>2430</v>
      </c>
      <c r="H532" s="468">
        <v>1</v>
      </c>
      <c r="I532" s="468">
        <v>486</v>
      </c>
      <c r="J532" s="468">
        <v>25</v>
      </c>
      <c r="K532" s="468">
        <v>12150</v>
      </c>
      <c r="L532" s="468">
        <v>5</v>
      </c>
      <c r="M532" s="468">
        <v>486</v>
      </c>
      <c r="N532" s="468">
        <v>40</v>
      </c>
      <c r="O532" s="468">
        <v>19469</v>
      </c>
      <c r="P532" s="517">
        <v>8.0119341563786008</v>
      </c>
      <c r="Q532" s="469">
        <v>486.72500000000002</v>
      </c>
    </row>
    <row r="533" spans="1:17" ht="14.4" customHeight="1" x14ac:dyDescent="0.3">
      <c r="A533" s="464" t="s">
        <v>1893</v>
      </c>
      <c r="B533" s="465" t="s">
        <v>1769</v>
      </c>
      <c r="C533" s="465" t="s">
        <v>1756</v>
      </c>
      <c r="D533" s="465" t="s">
        <v>1805</v>
      </c>
      <c r="E533" s="465" t="s">
        <v>1806</v>
      </c>
      <c r="F533" s="468">
        <v>461</v>
      </c>
      <c r="G533" s="468">
        <v>73299</v>
      </c>
      <c r="H533" s="468">
        <v>1</v>
      </c>
      <c r="I533" s="468">
        <v>159</v>
      </c>
      <c r="J533" s="468">
        <v>423</v>
      </c>
      <c r="K533" s="468">
        <v>67680</v>
      </c>
      <c r="L533" s="468">
        <v>0.92334138255637865</v>
      </c>
      <c r="M533" s="468">
        <v>160</v>
      </c>
      <c r="N533" s="468">
        <v>403</v>
      </c>
      <c r="O533" s="468">
        <v>64768</v>
      </c>
      <c r="P533" s="517">
        <v>0.88361369186482763</v>
      </c>
      <c r="Q533" s="469">
        <v>160.71464019851118</v>
      </c>
    </row>
    <row r="534" spans="1:17" ht="14.4" customHeight="1" x14ac:dyDescent="0.3">
      <c r="A534" s="464" t="s">
        <v>1893</v>
      </c>
      <c r="B534" s="465" t="s">
        <v>1769</v>
      </c>
      <c r="C534" s="465" t="s">
        <v>1756</v>
      </c>
      <c r="D534" s="465" t="s">
        <v>1809</v>
      </c>
      <c r="E534" s="465" t="s">
        <v>1774</v>
      </c>
      <c r="F534" s="468">
        <v>1891</v>
      </c>
      <c r="G534" s="468">
        <v>132370</v>
      </c>
      <c r="H534" s="468">
        <v>1</v>
      </c>
      <c r="I534" s="468">
        <v>70</v>
      </c>
      <c r="J534" s="468">
        <v>1636</v>
      </c>
      <c r="K534" s="468">
        <v>114520</v>
      </c>
      <c r="L534" s="468">
        <v>0.86515071390798515</v>
      </c>
      <c r="M534" s="468">
        <v>70</v>
      </c>
      <c r="N534" s="468">
        <v>1751</v>
      </c>
      <c r="O534" s="468">
        <v>123841</v>
      </c>
      <c r="P534" s="517">
        <v>0.93556697136813483</v>
      </c>
      <c r="Q534" s="469">
        <v>70.725870930896633</v>
      </c>
    </row>
    <row r="535" spans="1:17" ht="14.4" customHeight="1" x14ac:dyDescent="0.3">
      <c r="A535" s="464" t="s">
        <v>1893</v>
      </c>
      <c r="B535" s="465" t="s">
        <v>1769</v>
      </c>
      <c r="C535" s="465" t="s">
        <v>1756</v>
      </c>
      <c r="D535" s="465" t="s">
        <v>1814</v>
      </c>
      <c r="E535" s="465" t="s">
        <v>1815</v>
      </c>
      <c r="F535" s="468"/>
      <c r="G535" s="468"/>
      <c r="H535" s="468"/>
      <c r="I535" s="468"/>
      <c r="J535" s="468"/>
      <c r="K535" s="468"/>
      <c r="L535" s="468"/>
      <c r="M535" s="468"/>
      <c r="N535" s="468">
        <v>1</v>
      </c>
      <c r="O535" s="468">
        <v>219</v>
      </c>
      <c r="P535" s="517"/>
      <c r="Q535" s="469">
        <v>219</v>
      </c>
    </row>
    <row r="536" spans="1:17" ht="14.4" customHeight="1" x14ac:dyDescent="0.3">
      <c r="A536" s="464" t="s">
        <v>1893</v>
      </c>
      <c r="B536" s="465" t="s">
        <v>1769</v>
      </c>
      <c r="C536" s="465" t="s">
        <v>1756</v>
      </c>
      <c r="D536" s="465" t="s">
        <v>1816</v>
      </c>
      <c r="E536" s="465" t="s">
        <v>1817</v>
      </c>
      <c r="F536" s="468">
        <v>5</v>
      </c>
      <c r="G536" s="468">
        <v>5930</v>
      </c>
      <c r="H536" s="468">
        <v>1</v>
      </c>
      <c r="I536" s="468">
        <v>1186</v>
      </c>
      <c r="J536" s="468">
        <v>22</v>
      </c>
      <c r="K536" s="468">
        <v>26158</v>
      </c>
      <c r="L536" s="468">
        <v>4.4111298482293426</v>
      </c>
      <c r="M536" s="468">
        <v>1189</v>
      </c>
      <c r="N536" s="468">
        <v>23</v>
      </c>
      <c r="O536" s="468">
        <v>27403</v>
      </c>
      <c r="P536" s="517">
        <v>4.6210792580101181</v>
      </c>
      <c r="Q536" s="469">
        <v>1191.4347826086957</v>
      </c>
    </row>
    <row r="537" spans="1:17" ht="14.4" customHeight="1" x14ac:dyDescent="0.3">
      <c r="A537" s="464" t="s">
        <v>1893</v>
      </c>
      <c r="B537" s="465" t="s">
        <v>1769</v>
      </c>
      <c r="C537" s="465" t="s">
        <v>1756</v>
      </c>
      <c r="D537" s="465" t="s">
        <v>1818</v>
      </c>
      <c r="E537" s="465" t="s">
        <v>1819</v>
      </c>
      <c r="F537" s="468">
        <v>5</v>
      </c>
      <c r="G537" s="468">
        <v>535</v>
      </c>
      <c r="H537" s="468">
        <v>1</v>
      </c>
      <c r="I537" s="468">
        <v>107</v>
      </c>
      <c r="J537" s="468">
        <v>18</v>
      </c>
      <c r="K537" s="468">
        <v>1944</v>
      </c>
      <c r="L537" s="468">
        <v>3.6336448598130842</v>
      </c>
      <c r="M537" s="468">
        <v>108</v>
      </c>
      <c r="N537" s="468">
        <v>20</v>
      </c>
      <c r="O537" s="468">
        <v>2175</v>
      </c>
      <c r="P537" s="517">
        <v>4.0654205607476639</v>
      </c>
      <c r="Q537" s="469">
        <v>108.75</v>
      </c>
    </row>
    <row r="538" spans="1:17" ht="14.4" customHeight="1" x14ac:dyDescent="0.3">
      <c r="A538" s="464" t="s">
        <v>1893</v>
      </c>
      <c r="B538" s="465" t="s">
        <v>1769</v>
      </c>
      <c r="C538" s="465" t="s">
        <v>1756</v>
      </c>
      <c r="D538" s="465" t="s">
        <v>1822</v>
      </c>
      <c r="E538" s="465" t="s">
        <v>1823</v>
      </c>
      <c r="F538" s="468"/>
      <c r="G538" s="468"/>
      <c r="H538" s="468"/>
      <c r="I538" s="468"/>
      <c r="J538" s="468">
        <v>1</v>
      </c>
      <c r="K538" s="468">
        <v>319</v>
      </c>
      <c r="L538" s="468"/>
      <c r="M538" s="468">
        <v>319</v>
      </c>
      <c r="N538" s="468"/>
      <c r="O538" s="468"/>
      <c r="P538" s="517"/>
      <c r="Q538" s="469"/>
    </row>
    <row r="539" spans="1:17" ht="14.4" customHeight="1" x14ac:dyDescent="0.3">
      <c r="A539" s="464" t="s">
        <v>1893</v>
      </c>
      <c r="B539" s="465" t="s">
        <v>1769</v>
      </c>
      <c r="C539" s="465" t="s">
        <v>1756</v>
      </c>
      <c r="D539" s="465" t="s">
        <v>1826</v>
      </c>
      <c r="E539" s="465" t="s">
        <v>1827</v>
      </c>
      <c r="F539" s="468">
        <v>1</v>
      </c>
      <c r="G539" s="468">
        <v>143</v>
      </c>
      <c r="H539" s="468">
        <v>1</v>
      </c>
      <c r="I539" s="468">
        <v>143</v>
      </c>
      <c r="J539" s="468"/>
      <c r="K539" s="468"/>
      <c r="L539" s="468"/>
      <c r="M539" s="468"/>
      <c r="N539" s="468"/>
      <c r="O539" s="468"/>
      <c r="P539" s="517"/>
      <c r="Q539" s="469"/>
    </row>
    <row r="540" spans="1:17" ht="14.4" customHeight="1" x14ac:dyDescent="0.3">
      <c r="A540" s="464" t="s">
        <v>1893</v>
      </c>
      <c r="B540" s="465" t="s">
        <v>1769</v>
      </c>
      <c r="C540" s="465" t="s">
        <v>1756</v>
      </c>
      <c r="D540" s="465" t="s">
        <v>1830</v>
      </c>
      <c r="E540" s="465" t="s">
        <v>1831</v>
      </c>
      <c r="F540" s="468">
        <v>1</v>
      </c>
      <c r="G540" s="468">
        <v>290</v>
      </c>
      <c r="H540" s="468">
        <v>1</v>
      </c>
      <c r="I540" s="468">
        <v>290</v>
      </c>
      <c r="J540" s="468">
        <v>1</v>
      </c>
      <c r="K540" s="468">
        <v>291</v>
      </c>
      <c r="L540" s="468">
        <v>1.0034482758620689</v>
      </c>
      <c r="M540" s="468">
        <v>291</v>
      </c>
      <c r="N540" s="468"/>
      <c r="O540" s="468"/>
      <c r="P540" s="517"/>
      <c r="Q540" s="469"/>
    </row>
    <row r="541" spans="1:17" ht="14.4" customHeight="1" x14ac:dyDescent="0.3">
      <c r="A541" s="464" t="s">
        <v>1894</v>
      </c>
      <c r="B541" s="465" t="s">
        <v>1769</v>
      </c>
      <c r="C541" s="465" t="s">
        <v>1756</v>
      </c>
      <c r="D541" s="465" t="s">
        <v>1773</v>
      </c>
      <c r="E541" s="465" t="s">
        <v>1774</v>
      </c>
      <c r="F541" s="468">
        <v>885</v>
      </c>
      <c r="G541" s="468">
        <v>178770</v>
      </c>
      <c r="H541" s="468">
        <v>1</v>
      </c>
      <c r="I541" s="468">
        <v>202</v>
      </c>
      <c r="J541" s="468">
        <v>1082</v>
      </c>
      <c r="K541" s="468">
        <v>219646</v>
      </c>
      <c r="L541" s="468">
        <v>1.2286513397102423</v>
      </c>
      <c r="M541" s="468">
        <v>203</v>
      </c>
      <c r="N541" s="468">
        <v>1104</v>
      </c>
      <c r="O541" s="468">
        <v>225770</v>
      </c>
      <c r="P541" s="517">
        <v>1.2629076466968732</v>
      </c>
      <c r="Q541" s="469">
        <v>204.50181159420291</v>
      </c>
    </row>
    <row r="542" spans="1:17" ht="14.4" customHeight="1" x14ac:dyDescent="0.3">
      <c r="A542" s="464" t="s">
        <v>1894</v>
      </c>
      <c r="B542" s="465" t="s">
        <v>1769</v>
      </c>
      <c r="C542" s="465" t="s">
        <v>1756</v>
      </c>
      <c r="D542" s="465" t="s">
        <v>1775</v>
      </c>
      <c r="E542" s="465" t="s">
        <v>1774</v>
      </c>
      <c r="F542" s="468"/>
      <c r="G542" s="468"/>
      <c r="H542" s="468"/>
      <c r="I542" s="468"/>
      <c r="J542" s="468"/>
      <c r="K542" s="468"/>
      <c r="L542" s="468"/>
      <c r="M542" s="468"/>
      <c r="N542" s="468">
        <v>4</v>
      </c>
      <c r="O542" s="468">
        <v>339</v>
      </c>
      <c r="P542" s="517"/>
      <c r="Q542" s="469">
        <v>84.75</v>
      </c>
    </row>
    <row r="543" spans="1:17" ht="14.4" customHeight="1" x14ac:dyDescent="0.3">
      <c r="A543" s="464" t="s">
        <v>1894</v>
      </c>
      <c r="B543" s="465" t="s">
        <v>1769</v>
      </c>
      <c r="C543" s="465" t="s">
        <v>1756</v>
      </c>
      <c r="D543" s="465" t="s">
        <v>1776</v>
      </c>
      <c r="E543" s="465" t="s">
        <v>1777</v>
      </c>
      <c r="F543" s="468">
        <v>330</v>
      </c>
      <c r="G543" s="468">
        <v>96030</v>
      </c>
      <c r="H543" s="468">
        <v>1</v>
      </c>
      <c r="I543" s="468">
        <v>291</v>
      </c>
      <c r="J543" s="468">
        <v>426</v>
      </c>
      <c r="K543" s="468">
        <v>124392</v>
      </c>
      <c r="L543" s="468">
        <v>1.2953452046235552</v>
      </c>
      <c r="M543" s="468">
        <v>292</v>
      </c>
      <c r="N543" s="468">
        <v>371</v>
      </c>
      <c r="O543" s="468">
        <v>108790</v>
      </c>
      <c r="P543" s="517">
        <v>1.1328751431844215</v>
      </c>
      <c r="Q543" s="469">
        <v>293.23450134770889</v>
      </c>
    </row>
    <row r="544" spans="1:17" ht="14.4" customHeight="1" x14ac:dyDescent="0.3">
      <c r="A544" s="464" t="s">
        <v>1894</v>
      </c>
      <c r="B544" s="465" t="s">
        <v>1769</v>
      </c>
      <c r="C544" s="465" t="s">
        <v>1756</v>
      </c>
      <c r="D544" s="465" t="s">
        <v>1778</v>
      </c>
      <c r="E544" s="465" t="s">
        <v>1779</v>
      </c>
      <c r="F544" s="468">
        <v>6</v>
      </c>
      <c r="G544" s="468">
        <v>552</v>
      </c>
      <c r="H544" s="468">
        <v>1</v>
      </c>
      <c r="I544" s="468">
        <v>92</v>
      </c>
      <c r="J544" s="468">
        <v>9</v>
      </c>
      <c r="K544" s="468">
        <v>837</v>
      </c>
      <c r="L544" s="468">
        <v>1.5163043478260869</v>
      </c>
      <c r="M544" s="468">
        <v>93</v>
      </c>
      <c r="N544" s="468">
        <v>6</v>
      </c>
      <c r="O544" s="468">
        <v>558</v>
      </c>
      <c r="P544" s="517">
        <v>1.0108695652173914</v>
      </c>
      <c r="Q544" s="469">
        <v>93</v>
      </c>
    </row>
    <row r="545" spans="1:17" ht="14.4" customHeight="1" x14ac:dyDescent="0.3">
      <c r="A545" s="464" t="s">
        <v>1894</v>
      </c>
      <c r="B545" s="465" t="s">
        <v>1769</v>
      </c>
      <c r="C545" s="465" t="s">
        <v>1756</v>
      </c>
      <c r="D545" s="465" t="s">
        <v>1780</v>
      </c>
      <c r="E545" s="465" t="s">
        <v>1781</v>
      </c>
      <c r="F545" s="468">
        <v>5</v>
      </c>
      <c r="G545" s="468">
        <v>1095</v>
      </c>
      <c r="H545" s="468">
        <v>1</v>
      </c>
      <c r="I545" s="468">
        <v>219</v>
      </c>
      <c r="J545" s="468">
        <v>1</v>
      </c>
      <c r="K545" s="468">
        <v>220</v>
      </c>
      <c r="L545" s="468">
        <v>0.20091324200913241</v>
      </c>
      <c r="M545" s="468">
        <v>220</v>
      </c>
      <c r="N545" s="468"/>
      <c r="O545" s="468"/>
      <c r="P545" s="517"/>
      <c r="Q545" s="469"/>
    </row>
    <row r="546" spans="1:17" ht="14.4" customHeight="1" x14ac:dyDescent="0.3">
      <c r="A546" s="464" t="s">
        <v>1894</v>
      </c>
      <c r="B546" s="465" t="s">
        <v>1769</v>
      </c>
      <c r="C546" s="465" t="s">
        <v>1756</v>
      </c>
      <c r="D546" s="465" t="s">
        <v>1782</v>
      </c>
      <c r="E546" s="465" t="s">
        <v>1783</v>
      </c>
      <c r="F546" s="468">
        <v>142</v>
      </c>
      <c r="G546" s="468">
        <v>18886</v>
      </c>
      <c r="H546" s="468">
        <v>1</v>
      </c>
      <c r="I546" s="468">
        <v>133</v>
      </c>
      <c r="J546" s="468">
        <v>171</v>
      </c>
      <c r="K546" s="468">
        <v>22914</v>
      </c>
      <c r="L546" s="468">
        <v>1.2132796780684105</v>
      </c>
      <c r="M546" s="468">
        <v>134</v>
      </c>
      <c r="N546" s="468">
        <v>175</v>
      </c>
      <c r="O546" s="468">
        <v>23574</v>
      </c>
      <c r="P546" s="517">
        <v>1.2482261993010695</v>
      </c>
      <c r="Q546" s="469">
        <v>134.70857142857142</v>
      </c>
    </row>
    <row r="547" spans="1:17" ht="14.4" customHeight="1" x14ac:dyDescent="0.3">
      <c r="A547" s="464" t="s">
        <v>1894</v>
      </c>
      <c r="B547" s="465" t="s">
        <v>1769</v>
      </c>
      <c r="C547" s="465" t="s">
        <v>1756</v>
      </c>
      <c r="D547" s="465" t="s">
        <v>1784</v>
      </c>
      <c r="E547" s="465" t="s">
        <v>1783</v>
      </c>
      <c r="F547" s="468">
        <v>1</v>
      </c>
      <c r="G547" s="468">
        <v>174</v>
      </c>
      <c r="H547" s="468">
        <v>1</v>
      </c>
      <c r="I547" s="468">
        <v>174</v>
      </c>
      <c r="J547" s="468">
        <v>1</v>
      </c>
      <c r="K547" s="468">
        <v>175</v>
      </c>
      <c r="L547" s="468">
        <v>1.0057471264367817</v>
      </c>
      <c r="M547" s="468">
        <v>175</v>
      </c>
      <c r="N547" s="468">
        <v>2</v>
      </c>
      <c r="O547" s="468">
        <v>352</v>
      </c>
      <c r="P547" s="517">
        <v>2.0229885057471266</v>
      </c>
      <c r="Q547" s="469">
        <v>176</v>
      </c>
    </row>
    <row r="548" spans="1:17" ht="14.4" customHeight="1" x14ac:dyDescent="0.3">
      <c r="A548" s="464" t="s">
        <v>1894</v>
      </c>
      <c r="B548" s="465" t="s">
        <v>1769</v>
      </c>
      <c r="C548" s="465" t="s">
        <v>1756</v>
      </c>
      <c r="D548" s="465" t="s">
        <v>1785</v>
      </c>
      <c r="E548" s="465" t="s">
        <v>1786</v>
      </c>
      <c r="F548" s="468"/>
      <c r="G548" s="468"/>
      <c r="H548" s="468"/>
      <c r="I548" s="468"/>
      <c r="J548" s="468"/>
      <c r="K548" s="468"/>
      <c r="L548" s="468"/>
      <c r="M548" s="468"/>
      <c r="N548" s="468">
        <v>1</v>
      </c>
      <c r="O548" s="468">
        <v>618</v>
      </c>
      <c r="P548" s="517"/>
      <c r="Q548" s="469">
        <v>618</v>
      </c>
    </row>
    <row r="549" spans="1:17" ht="14.4" customHeight="1" x14ac:dyDescent="0.3">
      <c r="A549" s="464" t="s">
        <v>1894</v>
      </c>
      <c r="B549" s="465" t="s">
        <v>1769</v>
      </c>
      <c r="C549" s="465" t="s">
        <v>1756</v>
      </c>
      <c r="D549" s="465" t="s">
        <v>1787</v>
      </c>
      <c r="E549" s="465" t="s">
        <v>1788</v>
      </c>
      <c r="F549" s="468">
        <v>1</v>
      </c>
      <c r="G549" s="468">
        <v>582</v>
      </c>
      <c r="H549" s="468">
        <v>1</v>
      </c>
      <c r="I549" s="468">
        <v>582</v>
      </c>
      <c r="J549" s="468"/>
      <c r="K549" s="468"/>
      <c r="L549" s="468"/>
      <c r="M549" s="468"/>
      <c r="N549" s="468"/>
      <c r="O549" s="468"/>
      <c r="P549" s="517"/>
      <c r="Q549" s="469"/>
    </row>
    <row r="550" spans="1:17" ht="14.4" customHeight="1" x14ac:dyDescent="0.3">
      <c r="A550" s="464" t="s">
        <v>1894</v>
      </c>
      <c r="B550" s="465" t="s">
        <v>1769</v>
      </c>
      <c r="C550" s="465" t="s">
        <v>1756</v>
      </c>
      <c r="D550" s="465" t="s">
        <v>1789</v>
      </c>
      <c r="E550" s="465" t="s">
        <v>1790</v>
      </c>
      <c r="F550" s="468">
        <v>15</v>
      </c>
      <c r="G550" s="468">
        <v>2370</v>
      </c>
      <c r="H550" s="468">
        <v>1</v>
      </c>
      <c r="I550" s="468">
        <v>158</v>
      </c>
      <c r="J550" s="468">
        <v>15</v>
      </c>
      <c r="K550" s="468">
        <v>2385</v>
      </c>
      <c r="L550" s="468">
        <v>1.0063291139240507</v>
      </c>
      <c r="M550" s="468">
        <v>159</v>
      </c>
      <c r="N550" s="468">
        <v>19</v>
      </c>
      <c r="O550" s="468">
        <v>3035</v>
      </c>
      <c r="P550" s="517">
        <v>1.2805907172995781</v>
      </c>
      <c r="Q550" s="469">
        <v>159.73684210526315</v>
      </c>
    </row>
    <row r="551" spans="1:17" ht="14.4" customHeight="1" x14ac:dyDescent="0.3">
      <c r="A551" s="464" t="s">
        <v>1894</v>
      </c>
      <c r="B551" s="465" t="s">
        <v>1769</v>
      </c>
      <c r="C551" s="465" t="s">
        <v>1756</v>
      </c>
      <c r="D551" s="465" t="s">
        <v>1791</v>
      </c>
      <c r="E551" s="465" t="s">
        <v>1792</v>
      </c>
      <c r="F551" s="468">
        <v>3</v>
      </c>
      <c r="G551" s="468">
        <v>1146</v>
      </c>
      <c r="H551" s="468">
        <v>1</v>
      </c>
      <c r="I551" s="468">
        <v>382</v>
      </c>
      <c r="J551" s="468"/>
      <c r="K551" s="468"/>
      <c r="L551" s="468"/>
      <c r="M551" s="468"/>
      <c r="N551" s="468"/>
      <c r="O551" s="468"/>
      <c r="P551" s="517"/>
      <c r="Q551" s="469"/>
    </row>
    <row r="552" spans="1:17" ht="14.4" customHeight="1" x14ac:dyDescent="0.3">
      <c r="A552" s="464" t="s">
        <v>1894</v>
      </c>
      <c r="B552" s="465" t="s">
        <v>1769</v>
      </c>
      <c r="C552" s="465" t="s">
        <v>1756</v>
      </c>
      <c r="D552" s="465" t="s">
        <v>1793</v>
      </c>
      <c r="E552" s="465" t="s">
        <v>1794</v>
      </c>
      <c r="F552" s="468">
        <v>348</v>
      </c>
      <c r="G552" s="468">
        <v>5568</v>
      </c>
      <c r="H552" s="468">
        <v>1</v>
      </c>
      <c r="I552" s="468">
        <v>16</v>
      </c>
      <c r="J552" s="468">
        <v>400</v>
      </c>
      <c r="K552" s="468">
        <v>6400</v>
      </c>
      <c r="L552" s="468">
        <v>1.1494252873563218</v>
      </c>
      <c r="M552" s="468">
        <v>16</v>
      </c>
      <c r="N552" s="468">
        <v>432</v>
      </c>
      <c r="O552" s="468">
        <v>6912</v>
      </c>
      <c r="P552" s="517">
        <v>1.2413793103448276</v>
      </c>
      <c r="Q552" s="469">
        <v>16</v>
      </c>
    </row>
    <row r="553" spans="1:17" ht="14.4" customHeight="1" x14ac:dyDescent="0.3">
      <c r="A553" s="464" t="s">
        <v>1894</v>
      </c>
      <c r="B553" s="465" t="s">
        <v>1769</v>
      </c>
      <c r="C553" s="465" t="s">
        <v>1756</v>
      </c>
      <c r="D553" s="465" t="s">
        <v>1797</v>
      </c>
      <c r="E553" s="465" t="s">
        <v>1798</v>
      </c>
      <c r="F553" s="468">
        <v>118</v>
      </c>
      <c r="G553" s="468">
        <v>30798</v>
      </c>
      <c r="H553" s="468">
        <v>1</v>
      </c>
      <c r="I553" s="468">
        <v>261</v>
      </c>
      <c r="J553" s="468">
        <v>173</v>
      </c>
      <c r="K553" s="468">
        <v>45326</v>
      </c>
      <c r="L553" s="468">
        <v>1.4717189427884927</v>
      </c>
      <c r="M553" s="468">
        <v>262</v>
      </c>
      <c r="N553" s="468">
        <v>193</v>
      </c>
      <c r="O553" s="468">
        <v>50995</v>
      </c>
      <c r="P553" s="517">
        <v>1.655789336969933</v>
      </c>
      <c r="Q553" s="469">
        <v>264.22279792746116</v>
      </c>
    </row>
    <row r="554" spans="1:17" ht="14.4" customHeight="1" x14ac:dyDescent="0.3">
      <c r="A554" s="464" t="s">
        <v>1894</v>
      </c>
      <c r="B554" s="465" t="s">
        <v>1769</v>
      </c>
      <c r="C554" s="465" t="s">
        <v>1756</v>
      </c>
      <c r="D554" s="465" t="s">
        <v>1799</v>
      </c>
      <c r="E554" s="465" t="s">
        <v>1796</v>
      </c>
      <c r="F554" s="468">
        <v>186</v>
      </c>
      <c r="G554" s="468">
        <v>26040</v>
      </c>
      <c r="H554" s="468">
        <v>1</v>
      </c>
      <c r="I554" s="468">
        <v>140</v>
      </c>
      <c r="J554" s="468">
        <v>220</v>
      </c>
      <c r="K554" s="468">
        <v>31020</v>
      </c>
      <c r="L554" s="468">
        <v>1.1912442396313363</v>
      </c>
      <c r="M554" s="468">
        <v>141</v>
      </c>
      <c r="N554" s="468">
        <v>250</v>
      </c>
      <c r="O554" s="468">
        <v>35250</v>
      </c>
      <c r="P554" s="517">
        <v>1.3536866359447004</v>
      </c>
      <c r="Q554" s="469">
        <v>141</v>
      </c>
    </row>
    <row r="555" spans="1:17" ht="14.4" customHeight="1" x14ac:dyDescent="0.3">
      <c r="A555" s="464" t="s">
        <v>1894</v>
      </c>
      <c r="B555" s="465" t="s">
        <v>1769</v>
      </c>
      <c r="C555" s="465" t="s">
        <v>1756</v>
      </c>
      <c r="D555" s="465" t="s">
        <v>1800</v>
      </c>
      <c r="E555" s="465" t="s">
        <v>1796</v>
      </c>
      <c r="F555" s="468">
        <v>142</v>
      </c>
      <c r="G555" s="468">
        <v>11076</v>
      </c>
      <c r="H555" s="468">
        <v>1</v>
      </c>
      <c r="I555" s="468">
        <v>78</v>
      </c>
      <c r="J555" s="468">
        <v>172</v>
      </c>
      <c r="K555" s="468">
        <v>13416</v>
      </c>
      <c r="L555" s="468">
        <v>1.2112676056338028</v>
      </c>
      <c r="M555" s="468">
        <v>78</v>
      </c>
      <c r="N555" s="468">
        <v>175</v>
      </c>
      <c r="O555" s="468">
        <v>13650</v>
      </c>
      <c r="P555" s="517">
        <v>1.232394366197183</v>
      </c>
      <c r="Q555" s="469">
        <v>78</v>
      </c>
    </row>
    <row r="556" spans="1:17" ht="14.4" customHeight="1" x14ac:dyDescent="0.3">
      <c r="A556" s="464" t="s">
        <v>1894</v>
      </c>
      <c r="B556" s="465" t="s">
        <v>1769</v>
      </c>
      <c r="C556" s="465" t="s">
        <v>1756</v>
      </c>
      <c r="D556" s="465" t="s">
        <v>1801</v>
      </c>
      <c r="E556" s="465" t="s">
        <v>1802</v>
      </c>
      <c r="F556" s="468">
        <v>186</v>
      </c>
      <c r="G556" s="468">
        <v>56172</v>
      </c>
      <c r="H556" s="468">
        <v>1</v>
      </c>
      <c r="I556" s="468">
        <v>302</v>
      </c>
      <c r="J556" s="468">
        <v>220</v>
      </c>
      <c r="K556" s="468">
        <v>66660</v>
      </c>
      <c r="L556" s="468">
        <v>1.1867122409741508</v>
      </c>
      <c r="M556" s="468">
        <v>303</v>
      </c>
      <c r="N556" s="468">
        <v>250</v>
      </c>
      <c r="O556" s="468">
        <v>76338</v>
      </c>
      <c r="P556" s="517">
        <v>1.359004486220893</v>
      </c>
      <c r="Q556" s="469">
        <v>305.35199999999998</v>
      </c>
    </row>
    <row r="557" spans="1:17" ht="14.4" customHeight="1" x14ac:dyDescent="0.3">
      <c r="A557" s="464" t="s">
        <v>1894</v>
      </c>
      <c r="B557" s="465" t="s">
        <v>1769</v>
      </c>
      <c r="C557" s="465" t="s">
        <v>1756</v>
      </c>
      <c r="D557" s="465" t="s">
        <v>1803</v>
      </c>
      <c r="E557" s="465" t="s">
        <v>1804</v>
      </c>
      <c r="F557" s="468">
        <v>1</v>
      </c>
      <c r="G557" s="468">
        <v>486</v>
      </c>
      <c r="H557" s="468">
        <v>1</v>
      </c>
      <c r="I557" s="468">
        <v>486</v>
      </c>
      <c r="J557" s="468"/>
      <c r="K557" s="468"/>
      <c r="L557" s="468"/>
      <c r="M557" s="468"/>
      <c r="N557" s="468"/>
      <c r="O557" s="468"/>
      <c r="P557" s="517"/>
      <c r="Q557" s="469"/>
    </row>
    <row r="558" spans="1:17" ht="14.4" customHeight="1" x14ac:dyDescent="0.3">
      <c r="A558" s="464" t="s">
        <v>1894</v>
      </c>
      <c r="B558" s="465" t="s">
        <v>1769</v>
      </c>
      <c r="C558" s="465" t="s">
        <v>1756</v>
      </c>
      <c r="D558" s="465" t="s">
        <v>1805</v>
      </c>
      <c r="E558" s="465" t="s">
        <v>1806</v>
      </c>
      <c r="F558" s="468">
        <v>41</v>
      </c>
      <c r="G558" s="468">
        <v>6519</v>
      </c>
      <c r="H558" s="468">
        <v>1</v>
      </c>
      <c r="I558" s="468">
        <v>159</v>
      </c>
      <c r="J558" s="468">
        <v>32</v>
      </c>
      <c r="K558" s="468">
        <v>5120</v>
      </c>
      <c r="L558" s="468">
        <v>0.78539653321061509</v>
      </c>
      <c r="M558" s="468">
        <v>160</v>
      </c>
      <c r="N558" s="468">
        <v>40</v>
      </c>
      <c r="O558" s="468">
        <v>6426</v>
      </c>
      <c r="P558" s="517">
        <v>0.98573400828347901</v>
      </c>
      <c r="Q558" s="469">
        <v>160.65</v>
      </c>
    </row>
    <row r="559" spans="1:17" ht="14.4" customHeight="1" x14ac:dyDescent="0.3">
      <c r="A559" s="464" t="s">
        <v>1894</v>
      </c>
      <c r="B559" s="465" t="s">
        <v>1769</v>
      </c>
      <c r="C559" s="465" t="s">
        <v>1756</v>
      </c>
      <c r="D559" s="465" t="s">
        <v>1809</v>
      </c>
      <c r="E559" s="465" t="s">
        <v>1774</v>
      </c>
      <c r="F559" s="468">
        <v>378</v>
      </c>
      <c r="G559" s="468">
        <v>26460</v>
      </c>
      <c r="H559" s="468">
        <v>1</v>
      </c>
      <c r="I559" s="468">
        <v>70</v>
      </c>
      <c r="J559" s="468">
        <v>495</v>
      </c>
      <c r="K559" s="468">
        <v>34650</v>
      </c>
      <c r="L559" s="468">
        <v>1.3095238095238095</v>
      </c>
      <c r="M559" s="468">
        <v>70</v>
      </c>
      <c r="N559" s="468">
        <v>491</v>
      </c>
      <c r="O559" s="468">
        <v>34721</v>
      </c>
      <c r="P559" s="517">
        <v>1.3122071050642479</v>
      </c>
      <c r="Q559" s="469">
        <v>70.714867617107942</v>
      </c>
    </row>
    <row r="560" spans="1:17" ht="14.4" customHeight="1" x14ac:dyDescent="0.3">
      <c r="A560" s="464" t="s">
        <v>1894</v>
      </c>
      <c r="B560" s="465" t="s">
        <v>1769</v>
      </c>
      <c r="C560" s="465" t="s">
        <v>1756</v>
      </c>
      <c r="D560" s="465" t="s">
        <v>1814</v>
      </c>
      <c r="E560" s="465" t="s">
        <v>1815</v>
      </c>
      <c r="F560" s="468">
        <v>12</v>
      </c>
      <c r="G560" s="468">
        <v>2580</v>
      </c>
      <c r="H560" s="468">
        <v>1</v>
      </c>
      <c r="I560" s="468">
        <v>215</v>
      </c>
      <c r="J560" s="468">
        <v>4</v>
      </c>
      <c r="K560" s="468">
        <v>864</v>
      </c>
      <c r="L560" s="468">
        <v>0.33488372093023255</v>
      </c>
      <c r="M560" s="468">
        <v>216</v>
      </c>
      <c r="N560" s="468">
        <v>4</v>
      </c>
      <c r="O560" s="468">
        <v>873</v>
      </c>
      <c r="P560" s="517">
        <v>0.33837209302325583</v>
      </c>
      <c r="Q560" s="469">
        <v>218.25</v>
      </c>
    </row>
    <row r="561" spans="1:17" ht="14.4" customHeight="1" x14ac:dyDescent="0.3">
      <c r="A561" s="464" t="s">
        <v>1894</v>
      </c>
      <c r="B561" s="465" t="s">
        <v>1769</v>
      </c>
      <c r="C561" s="465" t="s">
        <v>1756</v>
      </c>
      <c r="D561" s="465" t="s">
        <v>1816</v>
      </c>
      <c r="E561" s="465" t="s">
        <v>1817</v>
      </c>
      <c r="F561" s="468">
        <v>3</v>
      </c>
      <c r="G561" s="468">
        <v>3558</v>
      </c>
      <c r="H561" s="468">
        <v>1</v>
      </c>
      <c r="I561" s="468">
        <v>1186</v>
      </c>
      <c r="J561" s="468">
        <v>10</v>
      </c>
      <c r="K561" s="468">
        <v>11890</v>
      </c>
      <c r="L561" s="468">
        <v>3.3417650365373803</v>
      </c>
      <c r="M561" s="468">
        <v>1189</v>
      </c>
      <c r="N561" s="468">
        <v>11</v>
      </c>
      <c r="O561" s="468">
        <v>13103</v>
      </c>
      <c r="P561" s="517">
        <v>3.6826869027543565</v>
      </c>
      <c r="Q561" s="469">
        <v>1191.1818181818182</v>
      </c>
    </row>
    <row r="562" spans="1:17" ht="14.4" customHeight="1" x14ac:dyDescent="0.3">
      <c r="A562" s="464" t="s">
        <v>1894</v>
      </c>
      <c r="B562" s="465" t="s">
        <v>1769</v>
      </c>
      <c r="C562" s="465" t="s">
        <v>1756</v>
      </c>
      <c r="D562" s="465" t="s">
        <v>1818</v>
      </c>
      <c r="E562" s="465" t="s">
        <v>1819</v>
      </c>
      <c r="F562" s="468">
        <v>8</v>
      </c>
      <c r="G562" s="468">
        <v>856</v>
      </c>
      <c r="H562" s="468">
        <v>1</v>
      </c>
      <c r="I562" s="468">
        <v>107</v>
      </c>
      <c r="J562" s="468">
        <v>12</v>
      </c>
      <c r="K562" s="468">
        <v>1296</v>
      </c>
      <c r="L562" s="468">
        <v>1.514018691588785</v>
      </c>
      <c r="M562" s="468">
        <v>108</v>
      </c>
      <c r="N562" s="468">
        <v>9</v>
      </c>
      <c r="O562" s="468">
        <v>977</v>
      </c>
      <c r="P562" s="517">
        <v>1.141355140186916</v>
      </c>
      <c r="Q562" s="469">
        <v>108.55555555555556</v>
      </c>
    </row>
    <row r="563" spans="1:17" ht="14.4" customHeight="1" x14ac:dyDescent="0.3">
      <c r="A563" s="464" t="s">
        <v>1894</v>
      </c>
      <c r="B563" s="465" t="s">
        <v>1769</v>
      </c>
      <c r="C563" s="465" t="s">
        <v>1756</v>
      </c>
      <c r="D563" s="465" t="s">
        <v>1822</v>
      </c>
      <c r="E563" s="465" t="s">
        <v>1823</v>
      </c>
      <c r="F563" s="468">
        <v>6</v>
      </c>
      <c r="G563" s="468">
        <v>1908</v>
      </c>
      <c r="H563" s="468">
        <v>1</v>
      </c>
      <c r="I563" s="468">
        <v>318</v>
      </c>
      <c r="J563" s="468">
        <v>2</v>
      </c>
      <c r="K563" s="468">
        <v>638</v>
      </c>
      <c r="L563" s="468">
        <v>0.33438155136268344</v>
      </c>
      <c r="M563" s="468">
        <v>319</v>
      </c>
      <c r="N563" s="468">
        <v>1</v>
      </c>
      <c r="O563" s="468">
        <v>322</v>
      </c>
      <c r="P563" s="517">
        <v>0.16876310272536688</v>
      </c>
      <c r="Q563" s="469">
        <v>322</v>
      </c>
    </row>
    <row r="564" spans="1:17" ht="14.4" customHeight="1" x14ac:dyDescent="0.3">
      <c r="A564" s="464" t="s">
        <v>1894</v>
      </c>
      <c r="B564" s="465" t="s">
        <v>1769</v>
      </c>
      <c r="C564" s="465" t="s">
        <v>1756</v>
      </c>
      <c r="D564" s="465" t="s">
        <v>1826</v>
      </c>
      <c r="E564" s="465" t="s">
        <v>1827</v>
      </c>
      <c r="F564" s="468"/>
      <c r="G564" s="468"/>
      <c r="H564" s="468"/>
      <c r="I564" s="468"/>
      <c r="J564" s="468"/>
      <c r="K564" s="468"/>
      <c r="L564" s="468"/>
      <c r="M564" s="468"/>
      <c r="N564" s="468">
        <v>1</v>
      </c>
      <c r="O564" s="468">
        <v>144</v>
      </c>
      <c r="P564" s="517"/>
      <c r="Q564" s="469">
        <v>144</v>
      </c>
    </row>
    <row r="565" spans="1:17" ht="14.4" customHeight="1" x14ac:dyDescent="0.3">
      <c r="A565" s="464" t="s">
        <v>1894</v>
      </c>
      <c r="B565" s="465" t="s">
        <v>1769</v>
      </c>
      <c r="C565" s="465" t="s">
        <v>1756</v>
      </c>
      <c r="D565" s="465" t="s">
        <v>1828</v>
      </c>
      <c r="E565" s="465" t="s">
        <v>1829</v>
      </c>
      <c r="F565" s="468">
        <v>2</v>
      </c>
      <c r="G565" s="468">
        <v>2030</v>
      </c>
      <c r="H565" s="468">
        <v>1</v>
      </c>
      <c r="I565" s="468">
        <v>1015</v>
      </c>
      <c r="J565" s="468">
        <v>2</v>
      </c>
      <c r="K565" s="468">
        <v>2040</v>
      </c>
      <c r="L565" s="468">
        <v>1.0049261083743843</v>
      </c>
      <c r="M565" s="468">
        <v>1020</v>
      </c>
      <c r="N565" s="468">
        <v>2</v>
      </c>
      <c r="O565" s="468">
        <v>2049</v>
      </c>
      <c r="P565" s="517">
        <v>1.0093596059113301</v>
      </c>
      <c r="Q565" s="469">
        <v>1024.5</v>
      </c>
    </row>
    <row r="566" spans="1:17" ht="14.4" customHeight="1" thickBot="1" x14ac:dyDescent="0.35">
      <c r="A566" s="470" t="s">
        <v>1894</v>
      </c>
      <c r="B566" s="471" t="s">
        <v>1769</v>
      </c>
      <c r="C566" s="471" t="s">
        <v>1756</v>
      </c>
      <c r="D566" s="471" t="s">
        <v>1830</v>
      </c>
      <c r="E566" s="471" t="s">
        <v>1831</v>
      </c>
      <c r="F566" s="474"/>
      <c r="G566" s="474"/>
      <c r="H566" s="474"/>
      <c r="I566" s="474"/>
      <c r="J566" s="474"/>
      <c r="K566" s="474"/>
      <c r="L566" s="474"/>
      <c r="M566" s="474"/>
      <c r="N566" s="474">
        <v>1</v>
      </c>
      <c r="O566" s="474">
        <v>291</v>
      </c>
      <c r="P566" s="482"/>
      <c r="Q566" s="475">
        <v>291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25" t="s">
        <v>138</v>
      </c>
      <c r="B1" s="325"/>
      <c r="C1" s="325"/>
      <c r="D1" s="325"/>
      <c r="E1" s="325"/>
      <c r="F1" s="325"/>
      <c r="G1" s="326"/>
      <c r="H1" s="326"/>
    </row>
    <row r="2" spans="1:8" ht="14.4" customHeight="1" thickBot="1" x14ac:dyDescent="0.35">
      <c r="A2" s="235" t="s">
        <v>282</v>
      </c>
      <c r="B2" s="111"/>
      <c r="C2" s="111"/>
      <c r="D2" s="111"/>
      <c r="E2" s="111"/>
      <c r="F2" s="111"/>
    </row>
    <row r="3" spans="1:8" ht="14.4" customHeight="1" x14ac:dyDescent="0.3">
      <c r="A3" s="327"/>
      <c r="B3" s="107">
        <v>2012</v>
      </c>
      <c r="C3" s="40">
        <v>2013</v>
      </c>
      <c r="D3" s="7"/>
      <c r="E3" s="331">
        <v>2014</v>
      </c>
      <c r="F3" s="332"/>
      <c r="G3" s="332"/>
      <c r="H3" s="333"/>
    </row>
    <row r="4" spans="1:8" ht="14.4" customHeight="1" thickBot="1" x14ac:dyDescent="0.35">
      <c r="A4" s="328"/>
      <c r="B4" s="329" t="s">
        <v>73</v>
      </c>
      <c r="C4" s="330"/>
      <c r="D4" s="7"/>
      <c r="E4" s="128" t="s">
        <v>73</v>
      </c>
      <c r="F4" s="109" t="s">
        <v>74</v>
      </c>
      <c r="G4" s="109" t="s">
        <v>68</v>
      </c>
      <c r="H4" s="110" t="s">
        <v>75</v>
      </c>
    </row>
    <row r="5" spans="1:8" ht="14.4" customHeight="1" x14ac:dyDescent="0.3">
      <c r="A5" s="112" t="str">
        <f>HYPERLINK("#'Léky Žádanky'!A1","Léky (Kč)")</f>
        <v>Léky (Kč)</v>
      </c>
      <c r="B5" s="27">
        <v>298.74014999999997</v>
      </c>
      <c r="C5" s="29">
        <v>198.51465999999996</v>
      </c>
      <c r="D5" s="8"/>
      <c r="E5" s="117">
        <v>140.34773999999999</v>
      </c>
      <c r="F5" s="28">
        <v>198.66503300038102</v>
      </c>
      <c r="G5" s="116">
        <f>E5-F5</f>
        <v>-58.317293000381028</v>
      </c>
      <c r="H5" s="122">
        <f>IF(F5&lt;0.00000001,"",E5/F5)</f>
        <v>0.70645416498499169</v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39835.321629999999</v>
      </c>
      <c r="C6" s="31">
        <v>41169.032580000021</v>
      </c>
      <c r="D6" s="8"/>
      <c r="E6" s="118">
        <v>41753.43033000001</v>
      </c>
      <c r="F6" s="30">
        <v>41554.018888839833</v>
      </c>
      <c r="G6" s="119">
        <f>E6-F6</f>
        <v>199.41144116017676</v>
      </c>
      <c r="H6" s="123">
        <f>IF(F6&lt;0.00000001,"",E6/F6)</f>
        <v>1.0047988484987125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32805.979530000004</v>
      </c>
      <c r="C7" s="31">
        <v>32524.02181000002</v>
      </c>
      <c r="D7" s="8"/>
      <c r="E7" s="118">
        <v>33329.796940000007</v>
      </c>
      <c r="F7" s="30">
        <v>32372.160059501075</v>
      </c>
      <c r="G7" s="119">
        <f>E7-F7</f>
        <v>957.63688049893244</v>
      </c>
      <c r="H7" s="123">
        <f>IF(F7&lt;0.00000001,"",E7/F7)</f>
        <v>1.029582112492301</v>
      </c>
    </row>
    <row r="8" spans="1:8" ht="14.4" customHeight="1" thickBot="1" x14ac:dyDescent="0.35">
      <c r="A8" s="1" t="s">
        <v>76</v>
      </c>
      <c r="B8" s="11">
        <v>-34412.805829999998</v>
      </c>
      <c r="C8" s="33">
        <v>-35977.246380000011</v>
      </c>
      <c r="D8" s="8"/>
      <c r="E8" s="120">
        <v>-38772.418060000004</v>
      </c>
      <c r="F8" s="32">
        <v>-35756.122519695586</v>
      </c>
      <c r="G8" s="121">
        <f>E8-F8</f>
        <v>-3016.295540304418</v>
      </c>
      <c r="H8" s="124" t="str">
        <f>IF(F8&lt;0.00000001,"",E8/F8)</f>
        <v/>
      </c>
    </row>
    <row r="9" spans="1:8" ht="14.4" customHeight="1" thickBot="1" x14ac:dyDescent="0.35">
      <c r="A9" s="2" t="s">
        <v>77</v>
      </c>
      <c r="B9" s="3">
        <v>38527.235480000003</v>
      </c>
      <c r="C9" s="35">
        <v>37914.322670000038</v>
      </c>
      <c r="D9" s="8"/>
      <c r="E9" s="3">
        <v>36451.156950000011</v>
      </c>
      <c r="F9" s="34">
        <v>38368.721461645699</v>
      </c>
      <c r="G9" s="34">
        <f>E9-F9</f>
        <v>-1917.5645116456872</v>
      </c>
      <c r="H9" s="125">
        <f>IF(F9&lt;0.00000001,"",E9/F9)</f>
        <v>0.95002271541514538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16685.102999999999</v>
      </c>
      <c r="C11" s="29">
        <f>IF(ISERROR(VLOOKUP("Celkem:",'ZV Vykáz.-A'!A:F,4,0)),0,VLOOKUP("Celkem:",'ZV Vykáz.-A'!A:F,4,0)/1000)</f>
        <v>15173.967000000001</v>
      </c>
      <c r="D11" s="8"/>
      <c r="E11" s="117">
        <f>IF(ISERROR(VLOOKUP("Celkem:",'ZV Vykáz.-A'!A:F,6,0)),0,VLOOKUP("Celkem:",'ZV Vykáz.-A'!A:F,6,0)/1000)</f>
        <v>14622.407999999999</v>
      </c>
      <c r="F11" s="28">
        <f>B11</f>
        <v>16685.102999999999</v>
      </c>
      <c r="G11" s="116">
        <f>E11-F11</f>
        <v>-2062.6949999999997</v>
      </c>
      <c r="H11" s="122">
        <f>IF(F11&lt;0.00000001,"",E11/F11)</f>
        <v>0.87637505144559191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16685.102999999999</v>
      </c>
      <c r="C13" s="37">
        <f>SUM(C11:C12)</f>
        <v>15173.967000000001</v>
      </c>
      <c r="D13" s="8"/>
      <c r="E13" s="5">
        <f>SUM(E11:E12)</f>
        <v>14622.407999999999</v>
      </c>
      <c r="F13" s="36">
        <f>SUM(F11:F12)</f>
        <v>16685.102999999999</v>
      </c>
      <c r="G13" s="36">
        <f>E13-F13</f>
        <v>-2062.6949999999997</v>
      </c>
      <c r="H13" s="126">
        <f>IF(F13&lt;0.00000001,"",E13/F13)</f>
        <v>0.87637505144559191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0.43307293638188643</v>
      </c>
      <c r="C15" s="39">
        <f>IF(C9=0,"",C13/C9)</f>
        <v>0.40021727757269165</v>
      </c>
      <c r="D15" s="8"/>
      <c r="E15" s="6">
        <f>IF(E9=0,"",E13/E9)</f>
        <v>0.40115072396899587</v>
      </c>
      <c r="F15" s="38">
        <f>IF(F9=0,"",F13/F9)</f>
        <v>0.43486210549597881</v>
      </c>
      <c r="G15" s="38">
        <f>IF(ISERROR(F15-E15),"",E15-F15)</f>
        <v>-3.3711381526982942E-2</v>
      </c>
      <c r="H15" s="127">
        <f>IF(ISERROR(F15-E15),"",IF(F15&lt;0.00000001,"",E15/F15))</f>
        <v>0.92247799681571774</v>
      </c>
    </row>
    <row r="17" spans="1:8" ht="14.4" customHeight="1" x14ac:dyDescent="0.3">
      <c r="A17" s="113" t="s">
        <v>162</v>
      </c>
    </row>
    <row r="18" spans="1:8" ht="14.4" customHeight="1" x14ac:dyDescent="0.3">
      <c r="A18" s="288" t="s">
        <v>225</v>
      </c>
      <c r="B18" s="289"/>
      <c r="C18" s="289"/>
      <c r="D18" s="289"/>
      <c r="E18" s="289"/>
      <c r="F18" s="289"/>
      <c r="G18" s="289"/>
      <c r="H18" s="289"/>
    </row>
    <row r="19" spans="1:8" x14ac:dyDescent="0.3">
      <c r="A19" s="287" t="s">
        <v>224</v>
      </c>
      <c r="B19" s="289"/>
      <c r="C19" s="289"/>
      <c r="D19" s="289"/>
      <c r="E19" s="289"/>
      <c r="F19" s="289"/>
      <c r="G19" s="289"/>
      <c r="H19" s="289"/>
    </row>
    <row r="20" spans="1:8" ht="14.4" customHeight="1" x14ac:dyDescent="0.3">
      <c r="A20" s="114" t="s">
        <v>279</v>
      </c>
    </row>
    <row r="21" spans="1:8" ht="14.4" customHeight="1" x14ac:dyDescent="0.3">
      <c r="A21" s="114" t="s">
        <v>163</v>
      </c>
    </row>
    <row r="22" spans="1:8" ht="14.4" customHeight="1" x14ac:dyDescent="0.3">
      <c r="A22" s="115" t="s">
        <v>164</v>
      </c>
    </row>
    <row r="23" spans="1:8" ht="14.4" customHeight="1" x14ac:dyDescent="0.3">
      <c r="A23" s="115" t="s">
        <v>165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8" priority="4" operator="greaterThan">
      <formula>0</formula>
    </cfRule>
  </conditionalFormatting>
  <conditionalFormatting sqref="G11:G13 G15">
    <cfRule type="cellIs" dxfId="57" priority="3" operator="lessThan">
      <formula>0</formula>
    </cfRule>
  </conditionalFormatting>
  <conditionalFormatting sqref="H5:H9">
    <cfRule type="cellIs" dxfId="56" priority="2" operator="greaterThan">
      <formula>1</formula>
    </cfRule>
  </conditionalFormatting>
  <conditionalFormatting sqref="H11:H13 H15">
    <cfRule type="cellIs" dxfId="55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25" t="s">
        <v>105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</row>
    <row r="2" spans="1:13" ht="14.4" customHeight="1" x14ac:dyDescent="0.3">
      <c r="A2" s="235" t="s">
        <v>282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9"/>
      <c r="B3" s="200" t="s">
        <v>82</v>
      </c>
      <c r="C3" s="201" t="s">
        <v>83</v>
      </c>
      <c r="D3" s="201" t="s">
        <v>84</v>
      </c>
      <c r="E3" s="200" t="s">
        <v>85</v>
      </c>
      <c r="F3" s="201" t="s">
        <v>86</v>
      </c>
      <c r="G3" s="201" t="s">
        <v>87</v>
      </c>
      <c r="H3" s="201" t="s">
        <v>88</v>
      </c>
      <c r="I3" s="201" t="s">
        <v>89</v>
      </c>
      <c r="J3" s="201" t="s">
        <v>90</v>
      </c>
      <c r="K3" s="201" t="s">
        <v>91</v>
      </c>
      <c r="L3" s="201" t="s">
        <v>92</v>
      </c>
      <c r="M3" s="201" t="s">
        <v>93</v>
      </c>
    </row>
    <row r="4" spans="1:13" ht="14.4" customHeight="1" x14ac:dyDescent="0.3">
      <c r="A4" s="199" t="s">
        <v>81</v>
      </c>
      <c r="B4" s="202">
        <f>(B10+B8)/B6</f>
        <v>0.73632667656841422</v>
      </c>
      <c r="C4" s="202">
        <f t="shared" ref="C4:M4" si="0">(C10+C8)/C6</f>
        <v>1.4046141791231528</v>
      </c>
      <c r="D4" s="202">
        <f t="shared" si="0"/>
        <v>0.58156388003627479</v>
      </c>
      <c r="E4" s="202">
        <f t="shared" si="0"/>
        <v>0.54443416688214108</v>
      </c>
      <c r="F4" s="202">
        <f t="shared" si="0"/>
        <v>0.47245556272843559</v>
      </c>
      <c r="G4" s="202">
        <f t="shared" si="0"/>
        <v>0.58529532868474576</v>
      </c>
      <c r="H4" s="202">
        <f t="shared" si="0"/>
        <v>0.49094164891554298</v>
      </c>
      <c r="I4" s="202">
        <f t="shared" si="0"/>
        <v>0.52263935591355914</v>
      </c>
      <c r="J4" s="202">
        <f t="shared" si="0"/>
        <v>0.51347983663846031</v>
      </c>
      <c r="K4" s="202">
        <f t="shared" si="0"/>
        <v>0.54370207430492712</v>
      </c>
      <c r="L4" s="202">
        <f t="shared" si="0"/>
        <v>0.49195974127469605</v>
      </c>
      <c r="M4" s="202">
        <f t="shared" si="0"/>
        <v>0.40115072396899581</v>
      </c>
    </row>
    <row r="5" spans="1:13" ht="14.4" customHeight="1" x14ac:dyDescent="0.3">
      <c r="A5" s="203" t="s">
        <v>53</v>
      </c>
      <c r="B5" s="202">
        <f>IF(ISERROR(VLOOKUP($A5,'Man Tab'!$A:$Q,COLUMN()+2,0)),0,VLOOKUP($A5,'Man Tab'!$A:$Q,COLUMN()+2,0))</f>
        <v>1991.5399600000101</v>
      </c>
      <c r="C5" s="202">
        <f>IF(ISERROR(VLOOKUP($A5,'Man Tab'!$A:$Q,COLUMN()+2,0)),0,VLOOKUP($A5,'Man Tab'!$A:$Q,COLUMN()+2,0))</f>
        <v>-60.442409999996997</v>
      </c>
      <c r="D5" s="202">
        <f>IF(ISERROR(VLOOKUP($A5,'Man Tab'!$A:$Q,COLUMN()+2,0)),0,VLOOKUP($A5,'Man Tab'!$A:$Q,COLUMN()+2,0))</f>
        <v>5112.4537099999998</v>
      </c>
      <c r="E5" s="202">
        <f>IF(ISERROR(VLOOKUP($A5,'Man Tab'!$A:$Q,COLUMN()+2,0)),0,VLOOKUP($A5,'Man Tab'!$A:$Q,COLUMN()+2,0))</f>
        <v>2865.2078299999998</v>
      </c>
      <c r="F5" s="202">
        <f>IF(ISERROR(VLOOKUP($A5,'Man Tab'!$A:$Q,COLUMN()+2,0)),0,VLOOKUP($A5,'Man Tab'!$A:$Q,COLUMN()+2,0))</f>
        <v>4137.2793600000005</v>
      </c>
      <c r="G5" s="202">
        <f>IF(ISERROR(VLOOKUP($A5,'Man Tab'!$A:$Q,COLUMN()+2,0)),0,VLOOKUP($A5,'Man Tab'!$A:$Q,COLUMN()+2,0))</f>
        <v>-631.63103000000103</v>
      </c>
      <c r="H5" s="202">
        <f>IF(ISERROR(VLOOKUP($A5,'Man Tab'!$A:$Q,COLUMN()+2,0)),0,VLOOKUP($A5,'Man Tab'!$A:$Q,COLUMN()+2,0))</f>
        <v>4989.1931299999997</v>
      </c>
      <c r="I5" s="202">
        <f>IF(ISERROR(VLOOKUP($A5,'Man Tab'!$A:$Q,COLUMN()+2,0)),0,VLOOKUP($A5,'Man Tab'!$A:$Q,COLUMN()+2,0))</f>
        <v>1280.78962</v>
      </c>
      <c r="J5" s="202">
        <f>IF(ISERROR(VLOOKUP($A5,'Man Tab'!$A:$Q,COLUMN()+2,0)),0,VLOOKUP($A5,'Man Tab'!$A:$Q,COLUMN()+2,0))</f>
        <v>3357.1728199999998</v>
      </c>
      <c r="K5" s="202">
        <f>IF(ISERROR(VLOOKUP($A5,'Man Tab'!$A:$Q,COLUMN()+2,0)),0,VLOOKUP($A5,'Man Tab'!$A:$Q,COLUMN()+2,0))</f>
        <v>596.33101000000102</v>
      </c>
      <c r="L5" s="202">
        <f>IF(ISERROR(VLOOKUP($A5,'Man Tab'!$A:$Q,COLUMN()+2,0)),0,VLOOKUP($A5,'Man Tab'!$A:$Q,COLUMN()+2,0))</f>
        <v>4900.7989500000003</v>
      </c>
      <c r="M5" s="202">
        <f>IF(ISERROR(VLOOKUP($A5,'Man Tab'!$A:$Q,COLUMN()+2,0)),0,VLOOKUP($A5,'Man Tab'!$A:$Q,COLUMN()+2,0))</f>
        <v>7912.4639999999999</v>
      </c>
    </row>
    <row r="6" spans="1:13" ht="14.4" customHeight="1" x14ac:dyDescent="0.3">
      <c r="A6" s="203" t="s">
        <v>77</v>
      </c>
      <c r="B6" s="204">
        <f>B5</f>
        <v>1991.5399600000101</v>
      </c>
      <c r="C6" s="204">
        <f t="shared" ref="C6:M6" si="1">C5+B6</f>
        <v>1931.0975500000131</v>
      </c>
      <c r="D6" s="204">
        <f t="shared" si="1"/>
        <v>7043.5512600000129</v>
      </c>
      <c r="E6" s="204">
        <f t="shared" si="1"/>
        <v>9908.7590900000123</v>
      </c>
      <c r="F6" s="204">
        <f t="shared" si="1"/>
        <v>14046.038450000013</v>
      </c>
      <c r="G6" s="204">
        <f t="shared" si="1"/>
        <v>13414.407420000012</v>
      </c>
      <c r="H6" s="204">
        <f t="shared" si="1"/>
        <v>18403.60055000001</v>
      </c>
      <c r="I6" s="204">
        <f t="shared" si="1"/>
        <v>19684.39017000001</v>
      </c>
      <c r="J6" s="204">
        <f t="shared" si="1"/>
        <v>23041.562990000009</v>
      </c>
      <c r="K6" s="204">
        <f t="shared" si="1"/>
        <v>23637.894000000011</v>
      </c>
      <c r="L6" s="204">
        <f t="shared" si="1"/>
        <v>28538.692950000011</v>
      </c>
      <c r="M6" s="204">
        <f t="shared" si="1"/>
        <v>36451.156950000011</v>
      </c>
    </row>
    <row r="7" spans="1:13" ht="14.4" customHeight="1" x14ac:dyDescent="0.3">
      <c r="A7" s="203" t="s">
        <v>103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</row>
    <row r="8" spans="1:13" ht="14.4" customHeight="1" x14ac:dyDescent="0.3">
      <c r="A8" s="203" t="s">
        <v>78</v>
      </c>
      <c r="B8" s="204">
        <f>B7*30</f>
        <v>0</v>
      </c>
      <c r="C8" s="204">
        <f t="shared" ref="C8:M8" si="2">C7*30</f>
        <v>0</v>
      </c>
      <c r="D8" s="204">
        <f t="shared" si="2"/>
        <v>0</v>
      </c>
      <c r="E8" s="204">
        <f t="shared" si="2"/>
        <v>0</v>
      </c>
      <c r="F8" s="204">
        <f t="shared" si="2"/>
        <v>0</v>
      </c>
      <c r="G8" s="204">
        <f t="shared" si="2"/>
        <v>0</v>
      </c>
      <c r="H8" s="204">
        <f t="shared" si="2"/>
        <v>0</v>
      </c>
      <c r="I8" s="204">
        <f t="shared" si="2"/>
        <v>0</v>
      </c>
      <c r="J8" s="204">
        <f t="shared" si="2"/>
        <v>0</v>
      </c>
      <c r="K8" s="204">
        <f t="shared" si="2"/>
        <v>0</v>
      </c>
      <c r="L8" s="204">
        <f t="shared" si="2"/>
        <v>0</v>
      </c>
      <c r="M8" s="204">
        <f t="shared" si="2"/>
        <v>0</v>
      </c>
    </row>
    <row r="9" spans="1:13" ht="14.4" customHeight="1" x14ac:dyDescent="0.3">
      <c r="A9" s="203" t="s">
        <v>104</v>
      </c>
      <c r="B9" s="203">
        <v>1466424</v>
      </c>
      <c r="C9" s="203">
        <v>1246023</v>
      </c>
      <c r="D9" s="203">
        <v>1383828</v>
      </c>
      <c r="E9" s="203">
        <v>1298392</v>
      </c>
      <c r="F9" s="203">
        <v>1241462</v>
      </c>
      <c r="G9" s="203">
        <v>1215261</v>
      </c>
      <c r="H9" s="203">
        <v>1183704</v>
      </c>
      <c r="I9" s="203">
        <v>1252743</v>
      </c>
      <c r="J9" s="203">
        <v>1543541</v>
      </c>
      <c r="K9" s="203">
        <v>1020594</v>
      </c>
      <c r="L9" s="203">
        <v>1187916</v>
      </c>
      <c r="M9" s="203">
        <v>582520</v>
      </c>
    </row>
    <row r="10" spans="1:13" ht="14.4" customHeight="1" x14ac:dyDescent="0.3">
      <c r="A10" s="203" t="s">
        <v>79</v>
      </c>
      <c r="B10" s="204">
        <f>B9/1000</f>
        <v>1466.424</v>
      </c>
      <c r="C10" s="204">
        <f t="shared" ref="C10:M10" si="3">C9/1000+B10</f>
        <v>2712.4470000000001</v>
      </c>
      <c r="D10" s="204">
        <f t="shared" si="3"/>
        <v>4096.2749999999996</v>
      </c>
      <c r="E10" s="204">
        <f t="shared" si="3"/>
        <v>5394.6669999999995</v>
      </c>
      <c r="F10" s="204">
        <f t="shared" si="3"/>
        <v>6636.128999999999</v>
      </c>
      <c r="G10" s="204">
        <f t="shared" si="3"/>
        <v>7851.3899999999994</v>
      </c>
      <c r="H10" s="204">
        <f t="shared" si="3"/>
        <v>9035.0939999999991</v>
      </c>
      <c r="I10" s="204">
        <f t="shared" si="3"/>
        <v>10287.837</v>
      </c>
      <c r="J10" s="204">
        <f t="shared" si="3"/>
        <v>11831.377999999999</v>
      </c>
      <c r="K10" s="204">
        <f t="shared" si="3"/>
        <v>12851.971999999998</v>
      </c>
      <c r="L10" s="204">
        <f t="shared" si="3"/>
        <v>14039.887999999997</v>
      </c>
      <c r="M10" s="204">
        <f t="shared" si="3"/>
        <v>14622.407999999998</v>
      </c>
    </row>
    <row r="11" spans="1:13" ht="14.4" customHeight="1" x14ac:dyDescent="0.3">
      <c r="A11" s="199"/>
      <c r="B11" s="199" t="s">
        <v>94</v>
      </c>
      <c r="C11" s="199">
        <f ca="1">IF(MONTH(TODAY())=1,12,MONTH(TODAY())-1)</f>
        <v>12</v>
      </c>
      <c r="D11" s="199"/>
      <c r="E11" s="199"/>
      <c r="F11" s="199"/>
      <c r="G11" s="199"/>
      <c r="H11" s="199"/>
      <c r="I11" s="199"/>
      <c r="J11" s="199"/>
      <c r="K11" s="199"/>
      <c r="L11" s="199"/>
      <c r="M11" s="199"/>
    </row>
    <row r="12" spans="1:13" ht="14.4" customHeight="1" x14ac:dyDescent="0.3">
      <c r="A12" s="199">
        <v>0</v>
      </c>
      <c r="B12" s="202">
        <f>IF(ISERROR(HI!F15),#REF!,HI!F15)</f>
        <v>0.43486210549597881</v>
      </c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</row>
    <row r="13" spans="1:13" ht="14.4" customHeight="1" x14ac:dyDescent="0.3">
      <c r="A13" s="199">
        <v>1</v>
      </c>
      <c r="B13" s="202">
        <f>IF(ISERROR(HI!F15),#REF!,HI!F15)</f>
        <v>0.43486210549597881</v>
      </c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5" customFormat="1" ht="18.600000000000001" customHeight="1" thickBot="1" x14ac:dyDescent="0.4">
      <c r="A1" s="334" t="s">
        <v>284</v>
      </c>
      <c r="B1" s="334"/>
      <c r="C1" s="334"/>
      <c r="D1" s="334"/>
      <c r="E1" s="334"/>
      <c r="F1" s="334"/>
      <c r="G1" s="334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s="205" customFormat="1" ht="14.4" customHeight="1" thickBot="1" x14ac:dyDescent="0.3">
      <c r="A2" s="235" t="s">
        <v>282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</row>
    <row r="3" spans="1:17" ht="14.4" customHeight="1" x14ac:dyDescent="0.3">
      <c r="A3" s="76"/>
      <c r="B3" s="335" t="s">
        <v>29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138"/>
      <c r="Q3" s="140"/>
    </row>
    <row r="4" spans="1:17" ht="14.4" customHeight="1" x14ac:dyDescent="0.3">
      <c r="A4" s="77"/>
      <c r="B4" s="20">
        <v>2014</v>
      </c>
      <c r="C4" s="139" t="s">
        <v>30</v>
      </c>
      <c r="D4" s="129" t="s">
        <v>168</v>
      </c>
      <c r="E4" s="129" t="s">
        <v>169</v>
      </c>
      <c r="F4" s="129" t="s">
        <v>170</v>
      </c>
      <c r="G4" s="129" t="s">
        <v>171</v>
      </c>
      <c r="H4" s="129" t="s">
        <v>172</v>
      </c>
      <c r="I4" s="129" t="s">
        <v>173</v>
      </c>
      <c r="J4" s="129" t="s">
        <v>174</v>
      </c>
      <c r="K4" s="129" t="s">
        <v>175</v>
      </c>
      <c r="L4" s="129" t="s">
        <v>176</v>
      </c>
      <c r="M4" s="129" t="s">
        <v>177</v>
      </c>
      <c r="N4" s="129" t="s">
        <v>178</v>
      </c>
      <c r="O4" s="129" t="s">
        <v>179</v>
      </c>
      <c r="P4" s="337" t="s">
        <v>3</v>
      </c>
      <c r="Q4" s="338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283</v>
      </c>
    </row>
    <row r="7" spans="1:17" ht="14.4" customHeight="1" x14ac:dyDescent="0.3">
      <c r="A7" s="15" t="s">
        <v>35</v>
      </c>
      <c r="B7" s="51">
        <v>198.66503300038099</v>
      </c>
      <c r="C7" s="52">
        <v>16.555419416698001</v>
      </c>
      <c r="D7" s="52">
        <v>10.7058</v>
      </c>
      <c r="E7" s="52">
        <v>26.897269999999999</v>
      </c>
      <c r="F7" s="52">
        <v>20.531880000000001</v>
      </c>
      <c r="G7" s="52">
        <v>6.4772499999999997</v>
      </c>
      <c r="H7" s="52">
        <v>13.15976</v>
      </c>
      <c r="I7" s="52">
        <v>3.79467</v>
      </c>
      <c r="J7" s="52">
        <v>8.2333999999999996</v>
      </c>
      <c r="K7" s="52">
        <v>5.4784600000000001</v>
      </c>
      <c r="L7" s="52">
        <v>7.3961199999999998</v>
      </c>
      <c r="M7" s="52">
        <v>11.071109999999999</v>
      </c>
      <c r="N7" s="52">
        <v>3.4771399999999999</v>
      </c>
      <c r="O7" s="52">
        <v>23.124880000000001</v>
      </c>
      <c r="P7" s="53">
        <v>140.34773999999999</v>
      </c>
      <c r="Q7" s="95">
        <v>0.70645416498400004</v>
      </c>
    </row>
    <row r="8" spans="1:17" ht="14.4" customHeight="1" x14ac:dyDescent="0.3">
      <c r="A8" s="15" t="s">
        <v>36</v>
      </c>
      <c r="B8" s="51">
        <v>1254.9925639841499</v>
      </c>
      <c r="C8" s="52">
        <v>104.58271366534601</v>
      </c>
      <c r="D8" s="52">
        <v>124.871350000001</v>
      </c>
      <c r="E8" s="52">
        <v>109.90734999999999</v>
      </c>
      <c r="F8" s="52">
        <v>94.431060000000002</v>
      </c>
      <c r="G8" s="52">
        <v>90.865070000000003</v>
      </c>
      <c r="H8" s="52">
        <v>108.84457999999999</v>
      </c>
      <c r="I8" s="52">
        <v>102.79188000000001</v>
      </c>
      <c r="J8" s="52">
        <v>105.91829</v>
      </c>
      <c r="K8" s="52">
        <v>76.340299999999999</v>
      </c>
      <c r="L8" s="52">
        <v>116.5727</v>
      </c>
      <c r="M8" s="52">
        <v>145.45600999999999</v>
      </c>
      <c r="N8" s="52">
        <v>132.34114</v>
      </c>
      <c r="O8" s="52">
        <v>146.08224999999999</v>
      </c>
      <c r="P8" s="53">
        <v>1354.4219800000001</v>
      </c>
      <c r="Q8" s="95">
        <v>1.079227095736</v>
      </c>
    </row>
    <row r="9" spans="1:17" ht="14.4" customHeight="1" x14ac:dyDescent="0.3">
      <c r="A9" s="15" t="s">
        <v>37</v>
      </c>
      <c r="B9" s="51">
        <v>41554.018888839797</v>
      </c>
      <c r="C9" s="52">
        <v>3462.8349074033199</v>
      </c>
      <c r="D9" s="52">
        <v>3006.3785500000199</v>
      </c>
      <c r="E9" s="52">
        <v>3245.4625299999998</v>
      </c>
      <c r="F9" s="52">
        <v>3518.9162900000001</v>
      </c>
      <c r="G9" s="52">
        <v>3772.41932</v>
      </c>
      <c r="H9" s="52">
        <v>3662.9666499999998</v>
      </c>
      <c r="I9" s="52">
        <v>3593.08502</v>
      </c>
      <c r="J9" s="52">
        <v>3106.6033400000001</v>
      </c>
      <c r="K9" s="52">
        <v>2657.6218100000001</v>
      </c>
      <c r="L9" s="52">
        <v>3537.0889099999999</v>
      </c>
      <c r="M9" s="52">
        <v>3905.65807</v>
      </c>
      <c r="N9" s="52">
        <v>3447.6134000000002</v>
      </c>
      <c r="O9" s="52">
        <v>4299.6164399999998</v>
      </c>
      <c r="P9" s="53">
        <v>41753.430330000003</v>
      </c>
      <c r="Q9" s="95">
        <v>1.0047988484979999</v>
      </c>
    </row>
    <row r="10" spans="1:17" ht="14.4" customHeight="1" x14ac:dyDescent="0.3">
      <c r="A10" s="15" t="s">
        <v>38</v>
      </c>
      <c r="B10" s="51">
        <v>999.99647320872998</v>
      </c>
      <c r="C10" s="52">
        <v>83.333039434059998</v>
      </c>
      <c r="D10" s="52">
        <v>162.826920000001</v>
      </c>
      <c r="E10" s="52">
        <v>140.12162000000001</v>
      </c>
      <c r="F10" s="52">
        <v>153.45819</v>
      </c>
      <c r="G10" s="52">
        <v>136.77921000000001</v>
      </c>
      <c r="H10" s="52">
        <v>148.22065000000001</v>
      </c>
      <c r="I10" s="52">
        <v>158.14752999999999</v>
      </c>
      <c r="J10" s="52">
        <v>146.77622</v>
      </c>
      <c r="K10" s="52">
        <v>142.48777999999999</v>
      </c>
      <c r="L10" s="52">
        <v>161.49204</v>
      </c>
      <c r="M10" s="52">
        <v>183.74135999999999</v>
      </c>
      <c r="N10" s="52">
        <v>143.92732000000001</v>
      </c>
      <c r="O10" s="52">
        <v>128.66130999999999</v>
      </c>
      <c r="P10" s="53">
        <v>1806.6401499999999</v>
      </c>
      <c r="Q10" s="95">
        <v>1.8066465216650001</v>
      </c>
    </row>
    <row r="11" spans="1:17" ht="14.4" customHeight="1" x14ac:dyDescent="0.3">
      <c r="A11" s="15" t="s">
        <v>39</v>
      </c>
      <c r="B11" s="51">
        <v>737.919746395988</v>
      </c>
      <c r="C11" s="52">
        <v>61.493312199664999</v>
      </c>
      <c r="D11" s="52">
        <v>49.56617</v>
      </c>
      <c r="E11" s="52">
        <v>70.980710000000002</v>
      </c>
      <c r="F11" s="52">
        <v>37.180979999999998</v>
      </c>
      <c r="G11" s="52">
        <v>50.146299999999997</v>
      </c>
      <c r="H11" s="52">
        <v>171.59639999999999</v>
      </c>
      <c r="I11" s="52">
        <v>43.60671</v>
      </c>
      <c r="J11" s="52">
        <v>1.6069399999989999</v>
      </c>
      <c r="K11" s="52">
        <v>41.321489999999997</v>
      </c>
      <c r="L11" s="52">
        <v>49.367550000000001</v>
      </c>
      <c r="M11" s="52">
        <v>54.388300000000001</v>
      </c>
      <c r="N11" s="52">
        <v>102.55538</v>
      </c>
      <c r="O11" s="52">
        <v>125.36879</v>
      </c>
      <c r="P11" s="53">
        <v>797.68571999999995</v>
      </c>
      <c r="Q11" s="95">
        <v>1.0809925115779999</v>
      </c>
    </row>
    <row r="12" spans="1:17" ht="14.4" customHeight="1" x14ac:dyDescent="0.3">
      <c r="A12" s="15" t="s">
        <v>40</v>
      </c>
      <c r="B12" s="51">
        <v>18.281094411110001</v>
      </c>
      <c r="C12" s="52">
        <v>1.523424534259</v>
      </c>
      <c r="D12" s="52">
        <v>0.14369999999999999</v>
      </c>
      <c r="E12" s="52">
        <v>64.831339999999997</v>
      </c>
      <c r="F12" s="52">
        <v>64.136259999999993</v>
      </c>
      <c r="G12" s="52">
        <v>0.26212000000000002</v>
      </c>
      <c r="H12" s="52">
        <v>64.369060000000005</v>
      </c>
      <c r="I12" s="52">
        <v>64.473979999999997</v>
      </c>
      <c r="J12" s="52">
        <v>0.45982000000000001</v>
      </c>
      <c r="K12" s="52">
        <v>64.073229999999995</v>
      </c>
      <c r="L12" s="52">
        <v>64.655850000000001</v>
      </c>
      <c r="M12" s="52">
        <v>0</v>
      </c>
      <c r="N12" s="52">
        <v>68.659549999999996</v>
      </c>
      <c r="O12" s="52">
        <v>69.114999999999995</v>
      </c>
      <c r="P12" s="53">
        <v>525.17990999999995</v>
      </c>
      <c r="Q12" s="95">
        <v>28.728034448572998</v>
      </c>
    </row>
    <row r="13" spans="1:17" ht="14.4" customHeight="1" x14ac:dyDescent="0.3">
      <c r="A13" s="15" t="s">
        <v>41</v>
      </c>
      <c r="B13" s="51">
        <v>129.08926005445099</v>
      </c>
      <c r="C13" s="52">
        <v>10.757438337869999</v>
      </c>
      <c r="D13" s="52">
        <v>3.1866500000000002</v>
      </c>
      <c r="E13" s="52">
        <v>2.8101699999999998</v>
      </c>
      <c r="F13" s="52">
        <v>9.2426700000000004</v>
      </c>
      <c r="G13" s="52">
        <v>7.0181100000000001</v>
      </c>
      <c r="H13" s="52">
        <v>8.5631199999999996</v>
      </c>
      <c r="I13" s="52">
        <v>9.2686200000000003</v>
      </c>
      <c r="J13" s="52">
        <v>9.1846399999999999</v>
      </c>
      <c r="K13" s="52">
        <v>8.1915700000000005</v>
      </c>
      <c r="L13" s="52">
        <v>9.1875499999999999</v>
      </c>
      <c r="M13" s="52">
        <v>12.67417</v>
      </c>
      <c r="N13" s="52">
        <v>11.14306</v>
      </c>
      <c r="O13" s="52">
        <v>22.971830000000001</v>
      </c>
      <c r="P13" s="53">
        <v>113.44216</v>
      </c>
      <c r="Q13" s="95">
        <v>0.87878852161700005</v>
      </c>
    </row>
    <row r="14" spans="1:17" ht="14.4" customHeight="1" x14ac:dyDescent="0.3">
      <c r="A14" s="15" t="s">
        <v>42</v>
      </c>
      <c r="B14" s="51">
        <v>1507.0553428726901</v>
      </c>
      <c r="C14" s="52">
        <v>125.587945239391</v>
      </c>
      <c r="D14" s="52">
        <v>144.33600000000101</v>
      </c>
      <c r="E14" s="52">
        <v>120.96299999999999</v>
      </c>
      <c r="F14" s="52">
        <v>113.821</v>
      </c>
      <c r="G14" s="52">
        <v>108.81100000000001</v>
      </c>
      <c r="H14" s="52">
        <v>97.686000000000007</v>
      </c>
      <c r="I14" s="52">
        <v>101.182</v>
      </c>
      <c r="J14" s="52">
        <v>95.775000000000006</v>
      </c>
      <c r="K14" s="52">
        <v>88.772999999999996</v>
      </c>
      <c r="L14" s="52">
        <v>94.888999999999996</v>
      </c>
      <c r="M14" s="52">
        <v>113.741</v>
      </c>
      <c r="N14" s="52">
        <v>115.545</v>
      </c>
      <c r="O14" s="52">
        <v>129.94800000000001</v>
      </c>
      <c r="P14" s="53">
        <v>1325.47</v>
      </c>
      <c r="Q14" s="95">
        <v>0.87950983769000002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1.50404</v>
      </c>
      <c r="J15" s="52">
        <v>0</v>
      </c>
      <c r="K15" s="52">
        <v>0</v>
      </c>
      <c r="L15" s="52">
        <v>3.4378299999999999</v>
      </c>
      <c r="M15" s="52">
        <v>0</v>
      </c>
      <c r="N15" s="52">
        <v>1.8263499999999999</v>
      </c>
      <c r="O15" s="52">
        <v>0.75202000000000002</v>
      </c>
      <c r="P15" s="53">
        <v>7.5202400000000003</v>
      </c>
      <c r="Q15" s="95" t="s">
        <v>283</v>
      </c>
    </row>
    <row r="16" spans="1:17" ht="14.4" customHeight="1" x14ac:dyDescent="0.3">
      <c r="A16" s="15" t="s">
        <v>44</v>
      </c>
      <c r="B16" s="51">
        <v>-95399.999999998297</v>
      </c>
      <c r="C16" s="52">
        <v>-7949.9999999998599</v>
      </c>
      <c r="D16" s="52">
        <v>-8843.8654500000393</v>
      </c>
      <c r="E16" s="52">
        <v>-7715.8639700000003</v>
      </c>
      <c r="F16" s="52">
        <v>-9101.4099800000004</v>
      </c>
      <c r="G16" s="52">
        <v>-8398.9455099999996</v>
      </c>
      <c r="H16" s="52">
        <v>-8779.9750399999994</v>
      </c>
      <c r="I16" s="52">
        <v>-9010.6826999999994</v>
      </c>
      <c r="J16" s="52">
        <v>-8687.0714800000005</v>
      </c>
      <c r="K16" s="52">
        <v>-8713.6406399999996</v>
      </c>
      <c r="L16" s="52">
        <v>-9715.0090099999998</v>
      </c>
      <c r="M16" s="52">
        <v>-10105.03465</v>
      </c>
      <c r="N16" s="52">
        <v>-8548.8930899999996</v>
      </c>
      <c r="O16" s="52">
        <v>-7501.6548400000001</v>
      </c>
      <c r="P16" s="53">
        <v>-105122.04635999999</v>
      </c>
      <c r="Q16" s="95">
        <v>1.1019082427669999</v>
      </c>
    </row>
    <row r="17" spans="1:17" ht="14.4" customHeight="1" x14ac:dyDescent="0.3">
      <c r="A17" s="15" t="s">
        <v>45</v>
      </c>
      <c r="B17" s="51">
        <v>399.89706003019597</v>
      </c>
      <c r="C17" s="52">
        <v>33.324755002516</v>
      </c>
      <c r="D17" s="52">
        <v>9.2569999999999997</v>
      </c>
      <c r="E17" s="52">
        <v>37.324039999999997</v>
      </c>
      <c r="F17" s="52">
        <v>41.912190000000002</v>
      </c>
      <c r="G17" s="52">
        <v>63.291699999999999</v>
      </c>
      <c r="H17" s="52">
        <v>14.245520000000001</v>
      </c>
      <c r="I17" s="52">
        <v>46.784770000000002</v>
      </c>
      <c r="J17" s="52">
        <v>23.724270000000001</v>
      </c>
      <c r="K17" s="52">
        <v>45.85154</v>
      </c>
      <c r="L17" s="52">
        <v>85.424149999999997</v>
      </c>
      <c r="M17" s="52">
        <v>23.176819999999999</v>
      </c>
      <c r="N17" s="52">
        <v>48.553719999999998</v>
      </c>
      <c r="O17" s="52">
        <v>10.348140000000001</v>
      </c>
      <c r="P17" s="53">
        <v>449.89386000000002</v>
      </c>
      <c r="Q17" s="95">
        <v>1.1250241748859999</v>
      </c>
    </row>
    <row r="18" spans="1:17" ht="14.4" customHeight="1" x14ac:dyDescent="0.3">
      <c r="A18" s="15" t="s">
        <v>46</v>
      </c>
      <c r="B18" s="51">
        <v>649.99999999998795</v>
      </c>
      <c r="C18" s="52">
        <v>54.166666666665002</v>
      </c>
      <c r="D18" s="52">
        <v>56.401000000000003</v>
      </c>
      <c r="E18" s="52">
        <v>46.296999999999997</v>
      </c>
      <c r="F18" s="52">
        <v>72.372</v>
      </c>
      <c r="G18" s="52">
        <v>50.451999999999998</v>
      </c>
      <c r="H18" s="52">
        <v>54.058</v>
      </c>
      <c r="I18" s="52">
        <v>51.386000000000003</v>
      </c>
      <c r="J18" s="52">
        <v>50.582999999999998</v>
      </c>
      <c r="K18" s="52">
        <v>45.097000000000001</v>
      </c>
      <c r="L18" s="52">
        <v>75.176000000000002</v>
      </c>
      <c r="M18" s="52">
        <v>55.451999999999998</v>
      </c>
      <c r="N18" s="52">
        <v>62.622999999999998</v>
      </c>
      <c r="O18" s="52">
        <v>60.076999999999998</v>
      </c>
      <c r="P18" s="53">
        <v>679.97400000000005</v>
      </c>
      <c r="Q18" s="95">
        <v>1.046113846153</v>
      </c>
    </row>
    <row r="19" spans="1:17" ht="14.4" customHeight="1" x14ac:dyDescent="0.3">
      <c r="A19" s="15" t="s">
        <v>47</v>
      </c>
      <c r="B19" s="51">
        <v>1494.54069802649</v>
      </c>
      <c r="C19" s="52">
        <v>124.54505816887399</v>
      </c>
      <c r="D19" s="52">
        <v>91.112369999999999</v>
      </c>
      <c r="E19" s="52">
        <v>103.92917</v>
      </c>
      <c r="F19" s="52">
        <v>125.04612</v>
      </c>
      <c r="G19" s="52">
        <v>104.05783</v>
      </c>
      <c r="H19" s="52">
        <v>111.75785</v>
      </c>
      <c r="I19" s="52">
        <v>36.019550000000002</v>
      </c>
      <c r="J19" s="52">
        <v>195.17197999999999</v>
      </c>
      <c r="K19" s="52">
        <v>64.137249999999995</v>
      </c>
      <c r="L19" s="52">
        <v>82.531890000000004</v>
      </c>
      <c r="M19" s="52">
        <v>63.606050000000003</v>
      </c>
      <c r="N19" s="52">
        <v>143.27868000000001</v>
      </c>
      <c r="O19" s="52">
        <v>140.93321</v>
      </c>
      <c r="P19" s="53">
        <v>1261.58195</v>
      </c>
      <c r="Q19" s="95">
        <v>0.84412686229599998</v>
      </c>
    </row>
    <row r="20" spans="1:17" ht="14.4" customHeight="1" x14ac:dyDescent="0.3">
      <c r="A20" s="15" t="s">
        <v>48</v>
      </c>
      <c r="B20" s="51">
        <v>32372.1600595011</v>
      </c>
      <c r="C20" s="52">
        <v>2697.6800049584199</v>
      </c>
      <c r="D20" s="52">
        <v>2502.3154600000098</v>
      </c>
      <c r="E20" s="52">
        <v>2455.8025699999998</v>
      </c>
      <c r="F20" s="52">
        <v>2575.1592900000001</v>
      </c>
      <c r="G20" s="52">
        <v>2539.3772199999999</v>
      </c>
      <c r="H20" s="52">
        <v>2550.1731399999999</v>
      </c>
      <c r="I20" s="52">
        <v>2519.8693699999999</v>
      </c>
      <c r="J20" s="52">
        <v>3741.5911599999999</v>
      </c>
      <c r="K20" s="52">
        <v>2578.1991200000002</v>
      </c>
      <c r="L20" s="52">
        <v>2579.44749</v>
      </c>
      <c r="M20" s="52">
        <v>2817.2414600000002</v>
      </c>
      <c r="N20" s="52">
        <v>3804.98677</v>
      </c>
      <c r="O20" s="52">
        <v>2665.6338900000001</v>
      </c>
      <c r="P20" s="53">
        <v>33329.79694</v>
      </c>
      <c r="Q20" s="95">
        <v>1.0295821124919999</v>
      </c>
    </row>
    <row r="21" spans="1:17" ht="14.4" customHeight="1" x14ac:dyDescent="0.3">
      <c r="A21" s="16" t="s">
        <v>49</v>
      </c>
      <c r="B21" s="51">
        <v>4565.9840702248403</v>
      </c>
      <c r="C21" s="52">
        <v>380.49867251873701</v>
      </c>
      <c r="D21" s="52">
        <v>384.60700000000202</v>
      </c>
      <c r="E21" s="52">
        <v>384.60599999999999</v>
      </c>
      <c r="F21" s="52">
        <v>380.1</v>
      </c>
      <c r="G21" s="52">
        <v>380.1</v>
      </c>
      <c r="H21" s="52">
        <v>380.09899999999999</v>
      </c>
      <c r="I21" s="52">
        <v>385.83499999999998</v>
      </c>
      <c r="J21" s="52">
        <v>385.834</v>
      </c>
      <c r="K21" s="52">
        <v>385.83100000000002</v>
      </c>
      <c r="L21" s="52">
        <v>386.39600000000002</v>
      </c>
      <c r="M21" s="52">
        <v>390.93799999999999</v>
      </c>
      <c r="N21" s="52">
        <v>390.93799999999999</v>
      </c>
      <c r="O21" s="52">
        <v>389.54899999999998</v>
      </c>
      <c r="P21" s="53">
        <v>4624.8329999999996</v>
      </c>
      <c r="Q21" s="95">
        <v>1.012888553457</v>
      </c>
    </row>
    <row r="22" spans="1:17" ht="14.4" customHeight="1" x14ac:dyDescent="0.3">
      <c r="A22" s="15" t="s">
        <v>50</v>
      </c>
      <c r="B22" s="51">
        <v>10</v>
      </c>
      <c r="C22" s="52">
        <v>0.83333333333299997</v>
      </c>
      <c r="D22" s="52">
        <v>0</v>
      </c>
      <c r="E22" s="52">
        <v>0</v>
      </c>
      <c r="F22" s="52">
        <v>0</v>
      </c>
      <c r="G22" s="52">
        <v>0</v>
      </c>
      <c r="H22" s="52">
        <v>4.5423400000000003</v>
      </c>
      <c r="I22" s="52">
        <v>0</v>
      </c>
      <c r="J22" s="52">
        <v>0</v>
      </c>
      <c r="K22" s="52">
        <v>7.4</v>
      </c>
      <c r="L22" s="52">
        <v>0</v>
      </c>
      <c r="M22" s="52">
        <v>20.836849999999998</v>
      </c>
      <c r="N22" s="52">
        <v>5.1020000000000003</v>
      </c>
      <c r="O22" s="52">
        <v>130.45788999999999</v>
      </c>
      <c r="P22" s="53">
        <v>168.33908</v>
      </c>
      <c r="Q22" s="95">
        <v>16.833908000000001</v>
      </c>
    </row>
    <row r="23" spans="1:17" ht="14.4" customHeight="1" x14ac:dyDescent="0.3">
      <c r="A23" s="16" t="s">
        <v>51</v>
      </c>
      <c r="B23" s="51">
        <v>47399.999999999098</v>
      </c>
      <c r="C23" s="52">
        <v>3949.99999999993</v>
      </c>
      <c r="D23" s="52">
        <v>4262.8978200000201</v>
      </c>
      <c r="E23" s="52">
        <v>819.38900000000001</v>
      </c>
      <c r="F23" s="52">
        <v>6935.8980600000004</v>
      </c>
      <c r="G23" s="52">
        <v>3907.4337599999999</v>
      </c>
      <c r="H23" s="52">
        <v>5481.3724300000003</v>
      </c>
      <c r="I23" s="52">
        <v>1216.2070000000001</v>
      </c>
      <c r="J23" s="52">
        <v>5753.0998300000001</v>
      </c>
      <c r="K23" s="52">
        <v>3732.7825899999998</v>
      </c>
      <c r="L23" s="52">
        <v>5758.6248599999999</v>
      </c>
      <c r="M23" s="52">
        <v>2856.6323200000002</v>
      </c>
      <c r="N23" s="52">
        <v>4910.7067999999999</v>
      </c>
      <c r="O23" s="52">
        <v>7015.4056399999999</v>
      </c>
      <c r="P23" s="53">
        <v>52650.450109999998</v>
      </c>
      <c r="Q23" s="95">
        <v>1.1107689896620001</v>
      </c>
    </row>
    <row r="24" spans="1:17" ht="14.4" customHeight="1" x14ac:dyDescent="0.3">
      <c r="A24" s="16" t="s">
        <v>52</v>
      </c>
      <c r="B24" s="51">
        <v>476.12117109491402</v>
      </c>
      <c r="C24" s="52">
        <v>39.676764257910001</v>
      </c>
      <c r="D24" s="52">
        <v>26.799620000000001</v>
      </c>
      <c r="E24" s="52">
        <v>26.099790000001001</v>
      </c>
      <c r="F24" s="52">
        <v>71.657699999998997</v>
      </c>
      <c r="G24" s="52">
        <v>46.662449999998998</v>
      </c>
      <c r="H24" s="52">
        <v>45.599900000001</v>
      </c>
      <c r="I24" s="52">
        <v>45.095529999996998</v>
      </c>
      <c r="J24" s="52">
        <v>51.702720000001001</v>
      </c>
      <c r="K24" s="52">
        <v>50.844120000000999</v>
      </c>
      <c r="L24" s="52">
        <v>60.493889999997997</v>
      </c>
      <c r="M24" s="52">
        <v>46.752140000000999</v>
      </c>
      <c r="N24" s="52">
        <v>56.414729999998997</v>
      </c>
      <c r="O24" s="52">
        <v>56.073550000002001</v>
      </c>
      <c r="P24" s="53">
        <v>584.19614000000502</v>
      </c>
      <c r="Q24" s="95"/>
    </row>
    <row r="25" spans="1:17" ht="14.4" customHeight="1" x14ac:dyDescent="0.3">
      <c r="A25" s="17" t="s">
        <v>53</v>
      </c>
      <c r="B25" s="54">
        <v>38368.721461645699</v>
      </c>
      <c r="C25" s="55">
        <v>3197.3934551371399</v>
      </c>
      <c r="D25" s="55">
        <v>1991.5399600000101</v>
      </c>
      <c r="E25" s="55">
        <v>-60.442409999996997</v>
      </c>
      <c r="F25" s="55">
        <v>5112.4537099999998</v>
      </c>
      <c r="G25" s="55">
        <v>2865.2078299999998</v>
      </c>
      <c r="H25" s="55">
        <v>4137.2793600000005</v>
      </c>
      <c r="I25" s="55">
        <v>-631.63103000000103</v>
      </c>
      <c r="J25" s="55">
        <v>4989.1931299999997</v>
      </c>
      <c r="K25" s="55">
        <v>1280.78962</v>
      </c>
      <c r="L25" s="55">
        <v>3357.1728199999998</v>
      </c>
      <c r="M25" s="55">
        <v>596.33101000000102</v>
      </c>
      <c r="N25" s="55">
        <v>4900.7989500000003</v>
      </c>
      <c r="O25" s="55">
        <v>7912.4639999999999</v>
      </c>
      <c r="P25" s="56">
        <v>36451.156949999997</v>
      </c>
      <c r="Q25" s="96">
        <v>0.95002271541500005</v>
      </c>
    </row>
    <row r="26" spans="1:17" ht="14.4" customHeight="1" x14ac:dyDescent="0.3">
      <c r="A26" s="15" t="s">
        <v>54</v>
      </c>
      <c r="B26" s="51">
        <v>4951.0340232492199</v>
      </c>
      <c r="C26" s="52">
        <v>412.586168604102</v>
      </c>
      <c r="D26" s="52">
        <v>381.46767999999997</v>
      </c>
      <c r="E26" s="52">
        <v>364.32168999999999</v>
      </c>
      <c r="F26" s="52">
        <v>392.24628000000001</v>
      </c>
      <c r="G26" s="52">
        <v>424.90194000000002</v>
      </c>
      <c r="H26" s="52">
        <v>374.62574999999998</v>
      </c>
      <c r="I26" s="52">
        <v>368.23203000000001</v>
      </c>
      <c r="J26" s="52">
        <v>637.89697999999999</v>
      </c>
      <c r="K26" s="52">
        <v>339.17872999999997</v>
      </c>
      <c r="L26" s="52">
        <v>395.85624999999999</v>
      </c>
      <c r="M26" s="52">
        <v>476.50653</v>
      </c>
      <c r="N26" s="52">
        <v>483.91773000000001</v>
      </c>
      <c r="O26" s="52">
        <v>730.67457999999999</v>
      </c>
      <c r="P26" s="53">
        <v>5369.8261700000003</v>
      </c>
      <c r="Q26" s="95">
        <v>1.08458680445</v>
      </c>
    </row>
    <row r="27" spans="1:17" ht="14.4" customHeight="1" x14ac:dyDescent="0.3">
      <c r="A27" s="18" t="s">
        <v>55</v>
      </c>
      <c r="B27" s="54">
        <v>43319.7554848949</v>
      </c>
      <c r="C27" s="55">
        <v>3609.9796237412402</v>
      </c>
      <c r="D27" s="55">
        <v>2373.0076400000098</v>
      </c>
      <c r="E27" s="55">
        <v>303.87928000000198</v>
      </c>
      <c r="F27" s="55">
        <v>5504.6999900000001</v>
      </c>
      <c r="G27" s="55">
        <v>3290.10977</v>
      </c>
      <c r="H27" s="55">
        <v>4511.9051099999997</v>
      </c>
      <c r="I27" s="55">
        <v>-263.39900000000102</v>
      </c>
      <c r="J27" s="55">
        <v>5627.0901100000001</v>
      </c>
      <c r="K27" s="55">
        <v>1619.9683500000001</v>
      </c>
      <c r="L27" s="55">
        <v>3753.02907</v>
      </c>
      <c r="M27" s="55">
        <v>1072.83754</v>
      </c>
      <c r="N27" s="55">
        <v>5384.7166800000005</v>
      </c>
      <c r="O27" s="55">
        <v>8643.1385800000007</v>
      </c>
      <c r="P27" s="56">
        <v>41820.983119999997</v>
      </c>
      <c r="Q27" s="96">
        <v>0.96540210469499999</v>
      </c>
    </row>
    <row r="28" spans="1:17" ht="14.4" customHeight="1" x14ac:dyDescent="0.3">
      <c r="A28" s="16" t="s">
        <v>56</v>
      </c>
      <c r="B28" s="51">
        <v>130.84553814617499</v>
      </c>
      <c r="C28" s="52">
        <v>10.903794845514</v>
      </c>
      <c r="D28" s="52">
        <v>12.2979</v>
      </c>
      <c r="E28" s="52">
        <v>32.037300000000002</v>
      </c>
      <c r="F28" s="52">
        <v>16.339289999999998</v>
      </c>
      <c r="G28" s="52">
        <v>19.524429999999999</v>
      </c>
      <c r="H28" s="52">
        <v>17.438230000000001</v>
      </c>
      <c r="I28" s="52">
        <v>1.68764</v>
      </c>
      <c r="J28" s="52">
        <v>19.600580000000001</v>
      </c>
      <c r="K28" s="52">
        <v>22.24831</v>
      </c>
      <c r="L28" s="52">
        <v>16.949290000000001</v>
      </c>
      <c r="M28" s="52">
        <v>8.5455000000000005</v>
      </c>
      <c r="N28" s="52">
        <v>8.94679</v>
      </c>
      <c r="O28" s="52">
        <v>10.77722</v>
      </c>
      <c r="P28" s="53">
        <v>186.39248000000001</v>
      </c>
      <c r="Q28" s="95">
        <v>1.4245230111839999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283</v>
      </c>
    </row>
    <row r="30" spans="1:17" ht="14.4" customHeight="1" x14ac:dyDescent="0.3">
      <c r="A30" s="16" t="s">
        <v>58</v>
      </c>
      <c r="B30" s="51">
        <v>51520</v>
      </c>
      <c r="C30" s="52">
        <v>4293.3333333333303</v>
      </c>
      <c r="D30" s="52">
        <v>4635.7265500000003</v>
      </c>
      <c r="E30" s="52">
        <v>867.76199999999994</v>
      </c>
      <c r="F30" s="52">
        <v>7576.6519500000004</v>
      </c>
      <c r="G30" s="52">
        <v>4207.5049200000003</v>
      </c>
      <c r="H30" s="52">
        <v>5944.3575099999998</v>
      </c>
      <c r="I30" s="52">
        <v>1282.10689</v>
      </c>
      <c r="J30" s="52">
        <v>6316.2050499999996</v>
      </c>
      <c r="K30" s="52">
        <v>4028.9440500000001</v>
      </c>
      <c r="L30" s="52">
        <v>6244.2593699999998</v>
      </c>
      <c r="M30" s="52">
        <v>3074.8247999999999</v>
      </c>
      <c r="N30" s="52">
        <v>5384.6814000000004</v>
      </c>
      <c r="O30" s="52">
        <v>8122.4912700000004</v>
      </c>
      <c r="P30" s="53">
        <v>57685.515760000002</v>
      </c>
      <c r="Q30" s="95">
        <v>1.1196722779499999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1.3</v>
      </c>
      <c r="I31" s="58">
        <v>0</v>
      </c>
      <c r="J31" s="58">
        <v>0.5</v>
      </c>
      <c r="K31" s="58">
        <v>0</v>
      </c>
      <c r="L31" s="58">
        <v>0</v>
      </c>
      <c r="M31" s="58">
        <v>0</v>
      </c>
      <c r="N31" s="58">
        <v>0</v>
      </c>
      <c r="O31" s="58">
        <v>0.55900000000000005</v>
      </c>
      <c r="P31" s="59">
        <v>2.359</v>
      </c>
      <c r="Q31" s="97" t="s">
        <v>283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162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188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60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5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34" t="s">
        <v>61</v>
      </c>
      <c r="B1" s="334"/>
      <c r="C1" s="334"/>
      <c r="D1" s="334"/>
      <c r="E1" s="334"/>
      <c r="F1" s="334"/>
      <c r="G1" s="334"/>
      <c r="H1" s="339"/>
      <c r="I1" s="339"/>
      <c r="J1" s="339"/>
      <c r="K1" s="339"/>
    </row>
    <row r="2" spans="1:11" s="60" customFormat="1" ht="14.4" customHeight="1" thickBot="1" x14ac:dyDescent="0.35">
      <c r="A2" s="235" t="s">
        <v>282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35" t="s">
        <v>62</v>
      </c>
      <c r="C3" s="336"/>
      <c r="D3" s="336"/>
      <c r="E3" s="336"/>
      <c r="F3" s="342" t="s">
        <v>63</v>
      </c>
      <c r="G3" s="336"/>
      <c r="H3" s="336"/>
      <c r="I3" s="336"/>
      <c r="J3" s="336"/>
      <c r="K3" s="343"/>
    </row>
    <row r="4" spans="1:11" ht="14.4" customHeight="1" x14ac:dyDescent="0.3">
      <c r="A4" s="77"/>
      <c r="B4" s="340"/>
      <c r="C4" s="341"/>
      <c r="D4" s="341"/>
      <c r="E4" s="341"/>
      <c r="F4" s="344" t="s">
        <v>184</v>
      </c>
      <c r="G4" s="346" t="s">
        <v>64</v>
      </c>
      <c r="H4" s="141" t="s">
        <v>143</v>
      </c>
      <c r="I4" s="344" t="s">
        <v>65</v>
      </c>
      <c r="J4" s="346" t="s">
        <v>186</v>
      </c>
      <c r="K4" s="347" t="s">
        <v>187</v>
      </c>
    </row>
    <row r="5" spans="1:11" ht="42" thickBot="1" x14ac:dyDescent="0.35">
      <c r="A5" s="78"/>
      <c r="B5" s="24" t="s">
        <v>180</v>
      </c>
      <c r="C5" s="25" t="s">
        <v>181</v>
      </c>
      <c r="D5" s="26" t="s">
        <v>182</v>
      </c>
      <c r="E5" s="26" t="s">
        <v>183</v>
      </c>
      <c r="F5" s="345"/>
      <c r="G5" s="345"/>
      <c r="H5" s="25" t="s">
        <v>185</v>
      </c>
      <c r="I5" s="345"/>
      <c r="J5" s="345"/>
      <c r="K5" s="348"/>
    </row>
    <row r="6" spans="1:11" ht="14.4" customHeight="1" thickBot="1" x14ac:dyDescent="0.35">
      <c r="A6" s="435" t="s">
        <v>285</v>
      </c>
      <c r="B6" s="417">
        <v>38785.365666930003</v>
      </c>
      <c r="C6" s="417">
        <v>37914.322670000001</v>
      </c>
      <c r="D6" s="418">
        <v>-871.04299692997301</v>
      </c>
      <c r="E6" s="419">
        <v>0.97754196764800005</v>
      </c>
      <c r="F6" s="417">
        <v>38368.721461645699</v>
      </c>
      <c r="G6" s="418">
        <v>38368.721461645699</v>
      </c>
      <c r="H6" s="420">
        <v>7912.4639999999999</v>
      </c>
      <c r="I6" s="417">
        <v>36451.156949999997</v>
      </c>
      <c r="J6" s="418">
        <v>-1917.5645116456899</v>
      </c>
      <c r="K6" s="421">
        <v>0.95002271541500005</v>
      </c>
    </row>
    <row r="7" spans="1:11" ht="14.4" customHeight="1" thickBot="1" x14ac:dyDescent="0.35">
      <c r="A7" s="436" t="s">
        <v>286</v>
      </c>
      <c r="B7" s="417">
        <v>-40962.4292214382</v>
      </c>
      <c r="C7" s="417">
        <v>-48879.342129999997</v>
      </c>
      <c r="D7" s="418">
        <v>-7916.9129085618097</v>
      </c>
      <c r="E7" s="419">
        <v>1.1932725441100001</v>
      </c>
      <c r="F7" s="417">
        <v>-48999.981597231003</v>
      </c>
      <c r="G7" s="418">
        <v>-48999.981597231003</v>
      </c>
      <c r="H7" s="420">
        <v>-2555.45577</v>
      </c>
      <c r="I7" s="417">
        <v>-57295.550750000002</v>
      </c>
      <c r="J7" s="418">
        <v>-8295.5691527690706</v>
      </c>
      <c r="K7" s="421">
        <v>1.1692973932299999</v>
      </c>
    </row>
    <row r="8" spans="1:11" ht="14.4" customHeight="1" thickBot="1" x14ac:dyDescent="0.35">
      <c r="A8" s="437" t="s">
        <v>287</v>
      </c>
      <c r="B8" s="417">
        <v>45317.9545520553</v>
      </c>
      <c r="C8" s="417">
        <v>44986.735719999997</v>
      </c>
      <c r="D8" s="418">
        <v>-331.218832055267</v>
      </c>
      <c r="E8" s="419">
        <v>0.99269122282</v>
      </c>
      <c r="F8" s="417">
        <v>44892.963059894602</v>
      </c>
      <c r="G8" s="418">
        <v>44892.963059894602</v>
      </c>
      <c r="H8" s="420">
        <v>4815.4990500000004</v>
      </c>
      <c r="I8" s="417">
        <v>46493.505369999999</v>
      </c>
      <c r="J8" s="418">
        <v>1600.54231010539</v>
      </c>
      <c r="K8" s="421">
        <v>1.0356524096649999</v>
      </c>
    </row>
    <row r="9" spans="1:11" ht="14.4" customHeight="1" thickBot="1" x14ac:dyDescent="0.35">
      <c r="A9" s="438" t="s">
        <v>288</v>
      </c>
      <c r="B9" s="422">
        <v>0</v>
      </c>
      <c r="C9" s="422">
        <v>-4.6000000000000001E-4</v>
      </c>
      <c r="D9" s="423">
        <v>-4.6000000000000001E-4</v>
      </c>
      <c r="E9" s="424" t="s">
        <v>289</v>
      </c>
      <c r="F9" s="422">
        <v>0</v>
      </c>
      <c r="G9" s="423">
        <v>0</v>
      </c>
      <c r="H9" s="425">
        <v>-4.4999999999999999E-4</v>
      </c>
      <c r="I9" s="422">
        <v>-1.6199999999999999E-3</v>
      </c>
      <c r="J9" s="423">
        <v>-1.6199999999999999E-3</v>
      </c>
      <c r="K9" s="426" t="s">
        <v>283</v>
      </c>
    </row>
    <row r="10" spans="1:11" ht="14.4" customHeight="1" thickBot="1" x14ac:dyDescent="0.35">
      <c r="A10" s="439" t="s">
        <v>290</v>
      </c>
      <c r="B10" s="417">
        <v>0</v>
      </c>
      <c r="C10" s="417">
        <v>-4.6000000000000001E-4</v>
      </c>
      <c r="D10" s="418">
        <v>-4.6000000000000001E-4</v>
      </c>
      <c r="E10" s="427" t="s">
        <v>289</v>
      </c>
      <c r="F10" s="417">
        <v>0</v>
      </c>
      <c r="G10" s="418">
        <v>0</v>
      </c>
      <c r="H10" s="420">
        <v>-4.4999999999999999E-4</v>
      </c>
      <c r="I10" s="417">
        <v>-1.6199999999999999E-3</v>
      </c>
      <c r="J10" s="418">
        <v>-1.6199999999999999E-3</v>
      </c>
      <c r="K10" s="428" t="s">
        <v>283</v>
      </c>
    </row>
    <row r="11" spans="1:11" ht="14.4" customHeight="1" thickBot="1" x14ac:dyDescent="0.35">
      <c r="A11" s="438" t="s">
        <v>291</v>
      </c>
      <c r="B11" s="422">
        <v>291.99944385508098</v>
      </c>
      <c r="C11" s="422">
        <v>198.51465999999999</v>
      </c>
      <c r="D11" s="423">
        <v>-93.484783855081005</v>
      </c>
      <c r="E11" s="429">
        <v>0.67984602086599999</v>
      </c>
      <c r="F11" s="422">
        <v>198.66503300038099</v>
      </c>
      <c r="G11" s="423">
        <v>198.66503300038099</v>
      </c>
      <c r="H11" s="425">
        <v>23.124880000000001</v>
      </c>
      <c r="I11" s="422">
        <v>140.34773999999999</v>
      </c>
      <c r="J11" s="423">
        <v>-58.317293000381</v>
      </c>
      <c r="K11" s="430">
        <v>0.70645416498400004</v>
      </c>
    </row>
    <row r="12" spans="1:11" ht="14.4" customHeight="1" thickBot="1" x14ac:dyDescent="0.35">
      <c r="A12" s="439" t="s">
        <v>292</v>
      </c>
      <c r="B12" s="417">
        <v>291.99944385508098</v>
      </c>
      <c r="C12" s="417">
        <v>198.51465999999999</v>
      </c>
      <c r="D12" s="418">
        <v>-93.484783855081005</v>
      </c>
      <c r="E12" s="419">
        <v>0.67984602086599999</v>
      </c>
      <c r="F12" s="417">
        <v>198.66503300038099</v>
      </c>
      <c r="G12" s="418">
        <v>198.66503300038099</v>
      </c>
      <c r="H12" s="420">
        <v>23.124880000000001</v>
      </c>
      <c r="I12" s="417">
        <v>140.34773999999999</v>
      </c>
      <c r="J12" s="418">
        <v>-58.317293000381</v>
      </c>
      <c r="K12" s="421">
        <v>0.70645416498400004</v>
      </c>
    </row>
    <row r="13" spans="1:11" ht="14.4" customHeight="1" thickBot="1" x14ac:dyDescent="0.35">
      <c r="A13" s="438" t="s">
        <v>293</v>
      </c>
      <c r="B13" s="422">
        <v>1582.02841592865</v>
      </c>
      <c r="C13" s="422">
        <v>1167.0083400000001</v>
      </c>
      <c r="D13" s="423">
        <v>-415.020075928648</v>
      </c>
      <c r="E13" s="429">
        <v>0.737665852427</v>
      </c>
      <c r="F13" s="422">
        <v>1254.9925639841499</v>
      </c>
      <c r="G13" s="423">
        <v>1254.9925639841499</v>
      </c>
      <c r="H13" s="425">
        <v>146.08224999999999</v>
      </c>
      <c r="I13" s="422">
        <v>1354.4219800000001</v>
      </c>
      <c r="J13" s="423">
        <v>99.429416015846002</v>
      </c>
      <c r="K13" s="430">
        <v>1.079227095736</v>
      </c>
    </row>
    <row r="14" spans="1:11" ht="14.4" customHeight="1" thickBot="1" x14ac:dyDescent="0.35">
      <c r="A14" s="439" t="s">
        <v>294</v>
      </c>
      <c r="B14" s="417">
        <v>1582.02841592865</v>
      </c>
      <c r="C14" s="417">
        <v>1167.0083400000001</v>
      </c>
      <c r="D14" s="418">
        <v>-415.020075928648</v>
      </c>
      <c r="E14" s="419">
        <v>0.737665852427</v>
      </c>
      <c r="F14" s="417">
        <v>1254.9925639841499</v>
      </c>
      <c r="G14" s="418">
        <v>1254.9925639841499</v>
      </c>
      <c r="H14" s="420">
        <v>146.54999000000001</v>
      </c>
      <c r="I14" s="417">
        <v>1355.35446</v>
      </c>
      <c r="J14" s="418">
        <v>100.361896015846</v>
      </c>
      <c r="K14" s="421">
        <v>1.0799701120909999</v>
      </c>
    </row>
    <row r="15" spans="1:11" ht="14.4" customHeight="1" thickBot="1" x14ac:dyDescent="0.35">
      <c r="A15" s="439" t="s">
        <v>295</v>
      </c>
      <c r="B15" s="417">
        <v>0</v>
      </c>
      <c r="C15" s="417">
        <v>0</v>
      </c>
      <c r="D15" s="418">
        <v>0</v>
      </c>
      <c r="E15" s="419">
        <v>0</v>
      </c>
      <c r="F15" s="417">
        <v>0</v>
      </c>
      <c r="G15" s="418">
        <v>0</v>
      </c>
      <c r="H15" s="420">
        <v>-0.46773999999999999</v>
      </c>
      <c r="I15" s="417">
        <v>-0.93247999999999998</v>
      </c>
      <c r="J15" s="418">
        <v>-0.93247999999999998</v>
      </c>
      <c r="K15" s="428" t="s">
        <v>283</v>
      </c>
    </row>
    <row r="16" spans="1:11" ht="14.4" customHeight="1" thickBot="1" x14ac:dyDescent="0.35">
      <c r="A16" s="438" t="s">
        <v>296</v>
      </c>
      <c r="B16" s="422">
        <v>40999.107146035101</v>
      </c>
      <c r="C16" s="422">
        <v>41169.032579999999</v>
      </c>
      <c r="D16" s="423">
        <v>169.925433964912</v>
      </c>
      <c r="E16" s="429">
        <v>1.0041446130359999</v>
      </c>
      <c r="F16" s="422">
        <v>41554.018888839797</v>
      </c>
      <c r="G16" s="423">
        <v>41554.018888839797</v>
      </c>
      <c r="H16" s="425">
        <v>4299.6164399999998</v>
      </c>
      <c r="I16" s="422">
        <v>41753.430330000003</v>
      </c>
      <c r="J16" s="423">
        <v>199.41144116021999</v>
      </c>
      <c r="K16" s="430">
        <v>1.0047988484979999</v>
      </c>
    </row>
    <row r="17" spans="1:11" ht="14.4" customHeight="1" thickBot="1" x14ac:dyDescent="0.35">
      <c r="A17" s="439" t="s">
        <v>297</v>
      </c>
      <c r="B17" s="417">
        <v>18960.881695857599</v>
      </c>
      <c r="C17" s="417">
        <v>18707.046429999999</v>
      </c>
      <c r="D17" s="418">
        <v>-253.835265857579</v>
      </c>
      <c r="E17" s="419">
        <v>0.98661268658599999</v>
      </c>
      <c r="F17" s="417">
        <v>18632.031803740501</v>
      </c>
      <c r="G17" s="418">
        <v>18632.031803740501</v>
      </c>
      <c r="H17" s="420">
        <v>2204.4522299999999</v>
      </c>
      <c r="I17" s="417">
        <v>18115.115720000002</v>
      </c>
      <c r="J17" s="418">
        <v>-516.91608374048894</v>
      </c>
      <c r="K17" s="421">
        <v>0.97225659073600001</v>
      </c>
    </row>
    <row r="18" spans="1:11" ht="14.4" customHeight="1" thickBot="1" x14ac:dyDescent="0.35">
      <c r="A18" s="439" t="s">
        <v>298</v>
      </c>
      <c r="B18" s="417">
        <v>283.513351277879</v>
      </c>
      <c r="C18" s="417">
        <v>356.73752000000002</v>
      </c>
      <c r="D18" s="418">
        <v>73.224168722119998</v>
      </c>
      <c r="E18" s="419">
        <v>1.258274146145</v>
      </c>
      <c r="F18" s="417">
        <v>413.01883903022798</v>
      </c>
      <c r="G18" s="418">
        <v>413.01883903022798</v>
      </c>
      <c r="H18" s="420">
        <v>68.992990000000006</v>
      </c>
      <c r="I18" s="417">
        <v>483.24504999999999</v>
      </c>
      <c r="J18" s="418">
        <v>70.226210969771998</v>
      </c>
      <c r="K18" s="421">
        <v>1.1700314957410001</v>
      </c>
    </row>
    <row r="19" spans="1:11" ht="14.4" customHeight="1" thickBot="1" x14ac:dyDescent="0.35">
      <c r="A19" s="439" t="s">
        <v>299</v>
      </c>
      <c r="B19" s="417">
        <v>192.92283506681599</v>
      </c>
      <c r="C19" s="417">
        <v>186.74610000000001</v>
      </c>
      <c r="D19" s="418">
        <v>-6.1767350668149996</v>
      </c>
      <c r="E19" s="419">
        <v>0.967983390537</v>
      </c>
      <c r="F19" s="417">
        <v>205.170781010778</v>
      </c>
      <c r="G19" s="418">
        <v>205.170781010778</v>
      </c>
      <c r="H19" s="420">
        <v>68.07517</v>
      </c>
      <c r="I19" s="417">
        <v>258.23910999999998</v>
      </c>
      <c r="J19" s="418">
        <v>53.068328989222003</v>
      </c>
      <c r="K19" s="421">
        <v>1.258654418176</v>
      </c>
    </row>
    <row r="20" spans="1:11" ht="14.4" customHeight="1" thickBot="1" x14ac:dyDescent="0.35">
      <c r="A20" s="439" t="s">
        <v>300</v>
      </c>
      <c r="B20" s="417">
        <v>374.826793229072</v>
      </c>
      <c r="C20" s="417">
        <v>390.65859999999998</v>
      </c>
      <c r="D20" s="418">
        <v>15.831806770928001</v>
      </c>
      <c r="E20" s="419">
        <v>1.042237660319</v>
      </c>
      <c r="F20" s="417">
        <v>408.65604576723598</v>
      </c>
      <c r="G20" s="418">
        <v>408.65604576723501</v>
      </c>
      <c r="H20" s="420">
        <v>43.05585</v>
      </c>
      <c r="I20" s="417">
        <v>422.72196000000002</v>
      </c>
      <c r="J20" s="418">
        <v>14.065914232763999</v>
      </c>
      <c r="K20" s="421">
        <v>1.0344199342660001</v>
      </c>
    </row>
    <row r="21" spans="1:11" ht="14.4" customHeight="1" thickBot="1" x14ac:dyDescent="0.35">
      <c r="A21" s="439" t="s">
        <v>301</v>
      </c>
      <c r="B21" s="417">
        <v>21096.0343705839</v>
      </c>
      <c r="C21" s="417">
        <v>21444.129929999999</v>
      </c>
      <c r="D21" s="418">
        <v>348.095559416161</v>
      </c>
      <c r="E21" s="419">
        <v>1.01650052106</v>
      </c>
      <c r="F21" s="417">
        <v>21713.2347576426</v>
      </c>
      <c r="G21" s="418">
        <v>21713.2347576426</v>
      </c>
      <c r="H21" s="420">
        <v>1866.5722000000001</v>
      </c>
      <c r="I21" s="417">
        <v>22269.769489999999</v>
      </c>
      <c r="J21" s="418">
        <v>556.534732357439</v>
      </c>
      <c r="K21" s="421">
        <v>1.0256311295189999</v>
      </c>
    </row>
    <row r="22" spans="1:11" ht="14.4" customHeight="1" thickBot="1" x14ac:dyDescent="0.35">
      <c r="A22" s="439" t="s">
        <v>302</v>
      </c>
      <c r="B22" s="417">
        <v>0</v>
      </c>
      <c r="C22" s="417">
        <v>0.69099999999999995</v>
      </c>
      <c r="D22" s="418">
        <v>0.69099999999999995</v>
      </c>
      <c r="E22" s="427" t="s">
        <v>283</v>
      </c>
      <c r="F22" s="417">
        <v>49.708838693887003</v>
      </c>
      <c r="G22" s="418">
        <v>49.708838693887003</v>
      </c>
      <c r="H22" s="420">
        <v>8.4239999999999995</v>
      </c>
      <c r="I22" s="417">
        <v>52.962000000000003</v>
      </c>
      <c r="J22" s="418">
        <v>3.2531613061120002</v>
      </c>
      <c r="K22" s="421">
        <v>1.0654443232140001</v>
      </c>
    </row>
    <row r="23" spans="1:11" ht="14.4" customHeight="1" thickBot="1" x14ac:dyDescent="0.35">
      <c r="A23" s="439" t="s">
        <v>303</v>
      </c>
      <c r="B23" s="417">
        <v>90.928100019903994</v>
      </c>
      <c r="C23" s="417">
        <v>83.022999999999996</v>
      </c>
      <c r="D23" s="418">
        <v>-7.9051000199040002</v>
      </c>
      <c r="E23" s="419">
        <v>0.91306207851900001</v>
      </c>
      <c r="F23" s="417">
        <v>132.19782295460499</v>
      </c>
      <c r="G23" s="418">
        <v>132.19782295460499</v>
      </c>
      <c r="H23" s="420">
        <v>40.043999999999997</v>
      </c>
      <c r="I23" s="417">
        <v>151.37700000000001</v>
      </c>
      <c r="J23" s="418">
        <v>19.179177045393999</v>
      </c>
      <c r="K23" s="421">
        <v>1.145079371329</v>
      </c>
    </row>
    <row r="24" spans="1:11" ht="14.4" customHeight="1" thickBot="1" x14ac:dyDescent="0.35">
      <c r="A24" s="438" t="s">
        <v>304</v>
      </c>
      <c r="B24" s="422">
        <v>1009.99999999994</v>
      </c>
      <c r="C24" s="422">
        <v>1080.7498499999999</v>
      </c>
      <c r="D24" s="423">
        <v>70.749850000055005</v>
      </c>
      <c r="E24" s="429">
        <v>1.070049356435</v>
      </c>
      <c r="F24" s="422">
        <v>999.99647320872998</v>
      </c>
      <c r="G24" s="423">
        <v>999.99647320872998</v>
      </c>
      <c r="H24" s="425">
        <v>128.66130999999999</v>
      </c>
      <c r="I24" s="422">
        <v>1806.6401499999999</v>
      </c>
      <c r="J24" s="423">
        <v>806.64367679127099</v>
      </c>
      <c r="K24" s="430">
        <v>1.8066465216650001</v>
      </c>
    </row>
    <row r="25" spans="1:11" ht="14.4" customHeight="1" thickBot="1" x14ac:dyDescent="0.35">
      <c r="A25" s="439" t="s">
        <v>305</v>
      </c>
      <c r="B25" s="417">
        <v>1009.99999999994</v>
      </c>
      <c r="C25" s="417">
        <v>1074.1421499999999</v>
      </c>
      <c r="D25" s="418">
        <v>64.142150000054997</v>
      </c>
      <c r="E25" s="419">
        <v>1.0635070792070001</v>
      </c>
      <c r="F25" s="417">
        <v>999.99647320872998</v>
      </c>
      <c r="G25" s="418">
        <v>999.99647320872998</v>
      </c>
      <c r="H25" s="420">
        <v>128.66130999999999</v>
      </c>
      <c r="I25" s="417">
        <v>1806.1040599999999</v>
      </c>
      <c r="J25" s="418">
        <v>806.10758679127105</v>
      </c>
      <c r="K25" s="421">
        <v>1.806110429774</v>
      </c>
    </row>
    <row r="26" spans="1:11" ht="14.4" customHeight="1" thickBot="1" x14ac:dyDescent="0.35">
      <c r="A26" s="439" t="s">
        <v>306</v>
      </c>
      <c r="B26" s="417">
        <v>0</v>
      </c>
      <c r="C26" s="417">
        <v>6.6077000000000004</v>
      </c>
      <c r="D26" s="418">
        <v>6.6077000000000004</v>
      </c>
      <c r="E26" s="427" t="s">
        <v>283</v>
      </c>
      <c r="F26" s="417">
        <v>0</v>
      </c>
      <c r="G26" s="418">
        <v>0</v>
      </c>
      <c r="H26" s="420">
        <v>0</v>
      </c>
      <c r="I26" s="417">
        <v>0.53608999999999996</v>
      </c>
      <c r="J26" s="418">
        <v>0.53608999999999996</v>
      </c>
      <c r="K26" s="428" t="s">
        <v>283</v>
      </c>
    </row>
    <row r="27" spans="1:11" ht="14.4" customHeight="1" thickBot="1" x14ac:dyDescent="0.35">
      <c r="A27" s="438" t="s">
        <v>307</v>
      </c>
      <c r="B27" s="422">
        <v>793.73183286609901</v>
      </c>
      <c r="C27" s="422">
        <v>737.75348000000099</v>
      </c>
      <c r="D27" s="423">
        <v>-55.978352866098</v>
      </c>
      <c r="E27" s="429">
        <v>0.92947447670799999</v>
      </c>
      <c r="F27" s="422">
        <v>737.919746395988</v>
      </c>
      <c r="G27" s="423">
        <v>737.919746395988</v>
      </c>
      <c r="H27" s="425">
        <v>125.36879</v>
      </c>
      <c r="I27" s="422">
        <v>797.68571999999995</v>
      </c>
      <c r="J27" s="423">
        <v>59.765973604011002</v>
      </c>
      <c r="K27" s="430">
        <v>1.0809925115779999</v>
      </c>
    </row>
    <row r="28" spans="1:11" ht="14.4" customHeight="1" thickBot="1" x14ac:dyDescent="0.35">
      <c r="A28" s="439" t="s">
        <v>308</v>
      </c>
      <c r="B28" s="417">
        <v>218.30663374103199</v>
      </c>
      <c r="C28" s="417">
        <v>9.1024999999999991</v>
      </c>
      <c r="D28" s="418">
        <v>-209.204133741032</v>
      </c>
      <c r="E28" s="419">
        <v>4.1695938616000003E-2</v>
      </c>
      <c r="F28" s="417">
        <v>10.505242445286999</v>
      </c>
      <c r="G28" s="418">
        <v>10.505242445286999</v>
      </c>
      <c r="H28" s="420">
        <v>0</v>
      </c>
      <c r="I28" s="417">
        <v>38.905070000000002</v>
      </c>
      <c r="J28" s="418">
        <v>28.399827554712001</v>
      </c>
      <c r="K28" s="421">
        <v>3.7033957286199999</v>
      </c>
    </row>
    <row r="29" spans="1:11" ht="14.4" customHeight="1" thickBot="1" x14ac:dyDescent="0.35">
      <c r="A29" s="439" t="s">
        <v>309</v>
      </c>
      <c r="B29" s="417">
        <v>23.972951812169001</v>
      </c>
      <c r="C29" s="417">
        <v>32.141120000000001</v>
      </c>
      <c r="D29" s="418">
        <v>8.1681681878310002</v>
      </c>
      <c r="E29" s="419">
        <v>1.3407243401569999</v>
      </c>
      <c r="F29" s="417">
        <v>32.351901273137997</v>
      </c>
      <c r="G29" s="418">
        <v>32.351901273137997</v>
      </c>
      <c r="H29" s="420">
        <v>6.4388800000000002</v>
      </c>
      <c r="I29" s="417">
        <v>37.666879999999999</v>
      </c>
      <c r="J29" s="418">
        <v>5.3149787268609998</v>
      </c>
      <c r="K29" s="421">
        <v>1.1642864412189999</v>
      </c>
    </row>
    <row r="30" spans="1:11" ht="14.4" customHeight="1" thickBot="1" x14ac:dyDescent="0.35">
      <c r="A30" s="439" t="s">
        <v>310</v>
      </c>
      <c r="B30" s="417">
        <v>207.37985926904199</v>
      </c>
      <c r="C30" s="417">
        <v>269.05849000000001</v>
      </c>
      <c r="D30" s="418">
        <v>61.678630730957003</v>
      </c>
      <c r="E30" s="419">
        <v>1.297418616004</v>
      </c>
      <c r="F30" s="417">
        <v>276.76651818923602</v>
      </c>
      <c r="G30" s="418">
        <v>276.76651818923602</v>
      </c>
      <c r="H30" s="420">
        <v>33.452599999999997</v>
      </c>
      <c r="I30" s="417">
        <v>233.52206000000001</v>
      </c>
      <c r="J30" s="418">
        <v>-43.244458189235999</v>
      </c>
      <c r="K30" s="421">
        <v>0.84375112108100003</v>
      </c>
    </row>
    <row r="31" spans="1:11" ht="14.4" customHeight="1" thickBot="1" x14ac:dyDescent="0.35">
      <c r="A31" s="439" t="s">
        <v>311</v>
      </c>
      <c r="B31" s="417">
        <v>223.004382349754</v>
      </c>
      <c r="C31" s="417">
        <v>202.4299</v>
      </c>
      <c r="D31" s="418">
        <v>-20.574482349754</v>
      </c>
      <c r="E31" s="419">
        <v>0.90773956039299997</v>
      </c>
      <c r="F31" s="417">
        <v>213.986330469829</v>
      </c>
      <c r="G31" s="418">
        <v>213.986330469829</v>
      </c>
      <c r="H31" s="420">
        <v>28.112839999999998</v>
      </c>
      <c r="I31" s="417">
        <v>220.89979</v>
      </c>
      <c r="J31" s="418">
        <v>6.913459530171</v>
      </c>
      <c r="K31" s="421">
        <v>1.032307949367</v>
      </c>
    </row>
    <row r="32" spans="1:11" ht="14.4" customHeight="1" thickBot="1" x14ac:dyDescent="0.35">
      <c r="A32" s="439" t="s">
        <v>312</v>
      </c>
      <c r="B32" s="417">
        <v>7.3337450484130002</v>
      </c>
      <c r="C32" s="417">
        <v>7.2154600000000002</v>
      </c>
      <c r="D32" s="418">
        <v>-0.118285048413</v>
      </c>
      <c r="E32" s="419">
        <v>0.98387112619299999</v>
      </c>
      <c r="F32" s="417">
        <v>11.999027686688001</v>
      </c>
      <c r="G32" s="418">
        <v>11.999027686688001</v>
      </c>
      <c r="H32" s="420">
        <v>0.3866</v>
      </c>
      <c r="I32" s="417">
        <v>4.8651</v>
      </c>
      <c r="J32" s="418">
        <v>-7.1339276866879997</v>
      </c>
      <c r="K32" s="421">
        <v>0.40545785267200002</v>
      </c>
    </row>
    <row r="33" spans="1:11" ht="14.4" customHeight="1" thickBot="1" x14ac:dyDescent="0.35">
      <c r="A33" s="439" t="s">
        <v>313</v>
      </c>
      <c r="B33" s="417">
        <v>1.4104622948E-2</v>
      </c>
      <c r="C33" s="417">
        <v>7.6300000000000007E-2</v>
      </c>
      <c r="D33" s="418">
        <v>6.2195377050999999E-2</v>
      </c>
      <c r="E33" s="419">
        <v>5.4095738880050002</v>
      </c>
      <c r="F33" s="417">
        <v>4.2592248734999998E-2</v>
      </c>
      <c r="G33" s="418">
        <v>4.2592248734999998E-2</v>
      </c>
      <c r="H33" s="420">
        <v>0</v>
      </c>
      <c r="I33" s="417">
        <v>0</v>
      </c>
      <c r="J33" s="418">
        <v>-4.2592248734999998E-2</v>
      </c>
      <c r="K33" s="421">
        <v>0</v>
      </c>
    </row>
    <row r="34" spans="1:11" ht="14.4" customHeight="1" thickBot="1" x14ac:dyDescent="0.35">
      <c r="A34" s="439" t="s">
        <v>314</v>
      </c>
      <c r="B34" s="417">
        <v>63.714080231247003</v>
      </c>
      <c r="C34" s="417">
        <v>18.762</v>
      </c>
      <c r="D34" s="418">
        <v>-44.952080231247002</v>
      </c>
      <c r="E34" s="419">
        <v>0.29447180170999998</v>
      </c>
      <c r="F34" s="417">
        <v>16.998251381759999</v>
      </c>
      <c r="G34" s="418">
        <v>16.998251381759999</v>
      </c>
      <c r="H34" s="420">
        <v>0</v>
      </c>
      <c r="I34" s="417">
        <v>19.326000000000001</v>
      </c>
      <c r="J34" s="418">
        <v>2.3277486182390001</v>
      </c>
      <c r="K34" s="421">
        <v>1.1369404749909999</v>
      </c>
    </row>
    <row r="35" spans="1:11" ht="14.4" customHeight="1" thickBot="1" x14ac:dyDescent="0.35">
      <c r="A35" s="439" t="s">
        <v>315</v>
      </c>
      <c r="B35" s="417">
        <v>50.006075791492002</v>
      </c>
      <c r="C35" s="417">
        <v>69.022350000000003</v>
      </c>
      <c r="D35" s="418">
        <v>19.016274208508001</v>
      </c>
      <c r="E35" s="419">
        <v>1.3802792742179999</v>
      </c>
      <c r="F35" s="417">
        <v>77.173259215534998</v>
      </c>
      <c r="G35" s="418">
        <v>77.173259215534998</v>
      </c>
      <c r="H35" s="420">
        <v>0</v>
      </c>
      <c r="I35" s="417">
        <v>40.756230000000002</v>
      </c>
      <c r="J35" s="418">
        <v>-36.417029215535003</v>
      </c>
      <c r="K35" s="421">
        <v>0.52811337002299996</v>
      </c>
    </row>
    <row r="36" spans="1:11" ht="14.4" customHeight="1" thickBot="1" x14ac:dyDescent="0.35">
      <c r="A36" s="439" t="s">
        <v>316</v>
      </c>
      <c r="B36" s="417">
        <v>0</v>
      </c>
      <c r="C36" s="417">
        <v>1.222</v>
      </c>
      <c r="D36" s="418">
        <v>1.222</v>
      </c>
      <c r="E36" s="427" t="s">
        <v>289</v>
      </c>
      <c r="F36" s="417">
        <v>0</v>
      </c>
      <c r="G36" s="418">
        <v>0</v>
      </c>
      <c r="H36" s="420">
        <v>0</v>
      </c>
      <c r="I36" s="417">
        <v>0</v>
      </c>
      <c r="J36" s="418">
        <v>0</v>
      </c>
      <c r="K36" s="428" t="s">
        <v>283</v>
      </c>
    </row>
    <row r="37" spans="1:11" ht="14.4" customHeight="1" thickBot="1" x14ac:dyDescent="0.35">
      <c r="A37" s="439" t="s">
        <v>317</v>
      </c>
      <c r="B37" s="417">
        <v>0</v>
      </c>
      <c r="C37" s="417">
        <v>0.1032</v>
      </c>
      <c r="D37" s="418">
        <v>0.1032</v>
      </c>
      <c r="E37" s="427" t="s">
        <v>289</v>
      </c>
      <c r="F37" s="417">
        <v>0.104943219813</v>
      </c>
      <c r="G37" s="418">
        <v>0.104943219813</v>
      </c>
      <c r="H37" s="420">
        <v>0</v>
      </c>
      <c r="I37" s="417">
        <v>0</v>
      </c>
      <c r="J37" s="418">
        <v>-0.104943219813</v>
      </c>
      <c r="K37" s="421">
        <v>0</v>
      </c>
    </row>
    <row r="38" spans="1:11" ht="14.4" customHeight="1" thickBot="1" x14ac:dyDescent="0.35">
      <c r="A38" s="439" t="s">
        <v>318</v>
      </c>
      <c r="B38" s="417">
        <v>0</v>
      </c>
      <c r="C38" s="417">
        <v>0.18335000000000001</v>
      </c>
      <c r="D38" s="418">
        <v>0.18335000000000001</v>
      </c>
      <c r="E38" s="427" t="s">
        <v>289</v>
      </c>
      <c r="F38" s="417">
        <v>0</v>
      </c>
      <c r="G38" s="418">
        <v>0</v>
      </c>
      <c r="H38" s="420">
        <v>0</v>
      </c>
      <c r="I38" s="417">
        <v>0</v>
      </c>
      <c r="J38" s="418">
        <v>0</v>
      </c>
      <c r="K38" s="428" t="s">
        <v>283</v>
      </c>
    </row>
    <row r="39" spans="1:11" ht="14.4" customHeight="1" thickBot="1" x14ac:dyDescent="0.35">
      <c r="A39" s="439" t="s">
        <v>319</v>
      </c>
      <c r="B39" s="417">
        <v>0</v>
      </c>
      <c r="C39" s="417">
        <v>128.43681000000001</v>
      </c>
      <c r="D39" s="418">
        <v>128.43681000000001</v>
      </c>
      <c r="E39" s="427" t="s">
        <v>289</v>
      </c>
      <c r="F39" s="417">
        <v>97.991680265964007</v>
      </c>
      <c r="G39" s="418">
        <v>97.991680265964007</v>
      </c>
      <c r="H39" s="420">
        <v>56.977870000000003</v>
      </c>
      <c r="I39" s="417">
        <v>201.74458999999999</v>
      </c>
      <c r="J39" s="418">
        <v>103.752909734035</v>
      </c>
      <c r="K39" s="421">
        <v>2.0587930470460001</v>
      </c>
    </row>
    <row r="40" spans="1:11" ht="14.4" customHeight="1" thickBot="1" x14ac:dyDescent="0.35">
      <c r="A40" s="438" t="s">
        <v>320</v>
      </c>
      <c r="B40" s="422">
        <v>516.68005548246697</v>
      </c>
      <c r="C40" s="422">
        <v>471.29793999999998</v>
      </c>
      <c r="D40" s="423">
        <v>-45.382115482467</v>
      </c>
      <c r="E40" s="429">
        <v>0.91216592357100001</v>
      </c>
      <c r="F40" s="422">
        <v>18.281094411110001</v>
      </c>
      <c r="G40" s="423">
        <v>18.281094411110001</v>
      </c>
      <c r="H40" s="425">
        <v>69.114999999999995</v>
      </c>
      <c r="I40" s="422">
        <v>525.17990999999995</v>
      </c>
      <c r="J40" s="423">
        <v>506.89881558888902</v>
      </c>
      <c r="K40" s="430">
        <v>28.728034448572998</v>
      </c>
    </row>
    <row r="41" spans="1:11" ht="14.4" customHeight="1" thickBot="1" x14ac:dyDescent="0.35">
      <c r="A41" s="439" t="s">
        <v>321</v>
      </c>
      <c r="B41" s="417">
        <v>0.66576489492199997</v>
      </c>
      <c r="C41" s="417">
        <v>1.4925999999999999</v>
      </c>
      <c r="D41" s="418">
        <v>0.82683510507699998</v>
      </c>
      <c r="E41" s="419">
        <v>2.2419325671610002</v>
      </c>
      <c r="F41" s="417">
        <v>2.3589210788699999</v>
      </c>
      <c r="G41" s="418">
        <v>2.3589210788699999</v>
      </c>
      <c r="H41" s="420">
        <v>0</v>
      </c>
      <c r="I41" s="417">
        <v>0.14499999999999999</v>
      </c>
      <c r="J41" s="418">
        <v>-2.2139210788699999</v>
      </c>
      <c r="K41" s="421">
        <v>6.1468779645999998E-2</v>
      </c>
    </row>
    <row r="42" spans="1:11" ht="14.4" customHeight="1" thickBot="1" x14ac:dyDescent="0.35">
      <c r="A42" s="439" t="s">
        <v>322</v>
      </c>
      <c r="B42" s="417">
        <v>495.47407827545402</v>
      </c>
      <c r="C42" s="417">
        <v>448.65523000000002</v>
      </c>
      <c r="D42" s="418">
        <v>-46.818848275454002</v>
      </c>
      <c r="E42" s="419">
        <v>0.90550696731000002</v>
      </c>
      <c r="F42" s="417">
        <v>0</v>
      </c>
      <c r="G42" s="418">
        <v>0</v>
      </c>
      <c r="H42" s="420">
        <v>64.033000000000001</v>
      </c>
      <c r="I42" s="417">
        <v>512.26445999999999</v>
      </c>
      <c r="J42" s="418">
        <v>512.26445999999999</v>
      </c>
      <c r="K42" s="428" t="s">
        <v>283</v>
      </c>
    </row>
    <row r="43" spans="1:11" ht="14.4" customHeight="1" thickBot="1" x14ac:dyDescent="0.35">
      <c r="A43" s="439" t="s">
        <v>323</v>
      </c>
      <c r="B43" s="417">
        <v>2.8343053545219998</v>
      </c>
      <c r="C43" s="417">
        <v>14.976699999999999</v>
      </c>
      <c r="D43" s="418">
        <v>12.142394645476999</v>
      </c>
      <c r="E43" s="419">
        <v>5.2840813274059997</v>
      </c>
      <c r="F43" s="417">
        <v>10.579279120954</v>
      </c>
      <c r="G43" s="418">
        <v>10.579279120954</v>
      </c>
      <c r="H43" s="420">
        <v>5.0819999999999999</v>
      </c>
      <c r="I43" s="417">
        <v>5.0819999999999999</v>
      </c>
      <c r="J43" s="418">
        <v>-5.4972791209540004</v>
      </c>
      <c r="K43" s="421">
        <v>0.48037299535200001</v>
      </c>
    </row>
    <row r="44" spans="1:11" ht="14.4" customHeight="1" thickBot="1" x14ac:dyDescent="0.35">
      <c r="A44" s="439" t="s">
        <v>324</v>
      </c>
      <c r="B44" s="417">
        <v>5.9310227865270004</v>
      </c>
      <c r="C44" s="417">
        <v>0.51300000000000001</v>
      </c>
      <c r="D44" s="418">
        <v>-5.4180227865269996</v>
      </c>
      <c r="E44" s="419">
        <v>8.6494356615999995E-2</v>
      </c>
      <c r="F44" s="417">
        <v>0.34196172121000001</v>
      </c>
      <c r="G44" s="418">
        <v>0.34196172121000001</v>
      </c>
      <c r="H44" s="420">
        <v>0</v>
      </c>
      <c r="I44" s="417">
        <v>3.05952</v>
      </c>
      <c r="J44" s="418">
        <v>2.7175582787889998</v>
      </c>
      <c r="K44" s="421">
        <v>0</v>
      </c>
    </row>
    <row r="45" spans="1:11" ht="14.4" customHeight="1" thickBot="1" x14ac:dyDescent="0.35">
      <c r="A45" s="439" t="s">
        <v>325</v>
      </c>
      <c r="B45" s="417">
        <v>0</v>
      </c>
      <c r="C45" s="417">
        <v>0.82279999999999998</v>
      </c>
      <c r="D45" s="418">
        <v>0.82279999999999998</v>
      </c>
      <c r="E45" s="427" t="s">
        <v>289</v>
      </c>
      <c r="F45" s="417">
        <v>0</v>
      </c>
      <c r="G45" s="418">
        <v>0</v>
      </c>
      <c r="H45" s="420">
        <v>0</v>
      </c>
      <c r="I45" s="417">
        <v>0</v>
      </c>
      <c r="J45" s="418">
        <v>0</v>
      </c>
      <c r="K45" s="428" t="s">
        <v>283</v>
      </c>
    </row>
    <row r="46" spans="1:11" ht="14.4" customHeight="1" thickBot="1" x14ac:dyDescent="0.35">
      <c r="A46" s="439" t="s">
        <v>326</v>
      </c>
      <c r="B46" s="417">
        <v>11.77488417104</v>
      </c>
      <c r="C46" s="417">
        <v>4.8376099999999997</v>
      </c>
      <c r="D46" s="418">
        <v>-6.9372741710400003</v>
      </c>
      <c r="E46" s="419">
        <v>0.41084140869000002</v>
      </c>
      <c r="F46" s="417">
        <v>5.0009324900739998</v>
      </c>
      <c r="G46" s="418">
        <v>5.0009324900739998</v>
      </c>
      <c r="H46" s="420">
        <v>0</v>
      </c>
      <c r="I46" s="417">
        <v>4.6289300000000004</v>
      </c>
      <c r="J46" s="418">
        <v>-0.37200249007399999</v>
      </c>
      <c r="K46" s="421">
        <v>0.92561337494200002</v>
      </c>
    </row>
    <row r="47" spans="1:11" ht="14.4" customHeight="1" thickBot="1" x14ac:dyDescent="0.35">
      <c r="A47" s="438" t="s">
        <v>327</v>
      </c>
      <c r="B47" s="422">
        <v>124.40765788794501</v>
      </c>
      <c r="C47" s="422">
        <v>132.73433</v>
      </c>
      <c r="D47" s="423">
        <v>8.3266721120550002</v>
      </c>
      <c r="E47" s="429">
        <v>1.06693054313</v>
      </c>
      <c r="F47" s="422">
        <v>129.08926005445099</v>
      </c>
      <c r="G47" s="423">
        <v>129.08926005445099</v>
      </c>
      <c r="H47" s="425">
        <v>22.971830000000001</v>
      </c>
      <c r="I47" s="422">
        <v>113.44216</v>
      </c>
      <c r="J47" s="423">
        <v>-15.64710005445</v>
      </c>
      <c r="K47" s="430">
        <v>0.87878852161700005</v>
      </c>
    </row>
    <row r="48" spans="1:11" ht="14.4" customHeight="1" thickBot="1" x14ac:dyDescent="0.35">
      <c r="A48" s="439" t="s">
        <v>328</v>
      </c>
      <c r="B48" s="417">
        <v>27.319717405429</v>
      </c>
      <c r="C48" s="417">
        <v>36.453180000000003</v>
      </c>
      <c r="D48" s="418">
        <v>9.1334625945700001</v>
      </c>
      <c r="E48" s="419">
        <v>1.3343176087440001</v>
      </c>
      <c r="F48" s="417">
        <v>33.082578573311999</v>
      </c>
      <c r="G48" s="418">
        <v>33.082578573311999</v>
      </c>
      <c r="H48" s="420">
        <v>0.85424999999999995</v>
      </c>
      <c r="I48" s="417">
        <v>29.311119999999999</v>
      </c>
      <c r="J48" s="418">
        <v>-3.7714585733120001</v>
      </c>
      <c r="K48" s="421">
        <v>0.88599865137599998</v>
      </c>
    </row>
    <row r="49" spans="1:11" ht="14.4" customHeight="1" thickBot="1" x14ac:dyDescent="0.35">
      <c r="A49" s="439" t="s">
        <v>329</v>
      </c>
      <c r="B49" s="417">
        <v>96.498787312274004</v>
      </c>
      <c r="C49" s="417">
        <v>96.281149999999997</v>
      </c>
      <c r="D49" s="418">
        <v>-0.21763731227399999</v>
      </c>
      <c r="E49" s="419">
        <v>0.99774466272200002</v>
      </c>
      <c r="F49" s="417">
        <v>0</v>
      </c>
      <c r="G49" s="418">
        <v>0</v>
      </c>
      <c r="H49" s="420">
        <v>0</v>
      </c>
      <c r="I49" s="417">
        <v>0</v>
      </c>
      <c r="J49" s="418">
        <v>0</v>
      </c>
      <c r="K49" s="428" t="s">
        <v>283</v>
      </c>
    </row>
    <row r="50" spans="1:11" ht="14.4" customHeight="1" thickBot="1" x14ac:dyDescent="0.35">
      <c r="A50" s="439" t="s">
        <v>330</v>
      </c>
      <c r="B50" s="417">
        <v>0</v>
      </c>
      <c r="C50" s="417">
        <v>0</v>
      </c>
      <c r="D50" s="418">
        <v>0</v>
      </c>
      <c r="E50" s="419">
        <v>1</v>
      </c>
      <c r="F50" s="417">
        <v>85.008176494870995</v>
      </c>
      <c r="G50" s="418">
        <v>85.008176494870995</v>
      </c>
      <c r="H50" s="420">
        <v>19.29832</v>
      </c>
      <c r="I50" s="417">
        <v>73.19117</v>
      </c>
      <c r="J50" s="418">
        <v>-11.817006494871</v>
      </c>
      <c r="K50" s="421">
        <v>0.86098976613599998</v>
      </c>
    </row>
    <row r="51" spans="1:11" ht="14.4" customHeight="1" thickBot="1" x14ac:dyDescent="0.35">
      <c r="A51" s="439" t="s">
        <v>331</v>
      </c>
      <c r="B51" s="417">
        <v>0</v>
      </c>
      <c r="C51" s="417">
        <v>0</v>
      </c>
      <c r="D51" s="418">
        <v>0</v>
      </c>
      <c r="E51" s="419">
        <v>1</v>
      </c>
      <c r="F51" s="417">
        <v>10.998504986265999</v>
      </c>
      <c r="G51" s="418">
        <v>10.998504986265999</v>
      </c>
      <c r="H51" s="420">
        <v>2.8192599999999999</v>
      </c>
      <c r="I51" s="417">
        <v>10.939870000000001</v>
      </c>
      <c r="J51" s="418">
        <v>-5.8634986266E-2</v>
      </c>
      <c r="K51" s="421">
        <v>0.99466882213999996</v>
      </c>
    </row>
    <row r="52" spans="1:11" ht="14.4" customHeight="1" thickBot="1" x14ac:dyDescent="0.35">
      <c r="A52" s="438" t="s">
        <v>332</v>
      </c>
      <c r="B52" s="422">
        <v>0</v>
      </c>
      <c r="C52" s="422">
        <v>29.645</v>
      </c>
      <c r="D52" s="423">
        <v>29.645</v>
      </c>
      <c r="E52" s="424" t="s">
        <v>283</v>
      </c>
      <c r="F52" s="422">
        <v>0</v>
      </c>
      <c r="G52" s="423">
        <v>0</v>
      </c>
      <c r="H52" s="425">
        <v>0.55900000000000005</v>
      </c>
      <c r="I52" s="422">
        <v>2.359</v>
      </c>
      <c r="J52" s="423">
        <v>2.359</v>
      </c>
      <c r="K52" s="426" t="s">
        <v>283</v>
      </c>
    </row>
    <row r="53" spans="1:11" ht="14.4" customHeight="1" thickBot="1" x14ac:dyDescent="0.35">
      <c r="A53" s="439" t="s">
        <v>333</v>
      </c>
      <c r="B53" s="417">
        <v>0</v>
      </c>
      <c r="C53" s="417">
        <v>29.645</v>
      </c>
      <c r="D53" s="418">
        <v>29.645</v>
      </c>
      <c r="E53" s="427" t="s">
        <v>283</v>
      </c>
      <c r="F53" s="417">
        <v>0</v>
      </c>
      <c r="G53" s="418">
        <v>0</v>
      </c>
      <c r="H53" s="420">
        <v>0.55900000000000005</v>
      </c>
      <c r="I53" s="417">
        <v>2.359</v>
      </c>
      <c r="J53" s="418">
        <v>2.359</v>
      </c>
      <c r="K53" s="428" t="s">
        <v>283</v>
      </c>
    </row>
    <row r="54" spans="1:11" ht="14.4" customHeight="1" thickBot="1" x14ac:dyDescent="0.35">
      <c r="A54" s="437" t="s">
        <v>42</v>
      </c>
      <c r="B54" s="417">
        <v>1519.6162265016701</v>
      </c>
      <c r="C54" s="417">
        <v>1499.11293</v>
      </c>
      <c r="D54" s="418">
        <v>-20.503296501668999</v>
      </c>
      <c r="E54" s="419">
        <v>0.98650758254299997</v>
      </c>
      <c r="F54" s="417">
        <v>1507.0553428726901</v>
      </c>
      <c r="G54" s="418">
        <v>1507.0553428726901</v>
      </c>
      <c r="H54" s="420">
        <v>129.94800000000001</v>
      </c>
      <c r="I54" s="417">
        <v>1325.47</v>
      </c>
      <c r="J54" s="418">
        <v>-181.585342872692</v>
      </c>
      <c r="K54" s="421">
        <v>0.87950983769000002</v>
      </c>
    </row>
    <row r="55" spans="1:11" ht="14.4" customHeight="1" thickBot="1" x14ac:dyDescent="0.35">
      <c r="A55" s="438" t="s">
        <v>334</v>
      </c>
      <c r="B55" s="422">
        <v>1519.6162265016701</v>
      </c>
      <c r="C55" s="422">
        <v>1499.11293</v>
      </c>
      <c r="D55" s="423">
        <v>-20.503296501668999</v>
      </c>
      <c r="E55" s="429">
        <v>0.98650758254299997</v>
      </c>
      <c r="F55" s="422">
        <v>1507.0553428726901</v>
      </c>
      <c r="G55" s="423">
        <v>1507.0553428726901</v>
      </c>
      <c r="H55" s="425">
        <v>129.94800000000001</v>
      </c>
      <c r="I55" s="422">
        <v>1325.47</v>
      </c>
      <c r="J55" s="423">
        <v>-181.585342872692</v>
      </c>
      <c r="K55" s="430">
        <v>0.87950983769000002</v>
      </c>
    </row>
    <row r="56" spans="1:11" ht="14.4" customHeight="1" thickBot="1" x14ac:dyDescent="0.35">
      <c r="A56" s="439" t="s">
        <v>335</v>
      </c>
      <c r="B56" s="417">
        <v>762.10006450204298</v>
      </c>
      <c r="C56" s="417">
        <v>770.54100000000005</v>
      </c>
      <c r="D56" s="418">
        <v>8.4409354979569997</v>
      </c>
      <c r="E56" s="419">
        <v>1.0110758887060001</v>
      </c>
      <c r="F56" s="417">
        <v>764.78213950404597</v>
      </c>
      <c r="G56" s="418">
        <v>764.78213950404597</v>
      </c>
      <c r="H56" s="420">
        <v>55.435000000000002</v>
      </c>
      <c r="I56" s="417">
        <v>642.64400000000001</v>
      </c>
      <c r="J56" s="418">
        <v>-122.13813950404599</v>
      </c>
      <c r="K56" s="421">
        <v>0.84029682023700003</v>
      </c>
    </row>
    <row r="57" spans="1:11" ht="14.4" customHeight="1" thickBot="1" x14ac:dyDescent="0.35">
      <c r="A57" s="439" t="s">
        <v>336</v>
      </c>
      <c r="B57" s="417">
        <v>350.01504298074502</v>
      </c>
      <c r="C57" s="417">
        <v>342.67599999999999</v>
      </c>
      <c r="D57" s="418">
        <v>-7.3390429807439999</v>
      </c>
      <c r="E57" s="419">
        <v>0.97903220696299997</v>
      </c>
      <c r="F57" s="417">
        <v>350.01325431992001</v>
      </c>
      <c r="G57" s="418">
        <v>350.01325431992001</v>
      </c>
      <c r="H57" s="420">
        <v>21.632999999999999</v>
      </c>
      <c r="I57" s="417">
        <v>320.30399999999997</v>
      </c>
      <c r="J57" s="418">
        <v>-29.709254319919999</v>
      </c>
      <c r="K57" s="421">
        <v>0.91511963060400003</v>
      </c>
    </row>
    <row r="58" spans="1:11" ht="14.4" customHeight="1" thickBot="1" x14ac:dyDescent="0.35">
      <c r="A58" s="439" t="s">
        <v>337</v>
      </c>
      <c r="B58" s="417">
        <v>400.03060581897398</v>
      </c>
      <c r="C58" s="417">
        <v>380.51400000000001</v>
      </c>
      <c r="D58" s="418">
        <v>-19.516605818973002</v>
      </c>
      <c r="E58" s="419">
        <v>0.95121221842699999</v>
      </c>
      <c r="F58" s="417">
        <v>385.83415808927901</v>
      </c>
      <c r="G58" s="418">
        <v>385.83415808927901</v>
      </c>
      <c r="H58" s="420">
        <v>52.38</v>
      </c>
      <c r="I58" s="417">
        <v>357.93299999999999</v>
      </c>
      <c r="J58" s="418">
        <v>-27.901158089277999</v>
      </c>
      <c r="K58" s="421">
        <v>0.92768613793099997</v>
      </c>
    </row>
    <row r="59" spans="1:11" ht="14.4" customHeight="1" thickBot="1" x14ac:dyDescent="0.35">
      <c r="A59" s="439" t="s">
        <v>338</v>
      </c>
      <c r="B59" s="417">
        <v>7.4705131999079999</v>
      </c>
      <c r="C59" s="417">
        <v>5.3819299999999997</v>
      </c>
      <c r="D59" s="418">
        <v>-2.0885831999079998</v>
      </c>
      <c r="E59" s="419">
        <v>0.72042306277699997</v>
      </c>
      <c r="F59" s="417">
        <v>6.4257909594470002</v>
      </c>
      <c r="G59" s="418">
        <v>6.4257909594470002</v>
      </c>
      <c r="H59" s="420">
        <v>0.5</v>
      </c>
      <c r="I59" s="417">
        <v>4.5890000000000004</v>
      </c>
      <c r="J59" s="418">
        <v>-1.836790959447</v>
      </c>
      <c r="K59" s="421">
        <v>0.71415332819800004</v>
      </c>
    </row>
    <row r="60" spans="1:11" ht="14.4" customHeight="1" thickBot="1" x14ac:dyDescent="0.35">
      <c r="A60" s="437" t="s">
        <v>43</v>
      </c>
      <c r="B60" s="417">
        <v>0</v>
      </c>
      <c r="C60" s="417">
        <v>0</v>
      </c>
      <c r="D60" s="418">
        <v>0</v>
      </c>
      <c r="E60" s="419">
        <v>1</v>
      </c>
      <c r="F60" s="417">
        <v>0</v>
      </c>
      <c r="G60" s="418">
        <v>0</v>
      </c>
      <c r="H60" s="420">
        <v>0.75202000000000002</v>
      </c>
      <c r="I60" s="417">
        <v>7.5202400000000003</v>
      </c>
      <c r="J60" s="418">
        <v>7.5202400000000003</v>
      </c>
      <c r="K60" s="428" t="s">
        <v>289</v>
      </c>
    </row>
    <row r="61" spans="1:11" ht="14.4" customHeight="1" thickBot="1" x14ac:dyDescent="0.35">
      <c r="A61" s="438" t="s">
        <v>339</v>
      </c>
      <c r="B61" s="422">
        <v>0</v>
      </c>
      <c r="C61" s="422">
        <v>0</v>
      </c>
      <c r="D61" s="423">
        <v>0</v>
      </c>
      <c r="E61" s="429">
        <v>1</v>
      </c>
      <c r="F61" s="422">
        <v>0</v>
      </c>
      <c r="G61" s="423">
        <v>0</v>
      </c>
      <c r="H61" s="425">
        <v>0.75202000000000002</v>
      </c>
      <c r="I61" s="422">
        <v>7.5202400000000003</v>
      </c>
      <c r="J61" s="423">
        <v>7.5202400000000003</v>
      </c>
      <c r="K61" s="426" t="s">
        <v>289</v>
      </c>
    </row>
    <row r="62" spans="1:11" ht="14.4" customHeight="1" thickBot="1" x14ac:dyDescent="0.35">
      <c r="A62" s="439" t="s">
        <v>340</v>
      </c>
      <c r="B62" s="417">
        <v>0</v>
      </c>
      <c r="C62" s="417">
        <v>0</v>
      </c>
      <c r="D62" s="418">
        <v>0</v>
      </c>
      <c r="E62" s="419">
        <v>1</v>
      </c>
      <c r="F62" s="417">
        <v>0</v>
      </c>
      <c r="G62" s="418">
        <v>0</v>
      </c>
      <c r="H62" s="420">
        <v>0.75202000000000002</v>
      </c>
      <c r="I62" s="417">
        <v>7.5202400000000003</v>
      </c>
      <c r="J62" s="418">
        <v>7.5202400000000003</v>
      </c>
      <c r="K62" s="428" t="s">
        <v>289</v>
      </c>
    </row>
    <row r="63" spans="1:11" ht="14.4" customHeight="1" thickBot="1" x14ac:dyDescent="0.35">
      <c r="A63" s="440" t="s">
        <v>341</v>
      </c>
      <c r="B63" s="422">
        <v>-87799.999999995198</v>
      </c>
      <c r="C63" s="422">
        <v>-95365.190780000004</v>
      </c>
      <c r="D63" s="423">
        <v>-7565.1907800048803</v>
      </c>
      <c r="E63" s="429">
        <v>1.0861639041</v>
      </c>
      <c r="F63" s="422">
        <v>-95399.999999998297</v>
      </c>
      <c r="G63" s="423">
        <v>-95399.999999998297</v>
      </c>
      <c r="H63" s="425">
        <v>-7501.6548400000001</v>
      </c>
      <c r="I63" s="422">
        <v>-105122.04635999999</v>
      </c>
      <c r="J63" s="423">
        <v>-9722.0463600017702</v>
      </c>
      <c r="K63" s="430">
        <v>1.1019082427669999</v>
      </c>
    </row>
    <row r="64" spans="1:11" ht="14.4" customHeight="1" thickBot="1" x14ac:dyDescent="0.35">
      <c r="A64" s="438" t="s">
        <v>342</v>
      </c>
      <c r="B64" s="422">
        <v>-87799.999999995198</v>
      </c>
      <c r="C64" s="422">
        <v>-95365.190780000004</v>
      </c>
      <c r="D64" s="423">
        <v>-7565.1907800048803</v>
      </c>
      <c r="E64" s="429">
        <v>1.0861639041</v>
      </c>
      <c r="F64" s="422">
        <v>-95399.999999998297</v>
      </c>
      <c r="G64" s="423">
        <v>-95399.999999998297</v>
      </c>
      <c r="H64" s="425">
        <v>-7501.6548400000001</v>
      </c>
      <c r="I64" s="422">
        <v>-105122.04635999999</v>
      </c>
      <c r="J64" s="423">
        <v>-9722.0463600017702</v>
      </c>
      <c r="K64" s="430">
        <v>1.1019082427669999</v>
      </c>
    </row>
    <row r="65" spans="1:11" ht="14.4" customHeight="1" thickBot="1" x14ac:dyDescent="0.35">
      <c r="A65" s="439" t="s">
        <v>343</v>
      </c>
      <c r="B65" s="417">
        <v>-87799.999999995198</v>
      </c>
      <c r="C65" s="417">
        <v>-95365.190780000004</v>
      </c>
      <c r="D65" s="418">
        <v>-7565.1907800048803</v>
      </c>
      <c r="E65" s="419">
        <v>1.0861639041</v>
      </c>
      <c r="F65" s="417">
        <v>-95399.999999998297</v>
      </c>
      <c r="G65" s="418">
        <v>-95399.999999998297</v>
      </c>
      <c r="H65" s="420">
        <v>-7501.6548400000001</v>
      </c>
      <c r="I65" s="417">
        <v>-105122.04635999999</v>
      </c>
      <c r="J65" s="418">
        <v>-9722.0463600017702</v>
      </c>
      <c r="K65" s="421">
        <v>1.1019082427669999</v>
      </c>
    </row>
    <row r="66" spans="1:11" ht="14.4" customHeight="1" thickBot="1" x14ac:dyDescent="0.35">
      <c r="A66" s="441" t="s">
        <v>344</v>
      </c>
      <c r="B66" s="422">
        <v>2185.8027239094799</v>
      </c>
      <c r="C66" s="422">
        <v>2435.7479600000001</v>
      </c>
      <c r="D66" s="423">
        <v>249.94523609052101</v>
      </c>
      <c r="E66" s="429">
        <v>1.114349402787</v>
      </c>
      <c r="F66" s="422">
        <v>2544.4377580566702</v>
      </c>
      <c r="G66" s="423">
        <v>2544.4377580566702</v>
      </c>
      <c r="H66" s="425">
        <v>211.35835</v>
      </c>
      <c r="I66" s="422">
        <v>2391.4498100000001</v>
      </c>
      <c r="J66" s="423">
        <v>-152.98794805666901</v>
      </c>
      <c r="K66" s="430">
        <v>0.93987357420200002</v>
      </c>
    </row>
    <row r="67" spans="1:11" ht="14.4" customHeight="1" thickBot="1" x14ac:dyDescent="0.35">
      <c r="A67" s="437" t="s">
        <v>45</v>
      </c>
      <c r="B67" s="417">
        <v>399.59008242379502</v>
      </c>
      <c r="C67" s="417">
        <v>435.153580000001</v>
      </c>
      <c r="D67" s="418">
        <v>35.563497576205002</v>
      </c>
      <c r="E67" s="419">
        <v>1.0889999505500001</v>
      </c>
      <c r="F67" s="417">
        <v>399.89706003019597</v>
      </c>
      <c r="G67" s="418">
        <v>399.89706003019597</v>
      </c>
      <c r="H67" s="420">
        <v>10.348140000000001</v>
      </c>
      <c r="I67" s="417">
        <v>449.89386000000002</v>
      </c>
      <c r="J67" s="418">
        <v>49.996799969803</v>
      </c>
      <c r="K67" s="421">
        <v>1.1250241748859999</v>
      </c>
    </row>
    <row r="68" spans="1:11" ht="14.4" customHeight="1" thickBot="1" x14ac:dyDescent="0.35">
      <c r="A68" s="442" t="s">
        <v>345</v>
      </c>
      <c r="B68" s="417">
        <v>399.59008242379502</v>
      </c>
      <c r="C68" s="417">
        <v>435.153580000001</v>
      </c>
      <c r="D68" s="418">
        <v>35.563497576205002</v>
      </c>
      <c r="E68" s="419">
        <v>1.0889999505500001</v>
      </c>
      <c r="F68" s="417">
        <v>399.89706003019597</v>
      </c>
      <c r="G68" s="418">
        <v>399.89706003019597</v>
      </c>
      <c r="H68" s="420">
        <v>10.348140000000001</v>
      </c>
      <c r="I68" s="417">
        <v>449.89386000000002</v>
      </c>
      <c r="J68" s="418">
        <v>49.996799969803</v>
      </c>
      <c r="K68" s="421">
        <v>1.1250241748859999</v>
      </c>
    </row>
    <row r="69" spans="1:11" ht="14.4" customHeight="1" thickBot="1" x14ac:dyDescent="0.35">
      <c r="A69" s="439" t="s">
        <v>346</v>
      </c>
      <c r="B69" s="417">
        <v>96.435886723756994</v>
      </c>
      <c r="C69" s="417">
        <v>215.56733000000099</v>
      </c>
      <c r="D69" s="418">
        <v>119.131443276243</v>
      </c>
      <c r="E69" s="419">
        <v>2.2353434735079998</v>
      </c>
      <c r="F69" s="417">
        <v>198.783227886872</v>
      </c>
      <c r="G69" s="418">
        <v>198.783227886872</v>
      </c>
      <c r="H69" s="420">
        <v>2.9310999999999998</v>
      </c>
      <c r="I69" s="417">
        <v>185.59444999999999</v>
      </c>
      <c r="J69" s="418">
        <v>-13.188777886872</v>
      </c>
      <c r="K69" s="421">
        <v>0.933652461391</v>
      </c>
    </row>
    <row r="70" spans="1:11" ht="14.4" customHeight="1" thickBot="1" x14ac:dyDescent="0.35">
      <c r="A70" s="439" t="s">
        <v>347</v>
      </c>
      <c r="B70" s="417">
        <v>0</v>
      </c>
      <c r="C70" s="417">
        <v>0</v>
      </c>
      <c r="D70" s="418">
        <v>0</v>
      </c>
      <c r="E70" s="419">
        <v>1</v>
      </c>
      <c r="F70" s="417">
        <v>0</v>
      </c>
      <c r="G70" s="418">
        <v>0</v>
      </c>
      <c r="H70" s="420">
        <v>0</v>
      </c>
      <c r="I70" s="417">
        <v>0.99199999999999999</v>
      </c>
      <c r="J70" s="418">
        <v>0.99199999999999999</v>
      </c>
      <c r="K70" s="428" t="s">
        <v>289</v>
      </c>
    </row>
    <row r="71" spans="1:11" ht="14.4" customHeight="1" thickBot="1" x14ac:dyDescent="0.35">
      <c r="A71" s="439" t="s">
        <v>348</v>
      </c>
      <c r="B71" s="417">
        <v>167.164605477712</v>
      </c>
      <c r="C71" s="417">
        <v>50.001899999999999</v>
      </c>
      <c r="D71" s="418">
        <v>-117.162705477712</v>
      </c>
      <c r="E71" s="419">
        <v>0.29911774599099999</v>
      </c>
      <c r="F71" s="417">
        <v>58.266082635075001</v>
      </c>
      <c r="G71" s="418">
        <v>58.266082635075001</v>
      </c>
      <c r="H71" s="420">
        <v>0</v>
      </c>
      <c r="I71" s="417">
        <v>121.70417999999999</v>
      </c>
      <c r="J71" s="418">
        <v>63.438097364923998</v>
      </c>
      <c r="K71" s="421">
        <v>2.0887654445930002</v>
      </c>
    </row>
    <row r="72" spans="1:11" ht="14.4" customHeight="1" thickBot="1" x14ac:dyDescent="0.35">
      <c r="A72" s="439" t="s">
        <v>349</v>
      </c>
      <c r="B72" s="417">
        <v>54.995564748789</v>
      </c>
      <c r="C72" s="417">
        <v>125.62905000000001</v>
      </c>
      <c r="D72" s="418">
        <v>70.633485251210999</v>
      </c>
      <c r="E72" s="419">
        <v>2.2843487574650001</v>
      </c>
      <c r="F72" s="417">
        <v>98.999832857960001</v>
      </c>
      <c r="G72" s="418">
        <v>98.999832857960001</v>
      </c>
      <c r="H72" s="420">
        <v>5.5972</v>
      </c>
      <c r="I72" s="417">
        <v>78.713920000000002</v>
      </c>
      <c r="J72" s="418">
        <v>-20.28591285796</v>
      </c>
      <c r="K72" s="421">
        <v>0.79509144336500004</v>
      </c>
    </row>
    <row r="73" spans="1:11" ht="14.4" customHeight="1" thickBot="1" x14ac:dyDescent="0.35">
      <c r="A73" s="439" t="s">
        <v>350</v>
      </c>
      <c r="B73" s="417">
        <v>80.994025473535999</v>
      </c>
      <c r="C73" s="417">
        <v>43.955300000000001</v>
      </c>
      <c r="D73" s="418">
        <v>-37.038725473535997</v>
      </c>
      <c r="E73" s="419">
        <v>0.54269805387500003</v>
      </c>
      <c r="F73" s="417">
        <v>43.847916650287999</v>
      </c>
      <c r="G73" s="418">
        <v>43.847916650287999</v>
      </c>
      <c r="H73" s="420">
        <v>1.8198399999999999</v>
      </c>
      <c r="I73" s="417">
        <v>62.889310000000002</v>
      </c>
      <c r="J73" s="418">
        <v>19.041393349711001</v>
      </c>
      <c r="K73" s="421">
        <v>1.4342599330670001</v>
      </c>
    </row>
    <row r="74" spans="1:11" ht="14.4" customHeight="1" thickBot="1" x14ac:dyDescent="0.35">
      <c r="A74" s="440" t="s">
        <v>46</v>
      </c>
      <c r="B74" s="422">
        <v>569.99999999996896</v>
      </c>
      <c r="C74" s="422">
        <v>695.18100000000004</v>
      </c>
      <c r="D74" s="423">
        <v>125.181000000032</v>
      </c>
      <c r="E74" s="429">
        <v>1.219615789473</v>
      </c>
      <c r="F74" s="422">
        <v>649.99999999998795</v>
      </c>
      <c r="G74" s="423">
        <v>649.99999999998795</v>
      </c>
      <c r="H74" s="425">
        <v>60.076999999999998</v>
      </c>
      <c r="I74" s="422">
        <v>679.97400000000005</v>
      </c>
      <c r="J74" s="423">
        <v>29.974000000012001</v>
      </c>
      <c r="K74" s="430">
        <v>1.046113846153</v>
      </c>
    </row>
    <row r="75" spans="1:11" ht="14.4" customHeight="1" thickBot="1" x14ac:dyDescent="0.35">
      <c r="A75" s="438" t="s">
        <v>351</v>
      </c>
      <c r="B75" s="422">
        <v>0</v>
      </c>
      <c r="C75" s="422">
        <v>58.167999999999999</v>
      </c>
      <c r="D75" s="423">
        <v>58.167999999999999</v>
      </c>
      <c r="E75" s="424" t="s">
        <v>283</v>
      </c>
      <c r="F75" s="422">
        <v>0</v>
      </c>
      <c r="G75" s="423">
        <v>0</v>
      </c>
      <c r="H75" s="425">
        <v>0.80500000000000005</v>
      </c>
      <c r="I75" s="422">
        <v>51.021999999999998</v>
      </c>
      <c r="J75" s="423">
        <v>51.021999999999998</v>
      </c>
      <c r="K75" s="426" t="s">
        <v>283</v>
      </c>
    </row>
    <row r="76" spans="1:11" ht="14.4" customHeight="1" thickBot="1" x14ac:dyDescent="0.35">
      <c r="A76" s="439" t="s">
        <v>352</v>
      </c>
      <c r="B76" s="417">
        <v>0</v>
      </c>
      <c r="C76" s="417">
        <v>35.247999999999998</v>
      </c>
      <c r="D76" s="418">
        <v>35.247999999999998</v>
      </c>
      <c r="E76" s="427" t="s">
        <v>283</v>
      </c>
      <c r="F76" s="417">
        <v>0</v>
      </c>
      <c r="G76" s="418">
        <v>0</v>
      </c>
      <c r="H76" s="420">
        <v>0.80500000000000005</v>
      </c>
      <c r="I76" s="417">
        <v>41.396999999999998</v>
      </c>
      <c r="J76" s="418">
        <v>41.396999999999998</v>
      </c>
      <c r="K76" s="428" t="s">
        <v>283</v>
      </c>
    </row>
    <row r="77" spans="1:11" ht="14.4" customHeight="1" thickBot="1" x14ac:dyDescent="0.35">
      <c r="A77" s="439" t="s">
        <v>353</v>
      </c>
      <c r="B77" s="417">
        <v>0</v>
      </c>
      <c r="C77" s="417">
        <v>22.92</v>
      </c>
      <c r="D77" s="418">
        <v>22.92</v>
      </c>
      <c r="E77" s="427" t="s">
        <v>283</v>
      </c>
      <c r="F77" s="417">
        <v>0</v>
      </c>
      <c r="G77" s="418">
        <v>0</v>
      </c>
      <c r="H77" s="420">
        <v>0</v>
      </c>
      <c r="I77" s="417">
        <v>9.625</v>
      </c>
      <c r="J77" s="418">
        <v>9.625</v>
      </c>
      <c r="K77" s="428" t="s">
        <v>283</v>
      </c>
    </row>
    <row r="78" spans="1:11" ht="14.4" customHeight="1" thickBot="1" x14ac:dyDescent="0.35">
      <c r="A78" s="438" t="s">
        <v>354</v>
      </c>
      <c r="B78" s="422">
        <v>569.99999999996896</v>
      </c>
      <c r="C78" s="422">
        <v>637.01300000000003</v>
      </c>
      <c r="D78" s="423">
        <v>67.013000000030999</v>
      </c>
      <c r="E78" s="429">
        <v>1.117566666666</v>
      </c>
      <c r="F78" s="422">
        <v>649.99999999998795</v>
      </c>
      <c r="G78" s="423">
        <v>649.99999999998795</v>
      </c>
      <c r="H78" s="425">
        <v>59.271999999999998</v>
      </c>
      <c r="I78" s="422">
        <v>628.4</v>
      </c>
      <c r="J78" s="423">
        <v>-21.599999999986998</v>
      </c>
      <c r="K78" s="430">
        <v>0.96676923076900001</v>
      </c>
    </row>
    <row r="79" spans="1:11" ht="14.4" customHeight="1" thickBot="1" x14ac:dyDescent="0.35">
      <c r="A79" s="439" t="s">
        <v>355</v>
      </c>
      <c r="B79" s="417">
        <v>569.99999999996896</v>
      </c>
      <c r="C79" s="417">
        <v>637.01300000000003</v>
      </c>
      <c r="D79" s="418">
        <v>67.013000000030999</v>
      </c>
      <c r="E79" s="419">
        <v>1.117566666666</v>
      </c>
      <c r="F79" s="417">
        <v>649.99999999998795</v>
      </c>
      <c r="G79" s="418">
        <v>649.99999999998795</v>
      </c>
      <c r="H79" s="420">
        <v>59.271999999999998</v>
      </c>
      <c r="I79" s="417">
        <v>628.4</v>
      </c>
      <c r="J79" s="418">
        <v>-21.599999999986998</v>
      </c>
      <c r="K79" s="421">
        <v>0.96676923076900001</v>
      </c>
    </row>
    <row r="80" spans="1:11" ht="14.4" customHeight="1" thickBot="1" x14ac:dyDescent="0.35">
      <c r="A80" s="438" t="s">
        <v>356</v>
      </c>
      <c r="B80" s="422">
        <v>0</v>
      </c>
      <c r="C80" s="422">
        <v>0</v>
      </c>
      <c r="D80" s="423">
        <v>0</v>
      </c>
      <c r="E80" s="429">
        <v>1</v>
      </c>
      <c r="F80" s="422">
        <v>0</v>
      </c>
      <c r="G80" s="423">
        <v>0</v>
      </c>
      <c r="H80" s="425">
        <v>0</v>
      </c>
      <c r="I80" s="422">
        <v>0.55200000000000005</v>
      </c>
      <c r="J80" s="423">
        <v>0.55200000000000005</v>
      </c>
      <c r="K80" s="426" t="s">
        <v>289</v>
      </c>
    </row>
    <row r="81" spans="1:11" ht="14.4" customHeight="1" thickBot="1" x14ac:dyDescent="0.35">
      <c r="A81" s="439" t="s">
        <v>357</v>
      </c>
      <c r="B81" s="417">
        <v>0</v>
      </c>
      <c r="C81" s="417">
        <v>0</v>
      </c>
      <c r="D81" s="418">
        <v>0</v>
      </c>
      <c r="E81" s="419">
        <v>1</v>
      </c>
      <c r="F81" s="417">
        <v>0</v>
      </c>
      <c r="G81" s="418">
        <v>0</v>
      </c>
      <c r="H81" s="420">
        <v>0</v>
      </c>
      <c r="I81" s="417">
        <v>0.55200000000000005</v>
      </c>
      <c r="J81" s="418">
        <v>0.55200000000000005</v>
      </c>
      <c r="K81" s="428" t="s">
        <v>289</v>
      </c>
    </row>
    <row r="82" spans="1:11" ht="14.4" customHeight="1" thickBot="1" x14ac:dyDescent="0.35">
      <c r="A82" s="437" t="s">
        <v>47</v>
      </c>
      <c r="B82" s="417">
        <v>1216.21264148572</v>
      </c>
      <c r="C82" s="417">
        <v>1305.41338</v>
      </c>
      <c r="D82" s="418">
        <v>89.200738514283003</v>
      </c>
      <c r="E82" s="419">
        <v>1.073343045016</v>
      </c>
      <c r="F82" s="417">
        <v>1494.54069802649</v>
      </c>
      <c r="G82" s="418">
        <v>1494.54069802649</v>
      </c>
      <c r="H82" s="420">
        <v>140.93321</v>
      </c>
      <c r="I82" s="417">
        <v>1261.58195</v>
      </c>
      <c r="J82" s="418">
        <v>-232.95874802648601</v>
      </c>
      <c r="K82" s="421">
        <v>0.84412686229599998</v>
      </c>
    </row>
    <row r="83" spans="1:11" ht="14.4" customHeight="1" thickBot="1" x14ac:dyDescent="0.35">
      <c r="A83" s="438" t="s">
        <v>358</v>
      </c>
      <c r="B83" s="422">
        <v>30.663210182676998</v>
      </c>
      <c r="C83" s="422">
        <v>4.8663499999999997</v>
      </c>
      <c r="D83" s="423">
        <v>-25.796860182677001</v>
      </c>
      <c r="E83" s="429">
        <v>0.15870321375300001</v>
      </c>
      <c r="F83" s="422">
        <v>1.945074184314</v>
      </c>
      <c r="G83" s="423">
        <v>1.945074184314</v>
      </c>
      <c r="H83" s="425">
        <v>0</v>
      </c>
      <c r="I83" s="422">
        <v>1.8794</v>
      </c>
      <c r="J83" s="423">
        <v>-6.5674184314000003E-2</v>
      </c>
      <c r="K83" s="430">
        <v>0.96623564034499998</v>
      </c>
    </row>
    <row r="84" spans="1:11" ht="14.4" customHeight="1" thickBot="1" x14ac:dyDescent="0.35">
      <c r="A84" s="439" t="s">
        <v>359</v>
      </c>
      <c r="B84" s="417">
        <v>30.663210182676998</v>
      </c>
      <c r="C84" s="417">
        <v>4.8663499999999997</v>
      </c>
      <c r="D84" s="418">
        <v>-25.796860182677001</v>
      </c>
      <c r="E84" s="419">
        <v>0.15870321375300001</v>
      </c>
      <c r="F84" s="417">
        <v>1.945074184314</v>
      </c>
      <c r="G84" s="418">
        <v>1.945074184314</v>
      </c>
      <c r="H84" s="420">
        <v>0</v>
      </c>
      <c r="I84" s="417">
        <v>1.8794</v>
      </c>
      <c r="J84" s="418">
        <v>-6.5674184314000003E-2</v>
      </c>
      <c r="K84" s="421">
        <v>0.96623564034499998</v>
      </c>
    </row>
    <row r="85" spans="1:11" ht="14.4" customHeight="1" thickBot="1" x14ac:dyDescent="0.35">
      <c r="A85" s="438" t="s">
        <v>360</v>
      </c>
      <c r="B85" s="422">
        <v>163.35402960048</v>
      </c>
      <c r="C85" s="422">
        <v>165.42293000000001</v>
      </c>
      <c r="D85" s="423">
        <v>2.0689003995189998</v>
      </c>
      <c r="E85" s="429">
        <v>1.0126651323169999</v>
      </c>
      <c r="F85" s="422">
        <v>159.175216607745</v>
      </c>
      <c r="G85" s="423">
        <v>159.175216607745</v>
      </c>
      <c r="H85" s="425">
        <v>16.294260000000001</v>
      </c>
      <c r="I85" s="422">
        <v>191.07444000000001</v>
      </c>
      <c r="J85" s="423">
        <v>31.899223392254001</v>
      </c>
      <c r="K85" s="430">
        <v>1.200403203916</v>
      </c>
    </row>
    <row r="86" spans="1:11" ht="14.4" customHeight="1" thickBot="1" x14ac:dyDescent="0.35">
      <c r="A86" s="439" t="s">
        <v>361</v>
      </c>
      <c r="B86" s="417">
        <v>50.591833555511997</v>
      </c>
      <c r="C86" s="417">
        <v>45.484699999999997</v>
      </c>
      <c r="D86" s="418">
        <v>-5.1071335555120001</v>
      </c>
      <c r="E86" s="419">
        <v>0.89905221462399998</v>
      </c>
      <c r="F86" s="417">
        <v>46.530221672930999</v>
      </c>
      <c r="G86" s="418">
        <v>46.530221672930999</v>
      </c>
      <c r="H86" s="420">
        <v>5.6054000000000004</v>
      </c>
      <c r="I86" s="417">
        <v>55.070399999999999</v>
      </c>
      <c r="J86" s="418">
        <v>8.5401783270680003</v>
      </c>
      <c r="K86" s="421">
        <v>1.1835404608010001</v>
      </c>
    </row>
    <row r="87" spans="1:11" ht="14.4" customHeight="1" thickBot="1" x14ac:dyDescent="0.35">
      <c r="A87" s="439" t="s">
        <v>362</v>
      </c>
      <c r="B87" s="417">
        <v>111.741170349415</v>
      </c>
      <c r="C87" s="417">
        <v>119.93823</v>
      </c>
      <c r="D87" s="418">
        <v>8.1970596505840003</v>
      </c>
      <c r="E87" s="419">
        <v>1.073357560377</v>
      </c>
      <c r="F87" s="417">
        <v>112.64499493481399</v>
      </c>
      <c r="G87" s="418">
        <v>112.64499493481399</v>
      </c>
      <c r="H87" s="420">
        <v>10.68886</v>
      </c>
      <c r="I87" s="417">
        <v>136.00404</v>
      </c>
      <c r="J87" s="418">
        <v>23.359045065185999</v>
      </c>
      <c r="K87" s="421">
        <v>1.20736869027</v>
      </c>
    </row>
    <row r="88" spans="1:11" ht="14.4" customHeight="1" thickBot="1" x14ac:dyDescent="0.35">
      <c r="A88" s="438" t="s">
        <v>363</v>
      </c>
      <c r="B88" s="422">
        <v>8.3126051466819995</v>
      </c>
      <c r="C88" s="422">
        <v>9.3149999999999995</v>
      </c>
      <c r="D88" s="423">
        <v>1.002394853317</v>
      </c>
      <c r="E88" s="429">
        <v>1.120587329198</v>
      </c>
      <c r="F88" s="422">
        <v>9.6485751906269996</v>
      </c>
      <c r="G88" s="423">
        <v>9.6485751906269996</v>
      </c>
      <c r="H88" s="425">
        <v>0</v>
      </c>
      <c r="I88" s="422">
        <v>9.7200000000000006</v>
      </c>
      <c r="J88" s="423">
        <v>7.1424809372000006E-2</v>
      </c>
      <c r="K88" s="430">
        <v>1.0074026276370001</v>
      </c>
    </row>
    <row r="89" spans="1:11" ht="14.4" customHeight="1" thickBot="1" x14ac:dyDescent="0.35">
      <c r="A89" s="439" t="s">
        <v>364</v>
      </c>
      <c r="B89" s="417">
        <v>8.3126051466819995</v>
      </c>
      <c r="C89" s="417">
        <v>9.3149999999999995</v>
      </c>
      <c r="D89" s="418">
        <v>1.002394853317</v>
      </c>
      <c r="E89" s="419">
        <v>1.120587329198</v>
      </c>
      <c r="F89" s="417">
        <v>9.6485751906269996</v>
      </c>
      <c r="G89" s="418">
        <v>9.6485751906269996</v>
      </c>
      <c r="H89" s="420">
        <v>0</v>
      </c>
      <c r="I89" s="417">
        <v>9.7200000000000006</v>
      </c>
      <c r="J89" s="418">
        <v>7.1424809372000006E-2</v>
      </c>
      <c r="K89" s="421">
        <v>1.0074026276370001</v>
      </c>
    </row>
    <row r="90" spans="1:11" ht="14.4" customHeight="1" thickBot="1" x14ac:dyDescent="0.35">
      <c r="A90" s="438" t="s">
        <v>365</v>
      </c>
      <c r="B90" s="422">
        <v>240.29240664519401</v>
      </c>
      <c r="C90" s="422">
        <v>238.58993000000001</v>
      </c>
      <c r="D90" s="423">
        <v>-1.702476645193</v>
      </c>
      <c r="E90" s="429">
        <v>0.99291497942399998</v>
      </c>
      <c r="F90" s="422">
        <v>240.51846424889899</v>
      </c>
      <c r="G90" s="423">
        <v>240.51846424889899</v>
      </c>
      <c r="H90" s="425">
        <v>24.299510000000001</v>
      </c>
      <c r="I90" s="422">
        <v>241.72055</v>
      </c>
      <c r="J90" s="423">
        <v>1.2020857511</v>
      </c>
      <c r="K90" s="430">
        <v>1.0049978938399999</v>
      </c>
    </row>
    <row r="91" spans="1:11" ht="14.4" customHeight="1" thickBot="1" x14ac:dyDescent="0.35">
      <c r="A91" s="439" t="s">
        <v>366</v>
      </c>
      <c r="B91" s="417">
        <v>37.000037570532001</v>
      </c>
      <c r="C91" s="417">
        <v>33.206310000000002</v>
      </c>
      <c r="D91" s="418">
        <v>-3.7937275705319999</v>
      </c>
      <c r="E91" s="419">
        <v>0.897466926532</v>
      </c>
      <c r="F91" s="417">
        <v>33.945698530954999</v>
      </c>
      <c r="G91" s="418">
        <v>33.945698530954999</v>
      </c>
      <c r="H91" s="420">
        <v>1.3330599999999999</v>
      </c>
      <c r="I91" s="417">
        <v>21.212</v>
      </c>
      <c r="J91" s="418">
        <v>-12.733698530954999</v>
      </c>
      <c r="K91" s="421">
        <v>0.62488035061799996</v>
      </c>
    </row>
    <row r="92" spans="1:11" ht="14.4" customHeight="1" thickBot="1" x14ac:dyDescent="0.35">
      <c r="A92" s="439" t="s">
        <v>367</v>
      </c>
      <c r="B92" s="417">
        <v>0.23809013443099999</v>
      </c>
      <c r="C92" s="417">
        <v>0.48599999999999999</v>
      </c>
      <c r="D92" s="418">
        <v>0.24790986556799999</v>
      </c>
      <c r="E92" s="419">
        <v>2.0412437548510001</v>
      </c>
      <c r="F92" s="417">
        <v>0.41625940052400001</v>
      </c>
      <c r="G92" s="418">
        <v>0.41625940052400001</v>
      </c>
      <c r="H92" s="420">
        <v>0</v>
      </c>
      <c r="I92" s="417">
        <v>0.72699999999999998</v>
      </c>
      <c r="J92" s="418">
        <v>0.31074059947499999</v>
      </c>
      <c r="K92" s="421">
        <v>1.746507103703</v>
      </c>
    </row>
    <row r="93" spans="1:11" ht="14.4" customHeight="1" thickBot="1" x14ac:dyDescent="0.35">
      <c r="A93" s="439" t="s">
        <v>368</v>
      </c>
      <c r="B93" s="417">
        <v>203.05427894023001</v>
      </c>
      <c r="C93" s="417">
        <v>204.89761999999999</v>
      </c>
      <c r="D93" s="418">
        <v>1.84334105977</v>
      </c>
      <c r="E93" s="419">
        <v>1.0090780705010001</v>
      </c>
      <c r="F93" s="417">
        <v>206.156506317419</v>
      </c>
      <c r="G93" s="418">
        <v>206.156506317419</v>
      </c>
      <c r="H93" s="420">
        <v>22.966449999999998</v>
      </c>
      <c r="I93" s="417">
        <v>219.78155000000001</v>
      </c>
      <c r="J93" s="418">
        <v>13.625043682579999</v>
      </c>
      <c r="K93" s="421">
        <v>1.0660907769820001</v>
      </c>
    </row>
    <row r="94" spans="1:11" ht="14.4" customHeight="1" thickBot="1" x14ac:dyDescent="0.35">
      <c r="A94" s="438" t="s">
        <v>369</v>
      </c>
      <c r="B94" s="422">
        <v>743.54439403958497</v>
      </c>
      <c r="C94" s="422">
        <v>803.13643000000002</v>
      </c>
      <c r="D94" s="423">
        <v>59.592035960414997</v>
      </c>
      <c r="E94" s="429">
        <v>1.0801459017620001</v>
      </c>
      <c r="F94" s="422">
        <v>753.25336779490601</v>
      </c>
      <c r="G94" s="423">
        <v>753.25336779490601</v>
      </c>
      <c r="H94" s="425">
        <v>55.439959999999999</v>
      </c>
      <c r="I94" s="422">
        <v>722.85357999999997</v>
      </c>
      <c r="J94" s="423">
        <v>-30.399787794904999</v>
      </c>
      <c r="K94" s="430">
        <v>0.95964201542899996</v>
      </c>
    </row>
    <row r="95" spans="1:11" ht="14.4" customHeight="1" thickBot="1" x14ac:dyDescent="0.35">
      <c r="A95" s="439" t="s">
        <v>370</v>
      </c>
      <c r="B95" s="417">
        <v>6.0078406763640002</v>
      </c>
      <c r="C95" s="417">
        <v>0</v>
      </c>
      <c r="D95" s="418">
        <v>-6.0078406763640002</v>
      </c>
      <c r="E95" s="419">
        <v>0</v>
      </c>
      <c r="F95" s="417">
        <v>0</v>
      </c>
      <c r="G95" s="418">
        <v>0</v>
      </c>
      <c r="H95" s="420">
        <v>0</v>
      </c>
      <c r="I95" s="417">
        <v>2.6357400000000002</v>
      </c>
      <c r="J95" s="418">
        <v>2.6357400000000002</v>
      </c>
      <c r="K95" s="428" t="s">
        <v>289</v>
      </c>
    </row>
    <row r="96" spans="1:11" ht="14.4" customHeight="1" thickBot="1" x14ac:dyDescent="0.35">
      <c r="A96" s="439" t="s">
        <v>371</v>
      </c>
      <c r="B96" s="417">
        <v>593.99285423983895</v>
      </c>
      <c r="C96" s="417">
        <v>558.97145</v>
      </c>
      <c r="D96" s="418">
        <v>-35.021404239837999</v>
      </c>
      <c r="E96" s="419">
        <v>0.94104069772900001</v>
      </c>
      <c r="F96" s="417">
        <v>523.994106905335</v>
      </c>
      <c r="G96" s="418">
        <v>523.994106905335</v>
      </c>
      <c r="H96" s="420">
        <v>51.869959999999999</v>
      </c>
      <c r="I96" s="417">
        <v>540.92547999999999</v>
      </c>
      <c r="J96" s="418">
        <v>16.931373094664998</v>
      </c>
      <c r="K96" s="421">
        <v>1.032312144109</v>
      </c>
    </row>
    <row r="97" spans="1:11" ht="14.4" customHeight="1" thickBot="1" x14ac:dyDescent="0.35">
      <c r="A97" s="439" t="s">
        <v>372</v>
      </c>
      <c r="B97" s="417">
        <v>14.992266854885999</v>
      </c>
      <c r="C97" s="417">
        <v>19.774460000000001</v>
      </c>
      <c r="D97" s="418">
        <v>4.7821931451130002</v>
      </c>
      <c r="E97" s="419">
        <v>1.318977322869</v>
      </c>
      <c r="F97" s="417">
        <v>16.005830667849001</v>
      </c>
      <c r="G97" s="418">
        <v>16.005830667849001</v>
      </c>
      <c r="H97" s="420">
        <v>0</v>
      </c>
      <c r="I97" s="417">
        <v>12.371</v>
      </c>
      <c r="J97" s="418">
        <v>-3.6348306678490001</v>
      </c>
      <c r="K97" s="421">
        <v>0.77290584017200004</v>
      </c>
    </row>
    <row r="98" spans="1:11" ht="14.4" customHeight="1" thickBot="1" x14ac:dyDescent="0.35">
      <c r="A98" s="439" t="s">
        <v>373</v>
      </c>
      <c r="B98" s="417">
        <v>123.662877391476</v>
      </c>
      <c r="C98" s="417">
        <v>219.03989999999999</v>
      </c>
      <c r="D98" s="418">
        <v>95.377022608523006</v>
      </c>
      <c r="E98" s="419">
        <v>1.7712664028230001</v>
      </c>
      <c r="F98" s="417">
        <v>206.94248673776801</v>
      </c>
      <c r="G98" s="418">
        <v>206.94248673776801</v>
      </c>
      <c r="H98" s="420">
        <v>3.57</v>
      </c>
      <c r="I98" s="417">
        <v>161.57156000000001</v>
      </c>
      <c r="J98" s="418">
        <v>-45.370926737767</v>
      </c>
      <c r="K98" s="421">
        <v>0.780755863848</v>
      </c>
    </row>
    <row r="99" spans="1:11" ht="14.4" customHeight="1" thickBot="1" x14ac:dyDescent="0.35">
      <c r="A99" s="439" t="s">
        <v>374</v>
      </c>
      <c r="B99" s="417">
        <v>4.8885548770179996</v>
      </c>
      <c r="C99" s="417">
        <v>5.3506200000000002</v>
      </c>
      <c r="D99" s="418">
        <v>0.462065122981</v>
      </c>
      <c r="E99" s="419">
        <v>1.0945197782580001</v>
      </c>
      <c r="F99" s="417">
        <v>6.3109434839530003</v>
      </c>
      <c r="G99" s="418">
        <v>6.3109434839530003</v>
      </c>
      <c r="H99" s="420">
        <v>0</v>
      </c>
      <c r="I99" s="417">
        <v>5.3498000000000001</v>
      </c>
      <c r="J99" s="418">
        <v>-0.96114348395299998</v>
      </c>
      <c r="K99" s="421">
        <v>0.84770209297499999</v>
      </c>
    </row>
    <row r="100" spans="1:11" ht="14.4" customHeight="1" thickBot="1" x14ac:dyDescent="0.35">
      <c r="A100" s="438" t="s">
        <v>375</v>
      </c>
      <c r="B100" s="422">
        <v>30.045995871098</v>
      </c>
      <c r="C100" s="422">
        <v>74.282740000000004</v>
      </c>
      <c r="D100" s="423">
        <v>44.236744128901002</v>
      </c>
      <c r="E100" s="429">
        <v>2.4723008123499999</v>
      </c>
      <c r="F100" s="422">
        <v>329.99999999999397</v>
      </c>
      <c r="G100" s="423">
        <v>329.99999999999397</v>
      </c>
      <c r="H100" s="425">
        <v>44.899479999999997</v>
      </c>
      <c r="I100" s="422">
        <v>94.333979999999997</v>
      </c>
      <c r="J100" s="423">
        <v>-235.66601999999401</v>
      </c>
      <c r="K100" s="430">
        <v>0.28586054545400003</v>
      </c>
    </row>
    <row r="101" spans="1:11" ht="14.4" customHeight="1" thickBot="1" x14ac:dyDescent="0.35">
      <c r="A101" s="439" t="s">
        <v>376</v>
      </c>
      <c r="B101" s="417">
        <v>0</v>
      </c>
      <c r="C101" s="417">
        <v>9.3774999999999995</v>
      </c>
      <c r="D101" s="418">
        <v>9.3774999999999995</v>
      </c>
      <c r="E101" s="427" t="s">
        <v>289</v>
      </c>
      <c r="F101" s="417">
        <v>0</v>
      </c>
      <c r="G101" s="418">
        <v>0</v>
      </c>
      <c r="H101" s="420">
        <v>0</v>
      </c>
      <c r="I101" s="417">
        <v>0</v>
      </c>
      <c r="J101" s="418">
        <v>0</v>
      </c>
      <c r="K101" s="428" t="s">
        <v>283</v>
      </c>
    </row>
    <row r="102" spans="1:11" ht="14.4" customHeight="1" thickBot="1" x14ac:dyDescent="0.35">
      <c r="A102" s="439" t="s">
        <v>377</v>
      </c>
      <c r="B102" s="417">
        <v>0</v>
      </c>
      <c r="C102" s="417">
        <v>64.905240000000006</v>
      </c>
      <c r="D102" s="418">
        <v>64.905240000000006</v>
      </c>
      <c r="E102" s="427" t="s">
        <v>283</v>
      </c>
      <c r="F102" s="417">
        <v>99.999999999997996</v>
      </c>
      <c r="G102" s="418">
        <v>99.999999999997996</v>
      </c>
      <c r="H102" s="420">
        <v>44.899479999999997</v>
      </c>
      <c r="I102" s="417">
        <v>94.333979999999997</v>
      </c>
      <c r="J102" s="418">
        <v>-5.6660199999980003</v>
      </c>
      <c r="K102" s="421">
        <v>0.94333979999999995</v>
      </c>
    </row>
    <row r="103" spans="1:11" ht="14.4" customHeight="1" thickBot="1" x14ac:dyDescent="0.35">
      <c r="A103" s="439" t="s">
        <v>378</v>
      </c>
      <c r="B103" s="417">
        <v>0</v>
      </c>
      <c r="C103" s="417">
        <v>0</v>
      </c>
      <c r="D103" s="418">
        <v>0</v>
      </c>
      <c r="E103" s="419">
        <v>1</v>
      </c>
      <c r="F103" s="417">
        <v>229.99999999999599</v>
      </c>
      <c r="G103" s="418">
        <v>229.99999999999599</v>
      </c>
      <c r="H103" s="420">
        <v>0</v>
      </c>
      <c r="I103" s="417">
        <v>0</v>
      </c>
      <c r="J103" s="418">
        <v>-229.99999999999599</v>
      </c>
      <c r="K103" s="421">
        <v>0</v>
      </c>
    </row>
    <row r="104" spans="1:11" ht="14.4" customHeight="1" thickBot="1" x14ac:dyDescent="0.35">
      <c r="A104" s="438" t="s">
        <v>379</v>
      </c>
      <c r="B104" s="422">
        <v>0</v>
      </c>
      <c r="C104" s="422">
        <v>9.8000000000000007</v>
      </c>
      <c r="D104" s="423">
        <v>9.8000000000000007</v>
      </c>
      <c r="E104" s="424" t="s">
        <v>289</v>
      </c>
      <c r="F104" s="422">
        <v>0</v>
      </c>
      <c r="G104" s="423">
        <v>0</v>
      </c>
      <c r="H104" s="425">
        <v>0</v>
      </c>
      <c r="I104" s="422">
        <v>0</v>
      </c>
      <c r="J104" s="423">
        <v>0</v>
      </c>
      <c r="K104" s="426" t="s">
        <v>283</v>
      </c>
    </row>
    <row r="105" spans="1:11" ht="14.4" customHeight="1" thickBot="1" x14ac:dyDescent="0.35">
      <c r="A105" s="439" t="s">
        <v>380</v>
      </c>
      <c r="B105" s="417">
        <v>0</v>
      </c>
      <c r="C105" s="417">
        <v>9.8000000000000007</v>
      </c>
      <c r="D105" s="418">
        <v>9.8000000000000007</v>
      </c>
      <c r="E105" s="427" t="s">
        <v>289</v>
      </c>
      <c r="F105" s="417">
        <v>0</v>
      </c>
      <c r="G105" s="418">
        <v>0</v>
      </c>
      <c r="H105" s="420">
        <v>0</v>
      </c>
      <c r="I105" s="417">
        <v>0</v>
      </c>
      <c r="J105" s="418">
        <v>0</v>
      </c>
      <c r="K105" s="428" t="s">
        <v>283</v>
      </c>
    </row>
    <row r="106" spans="1:11" ht="14.4" customHeight="1" thickBot="1" x14ac:dyDescent="0.35">
      <c r="A106" s="436" t="s">
        <v>48</v>
      </c>
      <c r="B106" s="417">
        <v>29085.992164461401</v>
      </c>
      <c r="C106" s="417">
        <v>32524.021809999998</v>
      </c>
      <c r="D106" s="418">
        <v>3438.0296455386301</v>
      </c>
      <c r="E106" s="419">
        <v>1.1182022475319999</v>
      </c>
      <c r="F106" s="417">
        <v>32372.1600595011</v>
      </c>
      <c r="G106" s="418">
        <v>32372.1600595011</v>
      </c>
      <c r="H106" s="420">
        <v>2665.6338900000001</v>
      </c>
      <c r="I106" s="417">
        <v>33329.79694</v>
      </c>
      <c r="J106" s="418">
        <v>957.63688049892505</v>
      </c>
      <c r="K106" s="421">
        <v>1.0295821124919999</v>
      </c>
    </row>
    <row r="107" spans="1:11" ht="14.4" customHeight="1" thickBot="1" x14ac:dyDescent="0.35">
      <c r="A107" s="440" t="s">
        <v>381</v>
      </c>
      <c r="B107" s="422">
        <v>21570.999999998799</v>
      </c>
      <c r="C107" s="422">
        <v>24162.235000000001</v>
      </c>
      <c r="D107" s="423">
        <v>2591.2350000011902</v>
      </c>
      <c r="E107" s="429">
        <v>1.1201258634269999</v>
      </c>
      <c r="F107" s="422">
        <v>23998.9999999996</v>
      </c>
      <c r="G107" s="423">
        <v>23998.9999999996</v>
      </c>
      <c r="H107" s="425">
        <v>1994.625</v>
      </c>
      <c r="I107" s="422">
        <v>24780.991999999998</v>
      </c>
      <c r="J107" s="423">
        <v>781.99200000043504</v>
      </c>
      <c r="K107" s="430">
        <v>1.0325843576810001</v>
      </c>
    </row>
    <row r="108" spans="1:11" ht="14.4" customHeight="1" thickBot="1" x14ac:dyDescent="0.35">
      <c r="A108" s="438" t="s">
        <v>382</v>
      </c>
      <c r="B108" s="422">
        <v>21470.999999998799</v>
      </c>
      <c r="C108" s="422">
        <v>24076.379000000001</v>
      </c>
      <c r="D108" s="423">
        <v>2605.37900000119</v>
      </c>
      <c r="E108" s="429">
        <v>1.1213440920310001</v>
      </c>
      <c r="F108" s="422">
        <v>23922.9999999996</v>
      </c>
      <c r="G108" s="423">
        <v>23922.9999999996</v>
      </c>
      <c r="H108" s="425">
        <v>1992.625</v>
      </c>
      <c r="I108" s="422">
        <v>24625.456999999999</v>
      </c>
      <c r="J108" s="423">
        <v>702.45700000043905</v>
      </c>
      <c r="K108" s="430">
        <v>1.029363248756</v>
      </c>
    </row>
    <row r="109" spans="1:11" ht="14.4" customHeight="1" thickBot="1" x14ac:dyDescent="0.35">
      <c r="A109" s="439" t="s">
        <v>383</v>
      </c>
      <c r="B109" s="417">
        <v>21470.999999998799</v>
      </c>
      <c r="C109" s="417">
        <v>24076.379000000001</v>
      </c>
      <c r="D109" s="418">
        <v>2605.37900000119</v>
      </c>
      <c r="E109" s="419">
        <v>1.1213440920310001</v>
      </c>
      <c r="F109" s="417">
        <v>23922.9999999996</v>
      </c>
      <c r="G109" s="418">
        <v>23922.9999999996</v>
      </c>
      <c r="H109" s="420">
        <v>1992.625</v>
      </c>
      <c r="I109" s="417">
        <v>24625.456999999999</v>
      </c>
      <c r="J109" s="418">
        <v>702.45700000043905</v>
      </c>
      <c r="K109" s="421">
        <v>1.029363248756</v>
      </c>
    </row>
    <row r="110" spans="1:11" ht="14.4" customHeight="1" thickBot="1" x14ac:dyDescent="0.35">
      <c r="A110" s="438" t="s">
        <v>384</v>
      </c>
      <c r="B110" s="422">
        <v>99.999999999994003</v>
      </c>
      <c r="C110" s="422">
        <v>0</v>
      </c>
      <c r="D110" s="423">
        <v>-99.999999999994003</v>
      </c>
      <c r="E110" s="429">
        <v>0</v>
      </c>
      <c r="F110" s="422">
        <v>0</v>
      </c>
      <c r="G110" s="423">
        <v>0</v>
      </c>
      <c r="H110" s="425">
        <v>2</v>
      </c>
      <c r="I110" s="422">
        <v>11.1</v>
      </c>
      <c r="J110" s="423">
        <v>11.1</v>
      </c>
      <c r="K110" s="426" t="s">
        <v>289</v>
      </c>
    </row>
    <row r="111" spans="1:11" ht="14.4" customHeight="1" thickBot="1" x14ac:dyDescent="0.35">
      <c r="A111" s="439" t="s">
        <v>385</v>
      </c>
      <c r="B111" s="417">
        <v>99.999999999994003</v>
      </c>
      <c r="C111" s="417">
        <v>0</v>
      </c>
      <c r="D111" s="418">
        <v>-99.999999999994003</v>
      </c>
      <c r="E111" s="419">
        <v>0</v>
      </c>
      <c r="F111" s="417">
        <v>0</v>
      </c>
      <c r="G111" s="418">
        <v>0</v>
      </c>
      <c r="H111" s="420">
        <v>2</v>
      </c>
      <c r="I111" s="417">
        <v>11.1</v>
      </c>
      <c r="J111" s="418">
        <v>11.1</v>
      </c>
      <c r="K111" s="428" t="s">
        <v>289</v>
      </c>
    </row>
    <row r="112" spans="1:11" ht="14.4" customHeight="1" thickBot="1" x14ac:dyDescent="0.35">
      <c r="A112" s="438" t="s">
        <v>386</v>
      </c>
      <c r="B112" s="422">
        <v>0</v>
      </c>
      <c r="C112" s="422">
        <v>0</v>
      </c>
      <c r="D112" s="423">
        <v>0</v>
      </c>
      <c r="E112" s="429">
        <v>1</v>
      </c>
      <c r="F112" s="422">
        <v>0</v>
      </c>
      <c r="G112" s="423">
        <v>0</v>
      </c>
      <c r="H112" s="425">
        <v>0</v>
      </c>
      <c r="I112" s="422">
        <v>85.17</v>
      </c>
      <c r="J112" s="423">
        <v>85.17</v>
      </c>
      <c r="K112" s="426" t="s">
        <v>289</v>
      </c>
    </row>
    <row r="113" spans="1:11" ht="14.4" customHeight="1" thickBot="1" x14ac:dyDescent="0.35">
      <c r="A113" s="439" t="s">
        <v>387</v>
      </c>
      <c r="B113" s="417">
        <v>0</v>
      </c>
      <c r="C113" s="417">
        <v>0</v>
      </c>
      <c r="D113" s="418">
        <v>0</v>
      </c>
      <c r="E113" s="419">
        <v>1</v>
      </c>
      <c r="F113" s="417">
        <v>0</v>
      </c>
      <c r="G113" s="418">
        <v>0</v>
      </c>
      <c r="H113" s="420">
        <v>0</v>
      </c>
      <c r="I113" s="417">
        <v>85.17</v>
      </c>
      <c r="J113" s="418">
        <v>85.17</v>
      </c>
      <c r="K113" s="428" t="s">
        <v>289</v>
      </c>
    </row>
    <row r="114" spans="1:11" ht="14.4" customHeight="1" thickBot="1" x14ac:dyDescent="0.35">
      <c r="A114" s="438" t="s">
        <v>388</v>
      </c>
      <c r="B114" s="422">
        <v>0</v>
      </c>
      <c r="C114" s="422">
        <v>85.855999999999995</v>
      </c>
      <c r="D114" s="423">
        <v>85.855999999999995</v>
      </c>
      <c r="E114" s="424" t="s">
        <v>283</v>
      </c>
      <c r="F114" s="422">
        <v>75.999999999997996</v>
      </c>
      <c r="G114" s="423">
        <v>75.999999999997996</v>
      </c>
      <c r="H114" s="425">
        <v>0</v>
      </c>
      <c r="I114" s="422">
        <v>59.265000000000001</v>
      </c>
      <c r="J114" s="423">
        <v>-16.734999999997999</v>
      </c>
      <c r="K114" s="430">
        <v>0.77980263157800001</v>
      </c>
    </row>
    <row r="115" spans="1:11" ht="14.4" customHeight="1" thickBot="1" x14ac:dyDescent="0.35">
      <c r="A115" s="439" t="s">
        <v>389</v>
      </c>
      <c r="B115" s="417">
        <v>0</v>
      </c>
      <c r="C115" s="417">
        <v>85.855999999999995</v>
      </c>
      <c r="D115" s="418">
        <v>85.855999999999995</v>
      </c>
      <c r="E115" s="427" t="s">
        <v>283</v>
      </c>
      <c r="F115" s="417">
        <v>75.999999999997996</v>
      </c>
      <c r="G115" s="418">
        <v>75.999999999997996</v>
      </c>
      <c r="H115" s="420">
        <v>0</v>
      </c>
      <c r="I115" s="417">
        <v>59.265000000000001</v>
      </c>
      <c r="J115" s="418">
        <v>-16.734999999997999</v>
      </c>
      <c r="K115" s="421">
        <v>0.77980263157800001</v>
      </c>
    </row>
    <row r="116" spans="1:11" ht="14.4" customHeight="1" thickBot="1" x14ac:dyDescent="0.35">
      <c r="A116" s="437" t="s">
        <v>390</v>
      </c>
      <c r="B116" s="417">
        <v>7299.9921644625701</v>
      </c>
      <c r="C116" s="417">
        <v>8120.1598400000003</v>
      </c>
      <c r="D116" s="418">
        <v>820.16767553742795</v>
      </c>
      <c r="E116" s="419">
        <v>1.1123518569690001</v>
      </c>
      <c r="F116" s="417">
        <v>8134.1600595015198</v>
      </c>
      <c r="G116" s="418">
        <v>8134.1600595015198</v>
      </c>
      <c r="H116" s="420">
        <v>651.08294999999998</v>
      </c>
      <c r="I116" s="417">
        <v>8301.8489499999996</v>
      </c>
      <c r="J116" s="418">
        <v>167.688890498484</v>
      </c>
      <c r="K116" s="421">
        <v>1.0206153910510001</v>
      </c>
    </row>
    <row r="117" spans="1:11" ht="14.4" customHeight="1" thickBot="1" x14ac:dyDescent="0.35">
      <c r="A117" s="438" t="s">
        <v>391</v>
      </c>
      <c r="B117" s="422">
        <v>1931.9999851295599</v>
      </c>
      <c r="C117" s="422">
        <v>2166.9425900000001</v>
      </c>
      <c r="D117" s="423">
        <v>234.942604870444</v>
      </c>
      <c r="E117" s="429">
        <v>1.121605904078</v>
      </c>
      <c r="F117" s="422">
        <v>2152.1600595016398</v>
      </c>
      <c r="G117" s="423">
        <v>2152.1600595016398</v>
      </c>
      <c r="H117" s="425">
        <v>179.33320000000001</v>
      </c>
      <c r="I117" s="422">
        <v>2216.27817</v>
      </c>
      <c r="J117" s="423">
        <v>64.118110498361006</v>
      </c>
      <c r="K117" s="430">
        <v>1.0297924451360001</v>
      </c>
    </row>
    <row r="118" spans="1:11" ht="14.4" customHeight="1" thickBot="1" x14ac:dyDescent="0.35">
      <c r="A118" s="439" t="s">
        <v>392</v>
      </c>
      <c r="B118" s="417">
        <v>1931.9999851295599</v>
      </c>
      <c r="C118" s="417">
        <v>2166.9425900000001</v>
      </c>
      <c r="D118" s="418">
        <v>234.942604870444</v>
      </c>
      <c r="E118" s="419">
        <v>1.121605904078</v>
      </c>
      <c r="F118" s="417">
        <v>2152.1600595016398</v>
      </c>
      <c r="G118" s="418">
        <v>2152.1600595016398</v>
      </c>
      <c r="H118" s="420">
        <v>179.33320000000001</v>
      </c>
      <c r="I118" s="417">
        <v>2216.27817</v>
      </c>
      <c r="J118" s="418">
        <v>64.118110498361006</v>
      </c>
      <c r="K118" s="421">
        <v>1.0297924451360001</v>
      </c>
    </row>
    <row r="119" spans="1:11" ht="14.4" customHeight="1" thickBot="1" x14ac:dyDescent="0.35">
      <c r="A119" s="438" t="s">
        <v>393</v>
      </c>
      <c r="B119" s="422">
        <v>5367.9921793330204</v>
      </c>
      <c r="C119" s="422">
        <v>5953.2172499999997</v>
      </c>
      <c r="D119" s="423">
        <v>585.22507066698404</v>
      </c>
      <c r="E119" s="429">
        <v>1.1090212226680001</v>
      </c>
      <c r="F119" s="422">
        <v>5981.9999999998799</v>
      </c>
      <c r="G119" s="423">
        <v>5981.9999999998799</v>
      </c>
      <c r="H119" s="425">
        <v>471.74975000000001</v>
      </c>
      <c r="I119" s="422">
        <v>6085.57078</v>
      </c>
      <c r="J119" s="423">
        <v>103.57078000012299</v>
      </c>
      <c r="K119" s="430">
        <v>1.0173137378799999</v>
      </c>
    </row>
    <row r="120" spans="1:11" ht="14.4" customHeight="1" thickBot="1" x14ac:dyDescent="0.35">
      <c r="A120" s="439" t="s">
        <v>394</v>
      </c>
      <c r="B120" s="417">
        <v>5367.9921793330204</v>
      </c>
      <c r="C120" s="417">
        <v>5953.2172499999997</v>
      </c>
      <c r="D120" s="418">
        <v>585.22507066698404</v>
      </c>
      <c r="E120" s="419">
        <v>1.1090212226680001</v>
      </c>
      <c r="F120" s="417">
        <v>5981.9999999998799</v>
      </c>
      <c r="G120" s="418">
        <v>5981.9999999998799</v>
      </c>
      <c r="H120" s="420">
        <v>471.74975000000001</v>
      </c>
      <c r="I120" s="417">
        <v>6085.57078</v>
      </c>
      <c r="J120" s="418">
        <v>103.57078000012299</v>
      </c>
      <c r="K120" s="421">
        <v>1.0173137378799999</v>
      </c>
    </row>
    <row r="121" spans="1:11" ht="14.4" customHeight="1" thickBot="1" x14ac:dyDescent="0.35">
      <c r="A121" s="437" t="s">
        <v>395</v>
      </c>
      <c r="B121" s="417">
        <v>214.99999999998801</v>
      </c>
      <c r="C121" s="417">
        <v>241.62697</v>
      </c>
      <c r="D121" s="418">
        <v>26.626970000010999</v>
      </c>
      <c r="E121" s="419">
        <v>1.1238463720930001</v>
      </c>
      <c r="F121" s="417">
        <v>238.999999999995</v>
      </c>
      <c r="G121" s="418">
        <v>238.999999999995</v>
      </c>
      <c r="H121" s="420">
        <v>19.925940000000001</v>
      </c>
      <c r="I121" s="417">
        <v>246.95599000000001</v>
      </c>
      <c r="J121" s="418">
        <v>7.9559900000040003</v>
      </c>
      <c r="K121" s="421">
        <v>1.033288661087</v>
      </c>
    </row>
    <row r="122" spans="1:11" ht="14.4" customHeight="1" thickBot="1" x14ac:dyDescent="0.35">
      <c r="A122" s="438" t="s">
        <v>396</v>
      </c>
      <c r="B122" s="422">
        <v>214.99999999998801</v>
      </c>
      <c r="C122" s="422">
        <v>241.62697</v>
      </c>
      <c r="D122" s="423">
        <v>26.626970000010999</v>
      </c>
      <c r="E122" s="429">
        <v>1.1238463720930001</v>
      </c>
      <c r="F122" s="422">
        <v>238.999999999995</v>
      </c>
      <c r="G122" s="423">
        <v>238.999999999995</v>
      </c>
      <c r="H122" s="425">
        <v>19.925940000000001</v>
      </c>
      <c r="I122" s="422">
        <v>246.95599000000001</v>
      </c>
      <c r="J122" s="423">
        <v>7.9559900000040003</v>
      </c>
      <c r="K122" s="430">
        <v>1.033288661087</v>
      </c>
    </row>
    <row r="123" spans="1:11" ht="14.4" customHeight="1" thickBot="1" x14ac:dyDescent="0.35">
      <c r="A123" s="439" t="s">
        <v>397</v>
      </c>
      <c r="B123" s="417">
        <v>214.99999999998801</v>
      </c>
      <c r="C123" s="417">
        <v>241.62697</v>
      </c>
      <c r="D123" s="418">
        <v>26.626970000010999</v>
      </c>
      <c r="E123" s="419">
        <v>1.1238463720930001</v>
      </c>
      <c r="F123" s="417">
        <v>238.999999999995</v>
      </c>
      <c r="G123" s="418">
        <v>238.999999999995</v>
      </c>
      <c r="H123" s="420">
        <v>19.925940000000001</v>
      </c>
      <c r="I123" s="417">
        <v>246.95599000000001</v>
      </c>
      <c r="J123" s="418">
        <v>7.9559900000040003</v>
      </c>
      <c r="K123" s="421">
        <v>1.033288661087</v>
      </c>
    </row>
    <row r="124" spans="1:11" ht="14.4" customHeight="1" thickBot="1" x14ac:dyDescent="0.35">
      <c r="A124" s="436" t="s">
        <v>398</v>
      </c>
      <c r="B124" s="417">
        <v>0</v>
      </c>
      <c r="C124" s="417">
        <v>11</v>
      </c>
      <c r="D124" s="418">
        <v>11</v>
      </c>
      <c r="E124" s="427" t="s">
        <v>283</v>
      </c>
      <c r="F124" s="417">
        <v>0</v>
      </c>
      <c r="G124" s="418">
        <v>0</v>
      </c>
      <c r="H124" s="420">
        <v>0</v>
      </c>
      <c r="I124" s="417">
        <v>0</v>
      </c>
      <c r="J124" s="418">
        <v>0</v>
      </c>
      <c r="K124" s="428" t="s">
        <v>283</v>
      </c>
    </row>
    <row r="125" spans="1:11" ht="14.4" customHeight="1" thickBot="1" x14ac:dyDescent="0.35">
      <c r="A125" s="437" t="s">
        <v>399</v>
      </c>
      <c r="B125" s="417">
        <v>0</v>
      </c>
      <c r="C125" s="417">
        <v>11</v>
      </c>
      <c r="D125" s="418">
        <v>11</v>
      </c>
      <c r="E125" s="427" t="s">
        <v>283</v>
      </c>
      <c r="F125" s="417">
        <v>0</v>
      </c>
      <c r="G125" s="418">
        <v>0</v>
      </c>
      <c r="H125" s="420">
        <v>0</v>
      </c>
      <c r="I125" s="417">
        <v>0</v>
      </c>
      <c r="J125" s="418">
        <v>0</v>
      </c>
      <c r="K125" s="428" t="s">
        <v>283</v>
      </c>
    </row>
    <row r="126" spans="1:11" ht="14.4" customHeight="1" thickBot="1" x14ac:dyDescent="0.35">
      <c r="A126" s="438" t="s">
        <v>400</v>
      </c>
      <c r="B126" s="422">
        <v>0</v>
      </c>
      <c r="C126" s="422">
        <v>11</v>
      </c>
      <c r="D126" s="423">
        <v>11</v>
      </c>
      <c r="E126" s="424" t="s">
        <v>283</v>
      </c>
      <c r="F126" s="422">
        <v>0</v>
      </c>
      <c r="G126" s="423">
        <v>0</v>
      </c>
      <c r="H126" s="425">
        <v>0</v>
      </c>
      <c r="I126" s="422">
        <v>0</v>
      </c>
      <c r="J126" s="423">
        <v>0</v>
      </c>
      <c r="K126" s="426" t="s">
        <v>283</v>
      </c>
    </row>
    <row r="127" spans="1:11" ht="14.4" customHeight="1" thickBot="1" x14ac:dyDescent="0.35">
      <c r="A127" s="439" t="s">
        <v>401</v>
      </c>
      <c r="B127" s="417">
        <v>0</v>
      </c>
      <c r="C127" s="417">
        <v>11</v>
      </c>
      <c r="D127" s="418">
        <v>11</v>
      </c>
      <c r="E127" s="427" t="s">
        <v>283</v>
      </c>
      <c r="F127" s="417">
        <v>0</v>
      </c>
      <c r="G127" s="418">
        <v>0</v>
      </c>
      <c r="H127" s="420">
        <v>0</v>
      </c>
      <c r="I127" s="417">
        <v>0</v>
      </c>
      <c r="J127" s="418">
        <v>0</v>
      </c>
      <c r="K127" s="428" t="s">
        <v>283</v>
      </c>
    </row>
    <row r="128" spans="1:11" ht="14.4" customHeight="1" thickBot="1" x14ac:dyDescent="0.35">
      <c r="A128" s="436" t="s">
        <v>402</v>
      </c>
      <c r="B128" s="417">
        <v>44149.999999997599</v>
      </c>
      <c r="C128" s="417">
        <v>47162.858260000001</v>
      </c>
      <c r="D128" s="418">
        <v>3012.8582600024502</v>
      </c>
      <c r="E128" s="419">
        <v>1.0682414101919999</v>
      </c>
      <c r="F128" s="417">
        <v>47876.121171094099</v>
      </c>
      <c r="G128" s="418">
        <v>47876.121171094099</v>
      </c>
      <c r="H128" s="420">
        <v>7070.9206400000003</v>
      </c>
      <c r="I128" s="417">
        <v>53232.288869999997</v>
      </c>
      <c r="J128" s="418">
        <v>5356.1676989059497</v>
      </c>
      <c r="K128" s="421">
        <v>1.1118755564959999</v>
      </c>
    </row>
    <row r="129" spans="1:11" ht="14.4" customHeight="1" thickBot="1" x14ac:dyDescent="0.35">
      <c r="A129" s="437" t="s">
        <v>403</v>
      </c>
      <c r="B129" s="417">
        <v>0</v>
      </c>
      <c r="C129" s="417">
        <v>1.37</v>
      </c>
      <c r="D129" s="418">
        <v>1.37</v>
      </c>
      <c r="E129" s="427" t="s">
        <v>289</v>
      </c>
      <c r="F129" s="417">
        <v>0</v>
      </c>
      <c r="G129" s="418">
        <v>0</v>
      </c>
      <c r="H129" s="420">
        <v>0</v>
      </c>
      <c r="I129" s="417">
        <v>1.837</v>
      </c>
      <c r="J129" s="418">
        <v>1.837</v>
      </c>
      <c r="K129" s="428" t="s">
        <v>283</v>
      </c>
    </row>
    <row r="130" spans="1:11" ht="14.4" customHeight="1" thickBot="1" x14ac:dyDescent="0.35">
      <c r="A130" s="438" t="s">
        <v>404</v>
      </c>
      <c r="B130" s="422">
        <v>0</v>
      </c>
      <c r="C130" s="422">
        <v>1.37</v>
      </c>
      <c r="D130" s="423">
        <v>1.37</v>
      </c>
      <c r="E130" s="424" t="s">
        <v>289</v>
      </c>
      <c r="F130" s="422">
        <v>0</v>
      </c>
      <c r="G130" s="423">
        <v>0</v>
      </c>
      <c r="H130" s="425">
        <v>0</v>
      </c>
      <c r="I130" s="422">
        <v>1.837</v>
      </c>
      <c r="J130" s="423">
        <v>1.837</v>
      </c>
      <c r="K130" s="426" t="s">
        <v>283</v>
      </c>
    </row>
    <row r="131" spans="1:11" ht="14.4" customHeight="1" thickBot="1" x14ac:dyDescent="0.35">
      <c r="A131" s="439" t="s">
        <v>405</v>
      </c>
      <c r="B131" s="417">
        <v>0</v>
      </c>
      <c r="C131" s="417">
        <v>1.37</v>
      </c>
      <c r="D131" s="418">
        <v>1.37</v>
      </c>
      <c r="E131" s="427" t="s">
        <v>289</v>
      </c>
      <c r="F131" s="417">
        <v>0</v>
      </c>
      <c r="G131" s="418">
        <v>0</v>
      </c>
      <c r="H131" s="420">
        <v>0</v>
      </c>
      <c r="I131" s="417">
        <v>1.837</v>
      </c>
      <c r="J131" s="418">
        <v>1.837</v>
      </c>
      <c r="K131" s="428" t="s">
        <v>283</v>
      </c>
    </row>
    <row r="132" spans="1:11" ht="14.4" customHeight="1" thickBot="1" x14ac:dyDescent="0.35">
      <c r="A132" s="437" t="s">
        <v>406</v>
      </c>
      <c r="B132" s="417">
        <v>43899.999999997599</v>
      </c>
      <c r="C132" s="417">
        <v>46589.411209999998</v>
      </c>
      <c r="D132" s="418">
        <v>2689.4112100024299</v>
      </c>
      <c r="E132" s="419">
        <v>1.0612622143499999</v>
      </c>
      <c r="F132" s="417">
        <v>47399.999999999098</v>
      </c>
      <c r="G132" s="418">
        <v>47399.999999999098</v>
      </c>
      <c r="H132" s="420">
        <v>7015.4056399999999</v>
      </c>
      <c r="I132" s="417">
        <v>52650.450109999998</v>
      </c>
      <c r="J132" s="418">
        <v>5250.4501100008702</v>
      </c>
      <c r="K132" s="421">
        <v>1.1107689896620001</v>
      </c>
    </row>
    <row r="133" spans="1:11" ht="14.4" customHeight="1" thickBot="1" x14ac:dyDescent="0.35">
      <c r="A133" s="438" t="s">
        <v>407</v>
      </c>
      <c r="B133" s="422">
        <v>43899.999999997599</v>
      </c>
      <c r="C133" s="422">
        <v>46589.411209999998</v>
      </c>
      <c r="D133" s="423">
        <v>2689.4112100024299</v>
      </c>
      <c r="E133" s="429">
        <v>1.0612622143499999</v>
      </c>
      <c r="F133" s="422">
        <v>47399.999999999098</v>
      </c>
      <c r="G133" s="423">
        <v>47399.999999999098</v>
      </c>
      <c r="H133" s="425">
        <v>7015.4056399999999</v>
      </c>
      <c r="I133" s="422">
        <v>52650.450109999998</v>
      </c>
      <c r="J133" s="423">
        <v>5250.4501100008702</v>
      </c>
      <c r="K133" s="430">
        <v>1.1107689896620001</v>
      </c>
    </row>
    <row r="134" spans="1:11" ht="14.4" customHeight="1" thickBot="1" x14ac:dyDescent="0.35">
      <c r="A134" s="439" t="s">
        <v>408</v>
      </c>
      <c r="B134" s="417">
        <v>13999.9999999992</v>
      </c>
      <c r="C134" s="417">
        <v>12184.049000000001</v>
      </c>
      <c r="D134" s="418">
        <v>-1815.9509999992199</v>
      </c>
      <c r="E134" s="419">
        <v>0.87028921428499995</v>
      </c>
      <c r="F134" s="417">
        <v>12299.9999999998</v>
      </c>
      <c r="G134" s="418">
        <v>12299.9999999998</v>
      </c>
      <c r="H134" s="420">
        <v>981.15300000000002</v>
      </c>
      <c r="I134" s="417">
        <v>14433.825999999999</v>
      </c>
      <c r="J134" s="418">
        <v>2133.8260000002301</v>
      </c>
      <c r="K134" s="421">
        <v>1.1734817886169999</v>
      </c>
    </row>
    <row r="135" spans="1:11" ht="14.4" customHeight="1" thickBot="1" x14ac:dyDescent="0.35">
      <c r="A135" s="439" t="s">
        <v>409</v>
      </c>
      <c r="B135" s="417">
        <v>29799.999999998399</v>
      </c>
      <c r="C135" s="417">
        <v>34379.611120000001</v>
      </c>
      <c r="D135" s="418">
        <v>4579.6111200016403</v>
      </c>
      <c r="E135" s="419">
        <v>1.153678225503</v>
      </c>
      <c r="F135" s="417">
        <v>34999.999999999403</v>
      </c>
      <c r="G135" s="418">
        <v>34999.999999999403</v>
      </c>
      <c r="H135" s="420">
        <v>6034.2526399999997</v>
      </c>
      <c r="I135" s="417">
        <v>38192.022550000002</v>
      </c>
      <c r="J135" s="418">
        <v>3192.02255000065</v>
      </c>
      <c r="K135" s="421">
        <v>1.091200644285</v>
      </c>
    </row>
    <row r="136" spans="1:11" ht="14.4" customHeight="1" thickBot="1" x14ac:dyDescent="0.35">
      <c r="A136" s="439" t="s">
        <v>410</v>
      </c>
      <c r="B136" s="417">
        <v>99.999999999994003</v>
      </c>
      <c r="C136" s="417">
        <v>25.751090000000001</v>
      </c>
      <c r="D136" s="418">
        <v>-74.248909999993998</v>
      </c>
      <c r="E136" s="419">
        <v>0.25751089999999999</v>
      </c>
      <c r="F136" s="417">
        <v>99.999999999997996</v>
      </c>
      <c r="G136" s="418">
        <v>99.999999999997996</v>
      </c>
      <c r="H136" s="420">
        <v>0</v>
      </c>
      <c r="I136" s="417">
        <v>24.601559999999999</v>
      </c>
      <c r="J136" s="418">
        <v>-75.398439999998004</v>
      </c>
      <c r="K136" s="421">
        <v>0.2460156</v>
      </c>
    </row>
    <row r="137" spans="1:11" ht="14.4" customHeight="1" thickBot="1" x14ac:dyDescent="0.35">
      <c r="A137" s="437" t="s">
        <v>411</v>
      </c>
      <c r="B137" s="417">
        <v>249.99999999998599</v>
      </c>
      <c r="C137" s="417">
        <v>572.07704999999999</v>
      </c>
      <c r="D137" s="418">
        <v>322.07705000001403</v>
      </c>
      <c r="E137" s="419">
        <v>2.2883081999999999</v>
      </c>
      <c r="F137" s="417">
        <v>476.12117109493101</v>
      </c>
      <c r="G137" s="418">
        <v>476.12117109493101</v>
      </c>
      <c r="H137" s="420">
        <v>55.515000000000001</v>
      </c>
      <c r="I137" s="417">
        <v>580.00175999999999</v>
      </c>
      <c r="J137" s="418">
        <v>103.880588905069</v>
      </c>
      <c r="K137" s="421">
        <v>1.218180990914</v>
      </c>
    </row>
    <row r="138" spans="1:11" ht="14.4" customHeight="1" thickBot="1" x14ac:dyDescent="0.35">
      <c r="A138" s="438" t="s">
        <v>412</v>
      </c>
      <c r="B138" s="422">
        <v>0</v>
      </c>
      <c r="C138" s="422">
        <v>70.620050000000006</v>
      </c>
      <c r="D138" s="423">
        <v>70.620050000000006</v>
      </c>
      <c r="E138" s="424" t="s">
        <v>283</v>
      </c>
      <c r="F138" s="422">
        <v>0</v>
      </c>
      <c r="G138" s="423">
        <v>0</v>
      </c>
      <c r="H138" s="425">
        <v>2.0150000000000001</v>
      </c>
      <c r="I138" s="422">
        <v>39.442329999999998</v>
      </c>
      <c r="J138" s="423">
        <v>39.442329999999998</v>
      </c>
      <c r="K138" s="426" t="s">
        <v>283</v>
      </c>
    </row>
    <row r="139" spans="1:11" ht="14.4" customHeight="1" thickBot="1" x14ac:dyDescent="0.35">
      <c r="A139" s="439" t="s">
        <v>413</v>
      </c>
      <c r="B139" s="417">
        <v>0</v>
      </c>
      <c r="C139" s="417">
        <v>0.80705000000000005</v>
      </c>
      <c r="D139" s="418">
        <v>0.80705000000000005</v>
      </c>
      <c r="E139" s="427" t="s">
        <v>283</v>
      </c>
      <c r="F139" s="417">
        <v>0</v>
      </c>
      <c r="G139" s="418">
        <v>0</v>
      </c>
      <c r="H139" s="420">
        <v>0</v>
      </c>
      <c r="I139" s="417">
        <v>2.30823</v>
      </c>
      <c r="J139" s="418">
        <v>2.30823</v>
      </c>
      <c r="K139" s="428" t="s">
        <v>283</v>
      </c>
    </row>
    <row r="140" spans="1:11" ht="14.4" customHeight="1" thickBot="1" x14ac:dyDescent="0.35">
      <c r="A140" s="439" t="s">
        <v>414</v>
      </c>
      <c r="B140" s="417">
        <v>0</v>
      </c>
      <c r="C140" s="417">
        <v>29.504999999999999</v>
      </c>
      <c r="D140" s="418">
        <v>29.504999999999999</v>
      </c>
      <c r="E140" s="427" t="s">
        <v>289</v>
      </c>
      <c r="F140" s="417">
        <v>0</v>
      </c>
      <c r="G140" s="418">
        <v>0</v>
      </c>
      <c r="H140" s="420">
        <v>0</v>
      </c>
      <c r="I140" s="417">
        <v>0</v>
      </c>
      <c r="J140" s="418">
        <v>0</v>
      </c>
      <c r="K140" s="428" t="s">
        <v>283</v>
      </c>
    </row>
    <row r="141" spans="1:11" ht="14.4" customHeight="1" thickBot="1" x14ac:dyDescent="0.35">
      <c r="A141" s="439" t="s">
        <v>415</v>
      </c>
      <c r="B141" s="417">
        <v>0</v>
      </c>
      <c r="C141" s="417">
        <v>39.908000000000001</v>
      </c>
      <c r="D141" s="418">
        <v>39.908000000000001</v>
      </c>
      <c r="E141" s="427" t="s">
        <v>283</v>
      </c>
      <c r="F141" s="417">
        <v>0</v>
      </c>
      <c r="G141" s="418">
        <v>0</v>
      </c>
      <c r="H141" s="420">
        <v>2.0150000000000001</v>
      </c>
      <c r="I141" s="417">
        <v>36.834099999999999</v>
      </c>
      <c r="J141" s="418">
        <v>36.834099999999999</v>
      </c>
      <c r="K141" s="428" t="s">
        <v>283</v>
      </c>
    </row>
    <row r="142" spans="1:11" ht="14.4" customHeight="1" thickBot="1" x14ac:dyDescent="0.35">
      <c r="A142" s="439" t="s">
        <v>416</v>
      </c>
      <c r="B142" s="417">
        <v>0</v>
      </c>
      <c r="C142" s="417">
        <v>0.4</v>
      </c>
      <c r="D142" s="418">
        <v>0.4</v>
      </c>
      <c r="E142" s="427" t="s">
        <v>289</v>
      </c>
      <c r="F142" s="417">
        <v>0</v>
      </c>
      <c r="G142" s="418">
        <v>0</v>
      </c>
      <c r="H142" s="420">
        <v>0</v>
      </c>
      <c r="I142" s="417">
        <v>0.3</v>
      </c>
      <c r="J142" s="418">
        <v>0.3</v>
      </c>
      <c r="K142" s="428" t="s">
        <v>283</v>
      </c>
    </row>
    <row r="143" spans="1:11" ht="14.4" customHeight="1" thickBot="1" x14ac:dyDescent="0.35">
      <c r="A143" s="438" t="s">
        <v>417</v>
      </c>
      <c r="B143" s="422">
        <v>249.99999999998599</v>
      </c>
      <c r="C143" s="422">
        <v>475.2</v>
      </c>
      <c r="D143" s="423">
        <v>225.200000000014</v>
      </c>
      <c r="E143" s="429">
        <v>1.9008</v>
      </c>
      <c r="F143" s="422">
        <v>476.12117109493101</v>
      </c>
      <c r="G143" s="423">
        <v>476.12117109493101</v>
      </c>
      <c r="H143" s="425">
        <v>53.1</v>
      </c>
      <c r="I143" s="422">
        <v>518.4</v>
      </c>
      <c r="J143" s="423">
        <v>42.278828905068998</v>
      </c>
      <c r="K143" s="430">
        <v>1.088798464491</v>
      </c>
    </row>
    <row r="144" spans="1:11" ht="14.4" customHeight="1" thickBot="1" x14ac:dyDescent="0.35">
      <c r="A144" s="439" t="s">
        <v>418</v>
      </c>
      <c r="B144" s="417">
        <v>249.99999999998599</v>
      </c>
      <c r="C144" s="417">
        <v>475.2</v>
      </c>
      <c r="D144" s="418">
        <v>225.200000000014</v>
      </c>
      <c r="E144" s="419">
        <v>1.9008</v>
      </c>
      <c r="F144" s="417">
        <v>476.12117109493101</v>
      </c>
      <c r="G144" s="418">
        <v>476.12117109493101</v>
      </c>
      <c r="H144" s="420">
        <v>53.1</v>
      </c>
      <c r="I144" s="417">
        <v>518.4</v>
      </c>
      <c r="J144" s="418">
        <v>42.278828905068998</v>
      </c>
      <c r="K144" s="421">
        <v>1.088798464491</v>
      </c>
    </row>
    <row r="145" spans="1:11" ht="14.4" customHeight="1" thickBot="1" x14ac:dyDescent="0.35">
      <c r="A145" s="438" t="s">
        <v>419</v>
      </c>
      <c r="B145" s="422">
        <v>0</v>
      </c>
      <c r="C145" s="422">
        <v>5.2039999999999997</v>
      </c>
      <c r="D145" s="423">
        <v>5.2039999999999997</v>
      </c>
      <c r="E145" s="424" t="s">
        <v>289</v>
      </c>
      <c r="F145" s="422">
        <v>0</v>
      </c>
      <c r="G145" s="423">
        <v>0</v>
      </c>
      <c r="H145" s="425">
        <v>0</v>
      </c>
      <c r="I145" s="422">
        <v>0</v>
      </c>
      <c r="J145" s="423">
        <v>0</v>
      </c>
      <c r="K145" s="426" t="s">
        <v>283</v>
      </c>
    </row>
    <row r="146" spans="1:11" ht="14.4" customHeight="1" thickBot="1" x14ac:dyDescent="0.35">
      <c r="A146" s="439" t="s">
        <v>420</v>
      </c>
      <c r="B146" s="417">
        <v>0</v>
      </c>
      <c r="C146" s="417">
        <v>5.2039999999999997</v>
      </c>
      <c r="D146" s="418">
        <v>5.2039999999999997</v>
      </c>
      <c r="E146" s="427" t="s">
        <v>289</v>
      </c>
      <c r="F146" s="417">
        <v>0</v>
      </c>
      <c r="G146" s="418">
        <v>0</v>
      </c>
      <c r="H146" s="420">
        <v>0</v>
      </c>
      <c r="I146" s="417">
        <v>0</v>
      </c>
      <c r="J146" s="418">
        <v>0</v>
      </c>
      <c r="K146" s="428" t="s">
        <v>283</v>
      </c>
    </row>
    <row r="147" spans="1:11" ht="14.4" customHeight="1" thickBot="1" x14ac:dyDescent="0.35">
      <c r="A147" s="442" t="s">
        <v>421</v>
      </c>
      <c r="B147" s="417">
        <v>0</v>
      </c>
      <c r="C147" s="417">
        <v>18.742000000000001</v>
      </c>
      <c r="D147" s="418">
        <v>18.742000000000001</v>
      </c>
      <c r="E147" s="427" t="s">
        <v>289</v>
      </c>
      <c r="F147" s="417">
        <v>0</v>
      </c>
      <c r="G147" s="418">
        <v>0</v>
      </c>
      <c r="H147" s="420">
        <v>0</v>
      </c>
      <c r="I147" s="417">
        <v>0</v>
      </c>
      <c r="J147" s="418">
        <v>0</v>
      </c>
      <c r="K147" s="428" t="s">
        <v>283</v>
      </c>
    </row>
    <row r="148" spans="1:11" ht="14.4" customHeight="1" thickBot="1" x14ac:dyDescent="0.35">
      <c r="A148" s="439" t="s">
        <v>422</v>
      </c>
      <c r="B148" s="417">
        <v>0</v>
      </c>
      <c r="C148" s="417">
        <v>18.742000000000001</v>
      </c>
      <c r="D148" s="418">
        <v>18.742000000000001</v>
      </c>
      <c r="E148" s="427" t="s">
        <v>289</v>
      </c>
      <c r="F148" s="417">
        <v>0</v>
      </c>
      <c r="G148" s="418">
        <v>0</v>
      </c>
      <c r="H148" s="420">
        <v>0</v>
      </c>
      <c r="I148" s="417">
        <v>0</v>
      </c>
      <c r="J148" s="418">
        <v>0</v>
      </c>
      <c r="K148" s="428" t="s">
        <v>283</v>
      </c>
    </row>
    <row r="149" spans="1:11" ht="14.4" customHeight="1" thickBot="1" x14ac:dyDescent="0.35">
      <c r="A149" s="438" t="s">
        <v>423</v>
      </c>
      <c r="B149" s="422">
        <v>0</v>
      </c>
      <c r="C149" s="422">
        <v>0</v>
      </c>
      <c r="D149" s="423">
        <v>0</v>
      </c>
      <c r="E149" s="429">
        <v>1</v>
      </c>
      <c r="F149" s="422">
        <v>0</v>
      </c>
      <c r="G149" s="423">
        <v>0</v>
      </c>
      <c r="H149" s="425">
        <v>0</v>
      </c>
      <c r="I149" s="422">
        <v>0.65942999999999996</v>
      </c>
      <c r="J149" s="423">
        <v>0.65942999999999996</v>
      </c>
      <c r="K149" s="426" t="s">
        <v>289</v>
      </c>
    </row>
    <row r="150" spans="1:11" ht="14.4" customHeight="1" thickBot="1" x14ac:dyDescent="0.35">
      <c r="A150" s="439" t="s">
        <v>424</v>
      </c>
      <c r="B150" s="417">
        <v>0</v>
      </c>
      <c r="C150" s="417">
        <v>0</v>
      </c>
      <c r="D150" s="418">
        <v>0</v>
      </c>
      <c r="E150" s="419">
        <v>1</v>
      </c>
      <c r="F150" s="417">
        <v>0</v>
      </c>
      <c r="G150" s="418">
        <v>0</v>
      </c>
      <c r="H150" s="420">
        <v>0</v>
      </c>
      <c r="I150" s="417">
        <v>0.65942999999999996</v>
      </c>
      <c r="J150" s="418">
        <v>0.65942999999999996</v>
      </c>
      <c r="K150" s="428" t="s">
        <v>289</v>
      </c>
    </row>
    <row r="151" spans="1:11" ht="14.4" customHeight="1" thickBot="1" x14ac:dyDescent="0.35">
      <c r="A151" s="442" t="s">
        <v>425</v>
      </c>
      <c r="B151" s="417">
        <v>0</v>
      </c>
      <c r="C151" s="417">
        <v>0</v>
      </c>
      <c r="D151" s="418">
        <v>0</v>
      </c>
      <c r="E151" s="419">
        <v>1</v>
      </c>
      <c r="F151" s="417">
        <v>0</v>
      </c>
      <c r="G151" s="418">
        <v>0</v>
      </c>
      <c r="H151" s="420">
        <v>0</v>
      </c>
      <c r="I151" s="417">
        <v>0.7</v>
      </c>
      <c r="J151" s="418">
        <v>0.7</v>
      </c>
      <c r="K151" s="428" t="s">
        <v>289</v>
      </c>
    </row>
    <row r="152" spans="1:11" ht="14.4" customHeight="1" thickBot="1" x14ac:dyDescent="0.35">
      <c r="A152" s="439" t="s">
        <v>426</v>
      </c>
      <c r="B152" s="417">
        <v>0</v>
      </c>
      <c r="C152" s="417">
        <v>0</v>
      </c>
      <c r="D152" s="418">
        <v>0</v>
      </c>
      <c r="E152" s="419">
        <v>1</v>
      </c>
      <c r="F152" s="417">
        <v>0</v>
      </c>
      <c r="G152" s="418">
        <v>0</v>
      </c>
      <c r="H152" s="420">
        <v>0</v>
      </c>
      <c r="I152" s="417">
        <v>0.7</v>
      </c>
      <c r="J152" s="418">
        <v>0.7</v>
      </c>
      <c r="K152" s="428" t="s">
        <v>289</v>
      </c>
    </row>
    <row r="153" spans="1:11" ht="14.4" customHeight="1" thickBot="1" x14ac:dyDescent="0.35">
      <c r="A153" s="442" t="s">
        <v>427</v>
      </c>
      <c r="B153" s="417">
        <v>0</v>
      </c>
      <c r="C153" s="417">
        <v>0.5</v>
      </c>
      <c r="D153" s="418">
        <v>0.5</v>
      </c>
      <c r="E153" s="427" t="s">
        <v>283</v>
      </c>
      <c r="F153" s="417">
        <v>0</v>
      </c>
      <c r="G153" s="418">
        <v>0</v>
      </c>
      <c r="H153" s="420">
        <v>0</v>
      </c>
      <c r="I153" s="417">
        <v>4</v>
      </c>
      <c r="J153" s="418">
        <v>4</v>
      </c>
      <c r="K153" s="428" t="s">
        <v>283</v>
      </c>
    </row>
    <row r="154" spans="1:11" ht="14.4" customHeight="1" thickBot="1" x14ac:dyDescent="0.35">
      <c r="A154" s="439" t="s">
        <v>428</v>
      </c>
      <c r="B154" s="417">
        <v>0</v>
      </c>
      <c r="C154" s="417">
        <v>0.5</v>
      </c>
      <c r="D154" s="418">
        <v>0.5</v>
      </c>
      <c r="E154" s="427" t="s">
        <v>283</v>
      </c>
      <c r="F154" s="417">
        <v>0</v>
      </c>
      <c r="G154" s="418">
        <v>0</v>
      </c>
      <c r="H154" s="420">
        <v>0</v>
      </c>
      <c r="I154" s="417">
        <v>4</v>
      </c>
      <c r="J154" s="418">
        <v>4</v>
      </c>
      <c r="K154" s="428" t="s">
        <v>283</v>
      </c>
    </row>
    <row r="155" spans="1:11" ht="14.4" customHeight="1" thickBot="1" x14ac:dyDescent="0.35">
      <c r="A155" s="442" t="s">
        <v>429</v>
      </c>
      <c r="B155" s="417">
        <v>0</v>
      </c>
      <c r="C155" s="417">
        <v>1.8109999999999999</v>
      </c>
      <c r="D155" s="418">
        <v>1.8109999999999999</v>
      </c>
      <c r="E155" s="427" t="s">
        <v>283</v>
      </c>
      <c r="F155" s="417">
        <v>0</v>
      </c>
      <c r="G155" s="418">
        <v>0</v>
      </c>
      <c r="H155" s="420">
        <v>0.4</v>
      </c>
      <c r="I155" s="417">
        <v>16.8</v>
      </c>
      <c r="J155" s="418">
        <v>16.8</v>
      </c>
      <c r="K155" s="428" t="s">
        <v>283</v>
      </c>
    </row>
    <row r="156" spans="1:11" ht="14.4" customHeight="1" thickBot="1" x14ac:dyDescent="0.35">
      <c r="A156" s="439" t="s">
        <v>430</v>
      </c>
      <c r="B156" s="417">
        <v>0</v>
      </c>
      <c r="C156" s="417">
        <v>1.8109999999999999</v>
      </c>
      <c r="D156" s="418">
        <v>1.8109999999999999</v>
      </c>
      <c r="E156" s="427" t="s">
        <v>283</v>
      </c>
      <c r="F156" s="417">
        <v>0</v>
      </c>
      <c r="G156" s="418">
        <v>0</v>
      </c>
      <c r="H156" s="420">
        <v>0.4</v>
      </c>
      <c r="I156" s="417">
        <v>16.8</v>
      </c>
      <c r="J156" s="418">
        <v>16.8</v>
      </c>
      <c r="K156" s="428" t="s">
        <v>283</v>
      </c>
    </row>
    <row r="157" spans="1:11" ht="14.4" customHeight="1" thickBot="1" x14ac:dyDescent="0.35">
      <c r="A157" s="436" t="s">
        <v>431</v>
      </c>
      <c r="B157" s="417">
        <v>4325.9999999997599</v>
      </c>
      <c r="C157" s="417">
        <v>4660.0367699999997</v>
      </c>
      <c r="D157" s="418">
        <v>334.03677000023799</v>
      </c>
      <c r="E157" s="419">
        <v>1.0772160818300001</v>
      </c>
      <c r="F157" s="417">
        <v>4575.9840702248403</v>
      </c>
      <c r="G157" s="418">
        <v>4575.9840702248403</v>
      </c>
      <c r="H157" s="420">
        <v>520.00689</v>
      </c>
      <c r="I157" s="417">
        <v>4793.1720800000003</v>
      </c>
      <c r="J157" s="418">
        <v>217.18800977516301</v>
      </c>
      <c r="K157" s="421">
        <v>1.047462579948</v>
      </c>
    </row>
    <row r="158" spans="1:11" ht="14.4" customHeight="1" thickBot="1" x14ac:dyDescent="0.35">
      <c r="A158" s="437" t="s">
        <v>432</v>
      </c>
      <c r="B158" s="417">
        <v>4325.9999999997599</v>
      </c>
      <c r="C158" s="417">
        <v>4408.1109999999999</v>
      </c>
      <c r="D158" s="418">
        <v>82.111000000236999</v>
      </c>
      <c r="E158" s="419">
        <v>1.018980813684</v>
      </c>
      <c r="F158" s="417">
        <v>4565.9840702248403</v>
      </c>
      <c r="G158" s="418">
        <v>4565.9840702248403</v>
      </c>
      <c r="H158" s="420">
        <v>389.54899999999998</v>
      </c>
      <c r="I158" s="417">
        <v>4624.8329999999996</v>
      </c>
      <c r="J158" s="418">
        <v>58.848929775163</v>
      </c>
      <c r="K158" s="421">
        <v>1.012888553457</v>
      </c>
    </row>
    <row r="159" spans="1:11" ht="14.4" customHeight="1" thickBot="1" x14ac:dyDescent="0.35">
      <c r="A159" s="438" t="s">
        <v>433</v>
      </c>
      <c r="B159" s="422">
        <v>4325.9999999997599</v>
      </c>
      <c r="C159" s="422">
        <v>4262.9009999999998</v>
      </c>
      <c r="D159" s="423">
        <v>-63.098999999762</v>
      </c>
      <c r="E159" s="429">
        <v>0.98541400832100001</v>
      </c>
      <c r="F159" s="422">
        <v>4565.9840702248403</v>
      </c>
      <c r="G159" s="423">
        <v>4565.9840702248403</v>
      </c>
      <c r="H159" s="425">
        <v>389.54899999999998</v>
      </c>
      <c r="I159" s="422">
        <v>4624.8329999999996</v>
      </c>
      <c r="J159" s="423">
        <v>58.848929775163</v>
      </c>
      <c r="K159" s="430">
        <v>1.012888553457</v>
      </c>
    </row>
    <row r="160" spans="1:11" ht="14.4" customHeight="1" thickBot="1" x14ac:dyDescent="0.35">
      <c r="A160" s="439" t="s">
        <v>434</v>
      </c>
      <c r="B160" s="417">
        <v>722.99999999995998</v>
      </c>
      <c r="C160" s="417">
        <v>742.96500000000003</v>
      </c>
      <c r="D160" s="418">
        <v>19.965000000039002</v>
      </c>
      <c r="E160" s="419">
        <v>1.0276141078829999</v>
      </c>
      <c r="F160" s="417">
        <v>958.99999999998204</v>
      </c>
      <c r="G160" s="418">
        <v>958.99999999998204</v>
      </c>
      <c r="H160" s="420">
        <v>79.938999999999993</v>
      </c>
      <c r="I160" s="417">
        <v>959.27200000000005</v>
      </c>
      <c r="J160" s="418">
        <v>0.27200000001800001</v>
      </c>
      <c r="K160" s="421">
        <v>1.0002836287800001</v>
      </c>
    </row>
    <row r="161" spans="1:11" ht="14.4" customHeight="1" thickBot="1" x14ac:dyDescent="0.35">
      <c r="A161" s="439" t="s">
        <v>435</v>
      </c>
      <c r="B161" s="417">
        <v>531.99999999997101</v>
      </c>
      <c r="C161" s="417">
        <v>534.38599999999997</v>
      </c>
      <c r="D161" s="418">
        <v>2.386000000029</v>
      </c>
      <c r="E161" s="419">
        <v>1.0044849624059999</v>
      </c>
      <c r="F161" s="417">
        <v>550.97810889208597</v>
      </c>
      <c r="G161" s="418">
        <v>550.97810889208597</v>
      </c>
      <c r="H161" s="420">
        <v>46.158999999999999</v>
      </c>
      <c r="I161" s="417">
        <v>544.92999999999995</v>
      </c>
      <c r="J161" s="418">
        <v>-6.0481088920849997</v>
      </c>
      <c r="K161" s="421">
        <v>0.98902295972400001</v>
      </c>
    </row>
    <row r="162" spans="1:11" ht="14.4" customHeight="1" thickBot="1" x14ac:dyDescent="0.35">
      <c r="A162" s="439" t="s">
        <v>436</v>
      </c>
      <c r="B162" s="417">
        <v>2253.9999999998799</v>
      </c>
      <c r="C162" s="417">
        <v>2184.0740000000001</v>
      </c>
      <c r="D162" s="418">
        <v>-69.925999999875003</v>
      </c>
      <c r="E162" s="419">
        <v>0.96897692990200002</v>
      </c>
      <c r="F162" s="417">
        <v>2296.99999999996</v>
      </c>
      <c r="G162" s="418">
        <v>2296.99999999996</v>
      </c>
      <c r="H162" s="420">
        <v>197.078</v>
      </c>
      <c r="I162" s="417">
        <v>2349.5120000000002</v>
      </c>
      <c r="J162" s="418">
        <v>52.512000000043003</v>
      </c>
      <c r="K162" s="421">
        <v>1.0228611232039999</v>
      </c>
    </row>
    <row r="163" spans="1:11" ht="14.4" customHeight="1" thickBot="1" x14ac:dyDescent="0.35">
      <c r="A163" s="439" t="s">
        <v>437</v>
      </c>
      <c r="B163" s="417">
        <v>771.99999999995805</v>
      </c>
      <c r="C163" s="417">
        <v>756.31799999999998</v>
      </c>
      <c r="D163" s="418">
        <v>-15.681999999957</v>
      </c>
      <c r="E163" s="419">
        <v>0.979686528497</v>
      </c>
      <c r="F163" s="417">
        <v>714.00597365066403</v>
      </c>
      <c r="G163" s="418">
        <v>714.00597365066403</v>
      </c>
      <c r="H163" s="420">
        <v>62.610999999999997</v>
      </c>
      <c r="I163" s="417">
        <v>725.97299999999996</v>
      </c>
      <c r="J163" s="418">
        <v>11.967026349336001</v>
      </c>
      <c r="K163" s="421">
        <v>1.01676040088</v>
      </c>
    </row>
    <row r="164" spans="1:11" ht="14.4" customHeight="1" thickBot="1" x14ac:dyDescent="0.35">
      <c r="A164" s="439" t="s">
        <v>438</v>
      </c>
      <c r="B164" s="417">
        <v>0.99999999999900002</v>
      </c>
      <c r="C164" s="417">
        <v>0.92600000000000005</v>
      </c>
      <c r="D164" s="418">
        <v>-7.3999999999000005E-2</v>
      </c>
      <c r="E164" s="419">
        <v>0.92600000000000005</v>
      </c>
      <c r="F164" s="417">
        <v>0.99998768215</v>
      </c>
      <c r="G164" s="418">
        <v>0.99998768215</v>
      </c>
      <c r="H164" s="420">
        <v>7.5999999999999998E-2</v>
      </c>
      <c r="I164" s="417">
        <v>0.91400000000000003</v>
      </c>
      <c r="J164" s="418">
        <v>-8.5987682149999994E-2</v>
      </c>
      <c r="K164" s="421">
        <v>0.91401125865300004</v>
      </c>
    </row>
    <row r="165" spans="1:11" ht="14.4" customHeight="1" thickBot="1" x14ac:dyDescent="0.35">
      <c r="A165" s="439" t="s">
        <v>439</v>
      </c>
      <c r="B165" s="417">
        <v>43.999999999997002</v>
      </c>
      <c r="C165" s="417">
        <v>44.231999999999999</v>
      </c>
      <c r="D165" s="418">
        <v>0.232000000002</v>
      </c>
      <c r="E165" s="419">
        <v>1.0052727272719999</v>
      </c>
      <c r="F165" s="417">
        <v>43.999999999998998</v>
      </c>
      <c r="G165" s="418">
        <v>43.999999999998998</v>
      </c>
      <c r="H165" s="420">
        <v>3.6859999999999999</v>
      </c>
      <c r="I165" s="417">
        <v>44.231999999999999</v>
      </c>
      <c r="J165" s="418">
        <v>0.23200000000000001</v>
      </c>
      <c r="K165" s="421">
        <v>1.0052727272719999</v>
      </c>
    </row>
    <row r="166" spans="1:11" ht="14.4" customHeight="1" thickBot="1" x14ac:dyDescent="0.35">
      <c r="A166" s="438" t="s">
        <v>440</v>
      </c>
      <c r="B166" s="422">
        <v>0</v>
      </c>
      <c r="C166" s="422">
        <v>145.21</v>
      </c>
      <c r="D166" s="423">
        <v>145.21</v>
      </c>
      <c r="E166" s="424" t="s">
        <v>283</v>
      </c>
      <c r="F166" s="422">
        <v>0</v>
      </c>
      <c r="G166" s="423">
        <v>0</v>
      </c>
      <c r="H166" s="425">
        <v>0</v>
      </c>
      <c r="I166" s="422">
        <v>0</v>
      </c>
      <c r="J166" s="423">
        <v>0</v>
      </c>
      <c r="K166" s="426" t="s">
        <v>283</v>
      </c>
    </row>
    <row r="167" spans="1:11" ht="14.4" customHeight="1" thickBot="1" x14ac:dyDescent="0.35">
      <c r="A167" s="439" t="s">
        <v>441</v>
      </c>
      <c r="B167" s="417">
        <v>0</v>
      </c>
      <c r="C167" s="417">
        <v>145.21</v>
      </c>
      <c r="D167" s="418">
        <v>145.21</v>
      </c>
      <c r="E167" s="427" t="s">
        <v>283</v>
      </c>
      <c r="F167" s="417">
        <v>0</v>
      </c>
      <c r="G167" s="418">
        <v>0</v>
      </c>
      <c r="H167" s="420">
        <v>0</v>
      </c>
      <c r="I167" s="417">
        <v>0</v>
      </c>
      <c r="J167" s="418">
        <v>0</v>
      </c>
      <c r="K167" s="428" t="s">
        <v>283</v>
      </c>
    </row>
    <row r="168" spans="1:11" ht="14.4" customHeight="1" thickBot="1" x14ac:dyDescent="0.35">
      <c r="A168" s="437" t="s">
        <v>442</v>
      </c>
      <c r="B168" s="417">
        <v>0</v>
      </c>
      <c r="C168" s="417">
        <v>251.92577000000099</v>
      </c>
      <c r="D168" s="418">
        <v>251.92577000000099</v>
      </c>
      <c r="E168" s="427" t="s">
        <v>283</v>
      </c>
      <c r="F168" s="417">
        <v>10</v>
      </c>
      <c r="G168" s="418">
        <v>10</v>
      </c>
      <c r="H168" s="420">
        <v>130.45788999999999</v>
      </c>
      <c r="I168" s="417">
        <v>168.33908</v>
      </c>
      <c r="J168" s="418">
        <v>158.33908</v>
      </c>
      <c r="K168" s="421">
        <v>16.833908000000001</v>
      </c>
    </row>
    <row r="169" spans="1:11" ht="14.4" customHeight="1" thickBot="1" x14ac:dyDescent="0.35">
      <c r="A169" s="438" t="s">
        <v>443</v>
      </c>
      <c r="B169" s="422">
        <v>0</v>
      </c>
      <c r="C169" s="422">
        <v>163.17190000000099</v>
      </c>
      <c r="D169" s="423">
        <v>163.17190000000099</v>
      </c>
      <c r="E169" s="424" t="s">
        <v>283</v>
      </c>
      <c r="F169" s="422">
        <v>10</v>
      </c>
      <c r="G169" s="423">
        <v>10</v>
      </c>
      <c r="H169" s="425">
        <v>130.45788999999999</v>
      </c>
      <c r="I169" s="422">
        <v>140.51903999999999</v>
      </c>
      <c r="J169" s="423">
        <v>130.51903999999999</v>
      </c>
      <c r="K169" s="430">
        <v>14.051904</v>
      </c>
    </row>
    <row r="170" spans="1:11" ht="14.4" customHeight="1" thickBot="1" x14ac:dyDescent="0.35">
      <c r="A170" s="439" t="s">
        <v>444</v>
      </c>
      <c r="B170" s="417">
        <v>0</v>
      </c>
      <c r="C170" s="417">
        <v>163.17190000000099</v>
      </c>
      <c r="D170" s="418">
        <v>163.17190000000099</v>
      </c>
      <c r="E170" s="427" t="s">
        <v>283</v>
      </c>
      <c r="F170" s="417">
        <v>10</v>
      </c>
      <c r="G170" s="418">
        <v>10</v>
      </c>
      <c r="H170" s="420">
        <v>130.45788999999999</v>
      </c>
      <c r="I170" s="417">
        <v>140.51903999999999</v>
      </c>
      <c r="J170" s="418">
        <v>130.51903999999999</v>
      </c>
      <c r="K170" s="421">
        <v>14.051904</v>
      </c>
    </row>
    <row r="171" spans="1:11" ht="14.4" customHeight="1" thickBot="1" x14ac:dyDescent="0.35">
      <c r="A171" s="438" t="s">
        <v>445</v>
      </c>
      <c r="B171" s="422">
        <v>0</v>
      </c>
      <c r="C171" s="422">
        <v>7.8010000000000002</v>
      </c>
      <c r="D171" s="423">
        <v>7.8010000000000002</v>
      </c>
      <c r="E171" s="424" t="s">
        <v>283</v>
      </c>
      <c r="F171" s="422">
        <v>0</v>
      </c>
      <c r="G171" s="423">
        <v>0</v>
      </c>
      <c r="H171" s="425">
        <v>0</v>
      </c>
      <c r="I171" s="422">
        <v>0</v>
      </c>
      <c r="J171" s="423">
        <v>0</v>
      </c>
      <c r="K171" s="426" t="s">
        <v>283</v>
      </c>
    </row>
    <row r="172" spans="1:11" ht="14.4" customHeight="1" thickBot="1" x14ac:dyDescent="0.35">
      <c r="A172" s="439" t="s">
        <v>446</v>
      </c>
      <c r="B172" s="417">
        <v>0</v>
      </c>
      <c r="C172" s="417">
        <v>7.8010000000000002</v>
      </c>
      <c r="D172" s="418">
        <v>7.8010000000000002</v>
      </c>
      <c r="E172" s="427" t="s">
        <v>283</v>
      </c>
      <c r="F172" s="417">
        <v>0</v>
      </c>
      <c r="G172" s="418">
        <v>0</v>
      </c>
      <c r="H172" s="420">
        <v>0</v>
      </c>
      <c r="I172" s="417">
        <v>0</v>
      </c>
      <c r="J172" s="418">
        <v>0</v>
      </c>
      <c r="K172" s="428" t="s">
        <v>283</v>
      </c>
    </row>
    <row r="173" spans="1:11" ht="14.4" customHeight="1" thickBot="1" x14ac:dyDescent="0.35">
      <c r="A173" s="438" t="s">
        <v>447</v>
      </c>
      <c r="B173" s="422">
        <v>0</v>
      </c>
      <c r="C173" s="422">
        <v>65.251000000000005</v>
      </c>
      <c r="D173" s="423">
        <v>65.251000000000005</v>
      </c>
      <c r="E173" s="424" t="s">
        <v>283</v>
      </c>
      <c r="F173" s="422">
        <v>0</v>
      </c>
      <c r="G173" s="423">
        <v>0</v>
      </c>
      <c r="H173" s="425">
        <v>0</v>
      </c>
      <c r="I173" s="422">
        <v>0</v>
      </c>
      <c r="J173" s="423">
        <v>0</v>
      </c>
      <c r="K173" s="426" t="s">
        <v>283</v>
      </c>
    </row>
    <row r="174" spans="1:11" ht="14.4" customHeight="1" thickBot="1" x14ac:dyDescent="0.35">
      <c r="A174" s="439" t="s">
        <v>448</v>
      </c>
      <c r="B174" s="417">
        <v>0</v>
      </c>
      <c r="C174" s="417">
        <v>65.251000000000005</v>
      </c>
      <c r="D174" s="418">
        <v>65.251000000000005</v>
      </c>
      <c r="E174" s="427" t="s">
        <v>283</v>
      </c>
      <c r="F174" s="417">
        <v>0</v>
      </c>
      <c r="G174" s="418">
        <v>0</v>
      </c>
      <c r="H174" s="420">
        <v>0</v>
      </c>
      <c r="I174" s="417">
        <v>0</v>
      </c>
      <c r="J174" s="418">
        <v>0</v>
      </c>
      <c r="K174" s="428" t="s">
        <v>283</v>
      </c>
    </row>
    <row r="175" spans="1:11" ht="14.4" customHeight="1" thickBot="1" x14ac:dyDescent="0.35">
      <c r="A175" s="438" t="s">
        <v>449</v>
      </c>
      <c r="B175" s="422">
        <v>0</v>
      </c>
      <c r="C175" s="422">
        <v>15.70187</v>
      </c>
      <c r="D175" s="423">
        <v>15.70187</v>
      </c>
      <c r="E175" s="424" t="s">
        <v>283</v>
      </c>
      <c r="F175" s="422">
        <v>0</v>
      </c>
      <c r="G175" s="423">
        <v>0</v>
      </c>
      <c r="H175" s="425">
        <v>0</v>
      </c>
      <c r="I175" s="422">
        <v>17.044339999999998</v>
      </c>
      <c r="J175" s="423">
        <v>17.044339999999998</v>
      </c>
      <c r="K175" s="426" t="s">
        <v>283</v>
      </c>
    </row>
    <row r="176" spans="1:11" ht="14.4" customHeight="1" thickBot="1" x14ac:dyDescent="0.35">
      <c r="A176" s="439" t="s">
        <v>450</v>
      </c>
      <c r="B176" s="417">
        <v>0</v>
      </c>
      <c r="C176" s="417">
        <v>15.70187</v>
      </c>
      <c r="D176" s="418">
        <v>15.70187</v>
      </c>
      <c r="E176" s="427" t="s">
        <v>283</v>
      </c>
      <c r="F176" s="417">
        <v>0</v>
      </c>
      <c r="G176" s="418">
        <v>0</v>
      </c>
      <c r="H176" s="420">
        <v>0</v>
      </c>
      <c r="I176" s="417">
        <v>17.044339999999998</v>
      </c>
      <c r="J176" s="418">
        <v>17.044339999999998</v>
      </c>
      <c r="K176" s="428" t="s">
        <v>283</v>
      </c>
    </row>
    <row r="177" spans="1:11" ht="14.4" customHeight="1" thickBot="1" x14ac:dyDescent="0.35">
      <c r="A177" s="438" t="s">
        <v>451</v>
      </c>
      <c r="B177" s="422">
        <v>0</v>
      </c>
      <c r="C177" s="422">
        <v>0</v>
      </c>
      <c r="D177" s="423">
        <v>0</v>
      </c>
      <c r="E177" s="424" t="s">
        <v>283</v>
      </c>
      <c r="F177" s="422">
        <v>0</v>
      </c>
      <c r="G177" s="423">
        <v>0</v>
      </c>
      <c r="H177" s="425">
        <v>0</v>
      </c>
      <c r="I177" s="422">
        <v>10.775700000000001</v>
      </c>
      <c r="J177" s="423">
        <v>10.775700000000001</v>
      </c>
      <c r="K177" s="426" t="s">
        <v>289</v>
      </c>
    </row>
    <row r="178" spans="1:11" ht="14.4" customHeight="1" thickBot="1" x14ac:dyDescent="0.35">
      <c r="A178" s="439" t="s">
        <v>452</v>
      </c>
      <c r="B178" s="417">
        <v>0</v>
      </c>
      <c r="C178" s="417">
        <v>0</v>
      </c>
      <c r="D178" s="418">
        <v>0</v>
      </c>
      <c r="E178" s="427" t="s">
        <v>283</v>
      </c>
      <c r="F178" s="417">
        <v>0</v>
      </c>
      <c r="G178" s="418">
        <v>0</v>
      </c>
      <c r="H178" s="420">
        <v>0</v>
      </c>
      <c r="I178" s="417">
        <v>10.775700000000001</v>
      </c>
      <c r="J178" s="418">
        <v>10.775700000000001</v>
      </c>
      <c r="K178" s="428" t="s">
        <v>289</v>
      </c>
    </row>
    <row r="179" spans="1:11" ht="14.4" customHeight="1" thickBot="1" x14ac:dyDescent="0.35">
      <c r="A179" s="435" t="s">
        <v>453</v>
      </c>
      <c r="B179" s="417">
        <v>75918.400029254801</v>
      </c>
      <c r="C179" s="417">
        <v>77077.283739999999</v>
      </c>
      <c r="D179" s="418">
        <v>1158.88371074517</v>
      </c>
      <c r="E179" s="419">
        <v>1.01526485951</v>
      </c>
      <c r="F179" s="417">
        <v>81288.901101309501</v>
      </c>
      <c r="G179" s="418">
        <v>81288.901101309501</v>
      </c>
      <c r="H179" s="420">
        <v>9315.2551399999993</v>
      </c>
      <c r="I179" s="417">
        <v>86615.545060000004</v>
      </c>
      <c r="J179" s="418">
        <v>5326.6439586905199</v>
      </c>
      <c r="K179" s="421">
        <v>1.065527321522</v>
      </c>
    </row>
    <row r="180" spans="1:11" ht="14.4" customHeight="1" thickBot="1" x14ac:dyDescent="0.35">
      <c r="A180" s="436" t="s">
        <v>454</v>
      </c>
      <c r="B180" s="417">
        <v>27372.743057936499</v>
      </c>
      <c r="C180" s="417">
        <v>25720.979810000001</v>
      </c>
      <c r="D180" s="418">
        <v>-1651.76324793651</v>
      </c>
      <c r="E180" s="419">
        <v>0.93965664148299999</v>
      </c>
      <c r="F180" s="417">
        <v>29297.845518110898</v>
      </c>
      <c r="G180" s="418">
        <v>29297.845518110898</v>
      </c>
      <c r="H180" s="420">
        <v>1165.7784999999999</v>
      </c>
      <c r="I180" s="417">
        <v>28291.900130000002</v>
      </c>
      <c r="J180" s="418">
        <v>-1005.94538811088</v>
      </c>
      <c r="K180" s="421">
        <v>0.96566486817300001</v>
      </c>
    </row>
    <row r="181" spans="1:11" ht="14.4" customHeight="1" thickBot="1" x14ac:dyDescent="0.35">
      <c r="A181" s="437" t="s">
        <v>455</v>
      </c>
      <c r="B181" s="417">
        <v>27372.743057936499</v>
      </c>
      <c r="C181" s="417">
        <v>25720.979810000001</v>
      </c>
      <c r="D181" s="418">
        <v>-1651.76324793651</v>
      </c>
      <c r="E181" s="419">
        <v>0.93965664148299999</v>
      </c>
      <c r="F181" s="417">
        <v>29297.845518110898</v>
      </c>
      <c r="G181" s="418">
        <v>29297.845518110898</v>
      </c>
      <c r="H181" s="420">
        <v>1165.02648</v>
      </c>
      <c r="I181" s="417">
        <v>28284.37988</v>
      </c>
      <c r="J181" s="418">
        <v>-1013.46563811088</v>
      </c>
      <c r="K181" s="421">
        <v>0.96540818547600005</v>
      </c>
    </row>
    <row r="182" spans="1:11" ht="14.4" customHeight="1" thickBot="1" x14ac:dyDescent="0.35">
      <c r="A182" s="438" t="s">
        <v>456</v>
      </c>
      <c r="B182" s="422">
        <v>145.74050737788701</v>
      </c>
      <c r="C182" s="422">
        <v>142.03309999999999</v>
      </c>
      <c r="D182" s="423">
        <v>-3.7074073778860002</v>
      </c>
      <c r="E182" s="429">
        <v>0.97456158589899999</v>
      </c>
      <c r="F182" s="422">
        <v>130.84553814617499</v>
      </c>
      <c r="G182" s="423">
        <v>130.84553814617499</v>
      </c>
      <c r="H182" s="425">
        <v>10.77722</v>
      </c>
      <c r="I182" s="422">
        <v>186.39248000000001</v>
      </c>
      <c r="J182" s="423">
        <v>55.546941853824002</v>
      </c>
      <c r="K182" s="430">
        <v>1.4245230111839999</v>
      </c>
    </row>
    <row r="183" spans="1:11" ht="14.4" customHeight="1" thickBot="1" x14ac:dyDescent="0.35">
      <c r="A183" s="439" t="s">
        <v>457</v>
      </c>
      <c r="B183" s="417">
        <v>74.370645601611002</v>
      </c>
      <c r="C183" s="417">
        <v>106.93899999999999</v>
      </c>
      <c r="D183" s="418">
        <v>32.568354398388003</v>
      </c>
      <c r="E183" s="419">
        <v>1.437919479317</v>
      </c>
      <c r="F183" s="417">
        <v>104.835023986358</v>
      </c>
      <c r="G183" s="418">
        <v>104.835023986358</v>
      </c>
      <c r="H183" s="420">
        <v>5.0670000000000002</v>
      </c>
      <c r="I183" s="417">
        <v>111.81229999999999</v>
      </c>
      <c r="J183" s="418">
        <v>6.9772760136420002</v>
      </c>
      <c r="K183" s="421">
        <v>1.0665548186880001</v>
      </c>
    </row>
    <row r="184" spans="1:11" ht="14.4" customHeight="1" thickBot="1" x14ac:dyDescent="0.35">
      <c r="A184" s="439" t="s">
        <v>458</v>
      </c>
      <c r="B184" s="417">
        <v>35.762921049606</v>
      </c>
      <c r="C184" s="417">
        <v>11.552099999999999</v>
      </c>
      <c r="D184" s="418">
        <v>-24.210821049606</v>
      </c>
      <c r="E184" s="419">
        <v>0.32301891626700002</v>
      </c>
      <c r="F184" s="417">
        <v>7.4834112058639999</v>
      </c>
      <c r="G184" s="418">
        <v>7.4834112058639999</v>
      </c>
      <c r="H184" s="420">
        <v>5.0670000000000002</v>
      </c>
      <c r="I184" s="417">
        <v>31.86694</v>
      </c>
      <c r="J184" s="418">
        <v>24.383528794135</v>
      </c>
      <c r="K184" s="421">
        <v>4.25834410583</v>
      </c>
    </row>
    <row r="185" spans="1:11" ht="14.4" customHeight="1" thickBot="1" x14ac:dyDescent="0.35">
      <c r="A185" s="439" t="s">
        <v>459</v>
      </c>
      <c r="B185" s="417">
        <v>35.606940726668</v>
      </c>
      <c r="C185" s="417">
        <v>23.542000000000002</v>
      </c>
      <c r="D185" s="418">
        <v>-12.064940726668</v>
      </c>
      <c r="E185" s="419">
        <v>0.66116323164900004</v>
      </c>
      <c r="F185" s="417">
        <v>18.527102953951999</v>
      </c>
      <c r="G185" s="418">
        <v>18.527102953951999</v>
      </c>
      <c r="H185" s="420">
        <v>0.64322000000000001</v>
      </c>
      <c r="I185" s="417">
        <v>42.713239999999999</v>
      </c>
      <c r="J185" s="418">
        <v>24.186137046047001</v>
      </c>
      <c r="K185" s="421">
        <v>2.3054462484579998</v>
      </c>
    </row>
    <row r="186" spans="1:11" ht="14.4" customHeight="1" thickBot="1" x14ac:dyDescent="0.35">
      <c r="A186" s="438" t="s">
        <v>460</v>
      </c>
      <c r="B186" s="422">
        <v>66.000678538138004</v>
      </c>
      <c r="C186" s="422">
        <v>25.253699999999998</v>
      </c>
      <c r="D186" s="423">
        <v>-40.746978538138002</v>
      </c>
      <c r="E186" s="429">
        <v>0.38262788443000001</v>
      </c>
      <c r="F186" s="422">
        <v>0</v>
      </c>
      <c r="G186" s="423">
        <v>0</v>
      </c>
      <c r="H186" s="425">
        <v>-0.93940000000000001</v>
      </c>
      <c r="I186" s="422">
        <v>31.495170000000002</v>
      </c>
      <c r="J186" s="423">
        <v>31.495170000000002</v>
      </c>
      <c r="K186" s="426" t="s">
        <v>283</v>
      </c>
    </row>
    <row r="187" spans="1:11" ht="14.4" customHeight="1" thickBot="1" x14ac:dyDescent="0.35">
      <c r="A187" s="439" t="s">
        <v>461</v>
      </c>
      <c r="B187" s="417">
        <v>49.000683456254002</v>
      </c>
      <c r="C187" s="417">
        <v>17.852900000000002</v>
      </c>
      <c r="D187" s="418">
        <v>-31.147783456254</v>
      </c>
      <c r="E187" s="419">
        <v>0.36433981611499999</v>
      </c>
      <c r="F187" s="417">
        <v>0</v>
      </c>
      <c r="G187" s="418">
        <v>0</v>
      </c>
      <c r="H187" s="420">
        <v>0</v>
      </c>
      <c r="I187" s="417">
        <v>20.266369999999998</v>
      </c>
      <c r="J187" s="418">
        <v>20.266369999999998</v>
      </c>
      <c r="K187" s="428" t="s">
        <v>283</v>
      </c>
    </row>
    <row r="188" spans="1:11" ht="14.4" customHeight="1" thickBot="1" x14ac:dyDescent="0.35">
      <c r="A188" s="439" t="s">
        <v>462</v>
      </c>
      <c r="B188" s="417">
        <v>16.999995081883</v>
      </c>
      <c r="C188" s="417">
        <v>7.4008000000000003</v>
      </c>
      <c r="D188" s="418">
        <v>-9.5991950818829999</v>
      </c>
      <c r="E188" s="419">
        <v>0.43534130241500002</v>
      </c>
      <c r="F188" s="417">
        <v>0</v>
      </c>
      <c r="G188" s="418">
        <v>0</v>
      </c>
      <c r="H188" s="420">
        <v>-0.93940000000000001</v>
      </c>
      <c r="I188" s="417">
        <v>11.2288</v>
      </c>
      <c r="J188" s="418">
        <v>11.2288</v>
      </c>
      <c r="K188" s="428" t="s">
        <v>283</v>
      </c>
    </row>
    <row r="189" spans="1:11" ht="14.4" customHeight="1" thickBot="1" x14ac:dyDescent="0.35">
      <c r="A189" s="438" t="s">
        <v>463</v>
      </c>
      <c r="B189" s="422">
        <v>31.001963380496001</v>
      </c>
      <c r="C189" s="422">
        <v>43.165349999999997</v>
      </c>
      <c r="D189" s="423">
        <v>12.163386619502999</v>
      </c>
      <c r="E189" s="429">
        <v>1.392342461353</v>
      </c>
      <c r="F189" s="422">
        <v>2.9999799647069998</v>
      </c>
      <c r="G189" s="423">
        <v>2.9999799647069998</v>
      </c>
      <c r="H189" s="425">
        <v>2.0329999999999999</v>
      </c>
      <c r="I189" s="422">
        <v>21.43648</v>
      </c>
      <c r="J189" s="423">
        <v>18.436500035291999</v>
      </c>
      <c r="K189" s="430">
        <v>7.1455410543340001</v>
      </c>
    </row>
    <row r="190" spans="1:11" ht="14.4" customHeight="1" thickBot="1" x14ac:dyDescent="0.35">
      <c r="A190" s="439" t="s">
        <v>464</v>
      </c>
      <c r="B190" s="417">
        <v>17.999391100537</v>
      </c>
      <c r="C190" s="417">
        <v>0</v>
      </c>
      <c r="D190" s="418">
        <v>-17.999391100537</v>
      </c>
      <c r="E190" s="419">
        <v>0</v>
      </c>
      <c r="F190" s="417">
        <v>2.9999799647069998</v>
      </c>
      <c r="G190" s="418">
        <v>2.9999799647069998</v>
      </c>
      <c r="H190" s="420">
        <v>0</v>
      </c>
      <c r="I190" s="417">
        <v>0.94289999999999996</v>
      </c>
      <c r="J190" s="418">
        <v>-2.0570799647069999</v>
      </c>
      <c r="K190" s="421">
        <v>0.31430209904400003</v>
      </c>
    </row>
    <row r="191" spans="1:11" ht="14.4" customHeight="1" thickBot="1" x14ac:dyDescent="0.35">
      <c r="A191" s="439" t="s">
        <v>465</v>
      </c>
      <c r="B191" s="417">
        <v>13.002572279958001</v>
      </c>
      <c r="C191" s="417">
        <v>43.165349999999997</v>
      </c>
      <c r="D191" s="418">
        <v>30.162777720040999</v>
      </c>
      <c r="E191" s="419">
        <v>3.3197546662769999</v>
      </c>
      <c r="F191" s="417">
        <v>0</v>
      </c>
      <c r="G191" s="418">
        <v>0</v>
      </c>
      <c r="H191" s="420">
        <v>2.0329999999999999</v>
      </c>
      <c r="I191" s="417">
        <v>20.493580000000001</v>
      </c>
      <c r="J191" s="418">
        <v>20.493580000000001</v>
      </c>
      <c r="K191" s="428" t="s">
        <v>283</v>
      </c>
    </row>
    <row r="192" spans="1:11" ht="14.4" customHeight="1" thickBot="1" x14ac:dyDescent="0.35">
      <c r="A192" s="438" t="s">
        <v>466</v>
      </c>
      <c r="B192" s="422">
        <v>0</v>
      </c>
      <c r="C192" s="422">
        <v>-0.74490999999999996</v>
      </c>
      <c r="D192" s="423">
        <v>-0.74490999999999996</v>
      </c>
      <c r="E192" s="424" t="s">
        <v>289</v>
      </c>
      <c r="F192" s="422">
        <v>0</v>
      </c>
      <c r="G192" s="423">
        <v>0</v>
      </c>
      <c r="H192" s="425">
        <v>0</v>
      </c>
      <c r="I192" s="422">
        <v>0</v>
      </c>
      <c r="J192" s="423">
        <v>0</v>
      </c>
      <c r="K192" s="426" t="s">
        <v>283</v>
      </c>
    </row>
    <row r="193" spans="1:11" ht="14.4" customHeight="1" thickBot="1" x14ac:dyDescent="0.35">
      <c r="A193" s="439" t="s">
        <v>467</v>
      </c>
      <c r="B193" s="417">
        <v>0</v>
      </c>
      <c r="C193" s="417">
        <v>-0.74490999999999996</v>
      </c>
      <c r="D193" s="418">
        <v>-0.74490999999999996</v>
      </c>
      <c r="E193" s="427" t="s">
        <v>289</v>
      </c>
      <c r="F193" s="417">
        <v>0</v>
      </c>
      <c r="G193" s="418">
        <v>0</v>
      </c>
      <c r="H193" s="420">
        <v>0</v>
      </c>
      <c r="I193" s="417">
        <v>0</v>
      </c>
      <c r="J193" s="418">
        <v>0</v>
      </c>
      <c r="K193" s="428" t="s">
        <v>283</v>
      </c>
    </row>
    <row r="194" spans="1:11" ht="14.4" customHeight="1" thickBot="1" x14ac:dyDescent="0.35">
      <c r="A194" s="438" t="s">
        <v>468</v>
      </c>
      <c r="B194" s="422">
        <v>27129.999908639998</v>
      </c>
      <c r="C194" s="422">
        <v>23888.483789999998</v>
      </c>
      <c r="D194" s="423">
        <v>-3241.5161186399901</v>
      </c>
      <c r="E194" s="429">
        <v>0.88051912533800003</v>
      </c>
      <c r="F194" s="422">
        <v>29164</v>
      </c>
      <c r="G194" s="423">
        <v>29164</v>
      </c>
      <c r="H194" s="425">
        <v>1153.1556599999999</v>
      </c>
      <c r="I194" s="422">
        <v>26428.49294</v>
      </c>
      <c r="J194" s="423">
        <v>-2735.5070599999999</v>
      </c>
      <c r="K194" s="430">
        <v>0.90620261075200004</v>
      </c>
    </row>
    <row r="195" spans="1:11" ht="14.4" customHeight="1" thickBot="1" x14ac:dyDescent="0.35">
      <c r="A195" s="439" t="s">
        <v>469</v>
      </c>
      <c r="B195" s="417">
        <v>11392.9999656529</v>
      </c>
      <c r="C195" s="417">
        <v>10582.150180000001</v>
      </c>
      <c r="D195" s="418">
        <v>-810.84978565292101</v>
      </c>
      <c r="E195" s="419">
        <v>0.92882912418999997</v>
      </c>
      <c r="F195" s="417">
        <v>13678</v>
      </c>
      <c r="G195" s="418">
        <v>13678</v>
      </c>
      <c r="H195" s="420">
        <v>57.474119999999999</v>
      </c>
      <c r="I195" s="417">
        <v>11756.393480000001</v>
      </c>
      <c r="J195" s="418">
        <v>-1921.60652</v>
      </c>
      <c r="K195" s="421">
        <v>0.85951114782799998</v>
      </c>
    </row>
    <row r="196" spans="1:11" ht="14.4" customHeight="1" thickBot="1" x14ac:dyDescent="0.35">
      <c r="A196" s="439" t="s">
        <v>470</v>
      </c>
      <c r="B196" s="417">
        <v>15736.9999429871</v>
      </c>
      <c r="C196" s="417">
        <v>13306.33361</v>
      </c>
      <c r="D196" s="418">
        <v>-2430.6663329870698</v>
      </c>
      <c r="E196" s="419">
        <v>0.84554449121200004</v>
      </c>
      <c r="F196" s="417">
        <v>15486</v>
      </c>
      <c r="G196" s="418">
        <v>15486</v>
      </c>
      <c r="H196" s="420">
        <v>1095.68154</v>
      </c>
      <c r="I196" s="417">
        <v>14672.099459999999</v>
      </c>
      <c r="J196" s="418">
        <v>-813.900540000001</v>
      </c>
      <c r="K196" s="421">
        <v>0.94744281673700004</v>
      </c>
    </row>
    <row r="197" spans="1:11" ht="14.4" customHeight="1" thickBot="1" x14ac:dyDescent="0.35">
      <c r="A197" s="438" t="s">
        <v>471</v>
      </c>
      <c r="B197" s="422">
        <v>0</v>
      </c>
      <c r="C197" s="422">
        <v>1622.7887800000001</v>
      </c>
      <c r="D197" s="423">
        <v>1622.7887800000001</v>
      </c>
      <c r="E197" s="424" t="s">
        <v>283</v>
      </c>
      <c r="F197" s="422">
        <v>0</v>
      </c>
      <c r="G197" s="423">
        <v>0</v>
      </c>
      <c r="H197" s="425">
        <v>0</v>
      </c>
      <c r="I197" s="422">
        <v>1616.5628099999999</v>
      </c>
      <c r="J197" s="423">
        <v>1616.5628099999999</v>
      </c>
      <c r="K197" s="426" t="s">
        <v>283</v>
      </c>
    </row>
    <row r="198" spans="1:11" ht="14.4" customHeight="1" thickBot="1" x14ac:dyDescent="0.35">
      <c r="A198" s="439" t="s">
        <v>472</v>
      </c>
      <c r="B198" s="417">
        <v>0</v>
      </c>
      <c r="C198" s="417">
        <v>1070.95748</v>
      </c>
      <c r="D198" s="418">
        <v>1070.95748</v>
      </c>
      <c r="E198" s="427" t="s">
        <v>289</v>
      </c>
      <c r="F198" s="417">
        <v>0</v>
      </c>
      <c r="G198" s="418">
        <v>0</v>
      </c>
      <c r="H198" s="420">
        <v>0</v>
      </c>
      <c r="I198" s="417">
        <v>92.804209999999998</v>
      </c>
      <c r="J198" s="418">
        <v>92.804209999999998</v>
      </c>
      <c r="K198" s="428" t="s">
        <v>283</v>
      </c>
    </row>
    <row r="199" spans="1:11" ht="14.4" customHeight="1" thickBot="1" x14ac:dyDescent="0.35">
      <c r="A199" s="439" t="s">
        <v>473</v>
      </c>
      <c r="B199" s="417">
        <v>0</v>
      </c>
      <c r="C199" s="417">
        <v>551.83130000000006</v>
      </c>
      <c r="D199" s="418">
        <v>551.83130000000006</v>
      </c>
      <c r="E199" s="427" t="s">
        <v>283</v>
      </c>
      <c r="F199" s="417">
        <v>0</v>
      </c>
      <c r="G199" s="418">
        <v>0</v>
      </c>
      <c r="H199" s="420">
        <v>0</v>
      </c>
      <c r="I199" s="417">
        <v>1523.7585999999999</v>
      </c>
      <c r="J199" s="418">
        <v>1523.7585999999999</v>
      </c>
      <c r="K199" s="428" t="s">
        <v>283</v>
      </c>
    </row>
    <row r="200" spans="1:11" ht="14.4" customHeight="1" thickBot="1" x14ac:dyDescent="0.35">
      <c r="A200" s="437" t="s">
        <v>474</v>
      </c>
      <c r="B200" s="417">
        <v>0</v>
      </c>
      <c r="C200" s="417">
        <v>0</v>
      </c>
      <c r="D200" s="418">
        <v>0</v>
      </c>
      <c r="E200" s="419">
        <v>1</v>
      </c>
      <c r="F200" s="417">
        <v>0</v>
      </c>
      <c r="G200" s="418">
        <v>0</v>
      </c>
      <c r="H200" s="420">
        <v>0.75202000000000002</v>
      </c>
      <c r="I200" s="417">
        <v>7.5202499999999999</v>
      </c>
      <c r="J200" s="418">
        <v>7.5202499999999999</v>
      </c>
      <c r="K200" s="428" t="s">
        <v>289</v>
      </c>
    </row>
    <row r="201" spans="1:11" ht="14.4" customHeight="1" thickBot="1" x14ac:dyDescent="0.35">
      <c r="A201" s="438" t="s">
        <v>475</v>
      </c>
      <c r="B201" s="422">
        <v>0</v>
      </c>
      <c r="C201" s="422">
        <v>0</v>
      </c>
      <c r="D201" s="423">
        <v>0</v>
      </c>
      <c r="E201" s="429">
        <v>1</v>
      </c>
      <c r="F201" s="422">
        <v>0</v>
      </c>
      <c r="G201" s="423">
        <v>0</v>
      </c>
      <c r="H201" s="425">
        <v>0.75202000000000002</v>
      </c>
      <c r="I201" s="422">
        <v>7.5202499999999999</v>
      </c>
      <c r="J201" s="423">
        <v>7.5202499999999999</v>
      </c>
      <c r="K201" s="426" t="s">
        <v>289</v>
      </c>
    </row>
    <row r="202" spans="1:11" ht="14.4" customHeight="1" thickBot="1" x14ac:dyDescent="0.35">
      <c r="A202" s="439" t="s">
        <v>476</v>
      </c>
      <c r="B202" s="417">
        <v>0</v>
      </c>
      <c r="C202" s="417">
        <v>0</v>
      </c>
      <c r="D202" s="418">
        <v>0</v>
      </c>
      <c r="E202" s="419">
        <v>1</v>
      </c>
      <c r="F202" s="417">
        <v>0</v>
      </c>
      <c r="G202" s="418">
        <v>0</v>
      </c>
      <c r="H202" s="420">
        <v>0.75202000000000002</v>
      </c>
      <c r="I202" s="417">
        <v>7.5202499999999999</v>
      </c>
      <c r="J202" s="418">
        <v>7.5202499999999999</v>
      </c>
      <c r="K202" s="428" t="s">
        <v>289</v>
      </c>
    </row>
    <row r="203" spans="1:11" ht="14.4" customHeight="1" thickBot="1" x14ac:dyDescent="0.35">
      <c r="A203" s="436" t="s">
        <v>477</v>
      </c>
      <c r="B203" s="417">
        <v>48545.656971318298</v>
      </c>
      <c r="C203" s="417">
        <v>51223.883930000004</v>
      </c>
      <c r="D203" s="418">
        <v>2678.2269586816901</v>
      </c>
      <c r="E203" s="419">
        <v>1.05516923914</v>
      </c>
      <c r="F203" s="417">
        <v>51889.055583198598</v>
      </c>
      <c r="G203" s="418">
        <v>51889.055583198598</v>
      </c>
      <c r="H203" s="420">
        <v>8149.4766399999999</v>
      </c>
      <c r="I203" s="417">
        <v>58086.06493</v>
      </c>
      <c r="J203" s="418">
        <v>6197.0093468014102</v>
      </c>
      <c r="K203" s="421">
        <v>1.1194280619899999</v>
      </c>
    </row>
    <row r="204" spans="1:11" ht="14.4" customHeight="1" thickBot="1" x14ac:dyDescent="0.35">
      <c r="A204" s="437" t="s">
        <v>478</v>
      </c>
      <c r="B204" s="417">
        <v>47579.9999999996</v>
      </c>
      <c r="C204" s="417">
        <v>50554.195090000001</v>
      </c>
      <c r="D204" s="418">
        <v>2974.1950900004099</v>
      </c>
      <c r="E204" s="419">
        <v>1.06250935456</v>
      </c>
      <c r="F204" s="417">
        <v>51520</v>
      </c>
      <c r="G204" s="418">
        <v>51520</v>
      </c>
      <c r="H204" s="420">
        <v>8121.7392499999996</v>
      </c>
      <c r="I204" s="417">
        <v>57677.995510000001</v>
      </c>
      <c r="J204" s="418">
        <v>6157.9955099999897</v>
      </c>
      <c r="K204" s="421">
        <v>1.1195263103640001</v>
      </c>
    </row>
    <row r="205" spans="1:11" ht="14.4" customHeight="1" thickBot="1" x14ac:dyDescent="0.35">
      <c r="A205" s="438" t="s">
        <v>479</v>
      </c>
      <c r="B205" s="422">
        <v>47579.9999999996</v>
      </c>
      <c r="C205" s="422">
        <v>50554.195090000001</v>
      </c>
      <c r="D205" s="423">
        <v>2974.1950900004099</v>
      </c>
      <c r="E205" s="429">
        <v>1.06250935456</v>
      </c>
      <c r="F205" s="422">
        <v>51520</v>
      </c>
      <c r="G205" s="423">
        <v>51520</v>
      </c>
      <c r="H205" s="425">
        <v>8121.7392499999996</v>
      </c>
      <c r="I205" s="422">
        <v>57677.995510000001</v>
      </c>
      <c r="J205" s="423">
        <v>6157.9955099999897</v>
      </c>
      <c r="K205" s="430">
        <v>1.1195263103640001</v>
      </c>
    </row>
    <row r="206" spans="1:11" ht="14.4" customHeight="1" thickBot="1" x14ac:dyDescent="0.35">
      <c r="A206" s="439" t="s">
        <v>480</v>
      </c>
      <c r="B206" s="417">
        <v>14699.9999999999</v>
      </c>
      <c r="C206" s="417">
        <v>12801.2088</v>
      </c>
      <c r="D206" s="418">
        <v>-1898.7911999998801</v>
      </c>
      <c r="E206" s="419">
        <v>0.870830530612</v>
      </c>
      <c r="F206" s="417">
        <v>12920</v>
      </c>
      <c r="G206" s="418">
        <v>12920</v>
      </c>
      <c r="H206" s="420">
        <v>1030.9649999999999</v>
      </c>
      <c r="I206" s="417">
        <v>15251.351000000001</v>
      </c>
      <c r="J206" s="418">
        <v>2331.3510000000001</v>
      </c>
      <c r="K206" s="421">
        <v>1.1804451238389999</v>
      </c>
    </row>
    <row r="207" spans="1:11" ht="14.4" customHeight="1" thickBot="1" x14ac:dyDescent="0.35">
      <c r="A207" s="439" t="s">
        <v>481</v>
      </c>
      <c r="B207" s="417">
        <v>32779.999999999702</v>
      </c>
      <c r="C207" s="417">
        <v>37727.234450000004</v>
      </c>
      <c r="D207" s="418">
        <v>4947.2344500002901</v>
      </c>
      <c r="E207" s="419">
        <v>1.150922344417</v>
      </c>
      <c r="F207" s="417">
        <v>38500</v>
      </c>
      <c r="G207" s="418">
        <v>38500</v>
      </c>
      <c r="H207" s="420">
        <v>7090.7742500000004</v>
      </c>
      <c r="I207" s="417">
        <v>42402.042950000003</v>
      </c>
      <c r="J207" s="418">
        <v>3902.04295</v>
      </c>
      <c r="K207" s="421">
        <v>1.101351764935</v>
      </c>
    </row>
    <row r="208" spans="1:11" ht="14.4" customHeight="1" thickBot="1" x14ac:dyDescent="0.35">
      <c r="A208" s="439" t="s">
        <v>482</v>
      </c>
      <c r="B208" s="417">
        <v>99.999999999999005</v>
      </c>
      <c r="C208" s="417">
        <v>25.751840000000001</v>
      </c>
      <c r="D208" s="418">
        <v>-74.248159999999004</v>
      </c>
      <c r="E208" s="419">
        <v>0.25751839999999998</v>
      </c>
      <c r="F208" s="417">
        <v>100</v>
      </c>
      <c r="G208" s="418">
        <v>100</v>
      </c>
      <c r="H208" s="420">
        <v>0</v>
      </c>
      <c r="I208" s="417">
        <v>24.601559999999999</v>
      </c>
      <c r="J208" s="418">
        <v>-75.398439999999994</v>
      </c>
      <c r="K208" s="421">
        <v>0.2460156</v>
      </c>
    </row>
    <row r="209" spans="1:11" ht="14.4" customHeight="1" thickBot="1" x14ac:dyDescent="0.35">
      <c r="A209" s="437" t="s">
        <v>483</v>
      </c>
      <c r="B209" s="417">
        <v>399.605521661578</v>
      </c>
      <c r="C209" s="417">
        <v>265.07188000000002</v>
      </c>
      <c r="D209" s="418">
        <v>-134.533641661578</v>
      </c>
      <c r="E209" s="419">
        <v>0.66333387711400005</v>
      </c>
      <c r="F209" s="417">
        <v>0</v>
      </c>
      <c r="G209" s="418">
        <v>0</v>
      </c>
      <c r="H209" s="420">
        <v>0</v>
      </c>
      <c r="I209" s="417">
        <v>0</v>
      </c>
      <c r="J209" s="418">
        <v>0</v>
      </c>
      <c r="K209" s="428" t="s">
        <v>283</v>
      </c>
    </row>
    <row r="210" spans="1:11" ht="14.4" customHeight="1" thickBot="1" x14ac:dyDescent="0.35">
      <c r="A210" s="438" t="s">
        <v>484</v>
      </c>
      <c r="B210" s="422">
        <v>399.605521661578</v>
      </c>
      <c r="C210" s="422">
        <v>265.07188000000002</v>
      </c>
      <c r="D210" s="423">
        <v>-134.533641661578</v>
      </c>
      <c r="E210" s="429">
        <v>0.66333387711400005</v>
      </c>
      <c r="F210" s="422">
        <v>0</v>
      </c>
      <c r="G210" s="423">
        <v>0</v>
      </c>
      <c r="H210" s="425">
        <v>0</v>
      </c>
      <c r="I210" s="422">
        <v>0</v>
      </c>
      <c r="J210" s="423">
        <v>0</v>
      </c>
      <c r="K210" s="426" t="s">
        <v>283</v>
      </c>
    </row>
    <row r="211" spans="1:11" ht="14.4" customHeight="1" thickBot="1" x14ac:dyDescent="0.35">
      <c r="A211" s="439" t="s">
        <v>485</v>
      </c>
      <c r="B211" s="417">
        <v>0</v>
      </c>
      <c r="C211" s="417">
        <v>56.345329999999997</v>
      </c>
      <c r="D211" s="418">
        <v>56.345329999999997</v>
      </c>
      <c r="E211" s="427" t="s">
        <v>283</v>
      </c>
      <c r="F211" s="417">
        <v>0</v>
      </c>
      <c r="G211" s="418">
        <v>0</v>
      </c>
      <c r="H211" s="420">
        <v>0</v>
      </c>
      <c r="I211" s="417">
        <v>0</v>
      </c>
      <c r="J211" s="418">
        <v>0</v>
      </c>
      <c r="K211" s="428" t="s">
        <v>283</v>
      </c>
    </row>
    <row r="212" spans="1:11" ht="14.4" customHeight="1" thickBot="1" x14ac:dyDescent="0.35">
      <c r="A212" s="439" t="s">
        <v>486</v>
      </c>
      <c r="B212" s="417">
        <v>0</v>
      </c>
      <c r="C212" s="417">
        <v>44.809899999999999</v>
      </c>
      <c r="D212" s="418">
        <v>44.809899999999999</v>
      </c>
      <c r="E212" s="427" t="s">
        <v>283</v>
      </c>
      <c r="F212" s="417">
        <v>0</v>
      </c>
      <c r="G212" s="418">
        <v>0</v>
      </c>
      <c r="H212" s="420">
        <v>0</v>
      </c>
      <c r="I212" s="417">
        <v>0</v>
      </c>
      <c r="J212" s="418">
        <v>0</v>
      </c>
      <c r="K212" s="428" t="s">
        <v>283</v>
      </c>
    </row>
    <row r="213" spans="1:11" ht="14.4" customHeight="1" thickBot="1" x14ac:dyDescent="0.35">
      <c r="A213" s="439" t="s">
        <v>487</v>
      </c>
      <c r="B213" s="417">
        <v>0</v>
      </c>
      <c r="C213" s="417">
        <v>123.76564999999999</v>
      </c>
      <c r="D213" s="418">
        <v>123.76564999999999</v>
      </c>
      <c r="E213" s="427" t="s">
        <v>283</v>
      </c>
      <c r="F213" s="417">
        <v>0</v>
      </c>
      <c r="G213" s="418">
        <v>0</v>
      </c>
      <c r="H213" s="420">
        <v>0</v>
      </c>
      <c r="I213" s="417">
        <v>0</v>
      </c>
      <c r="J213" s="418">
        <v>0</v>
      </c>
      <c r="K213" s="428" t="s">
        <v>283</v>
      </c>
    </row>
    <row r="214" spans="1:11" ht="14.4" customHeight="1" thickBot="1" x14ac:dyDescent="0.35">
      <c r="A214" s="439" t="s">
        <v>488</v>
      </c>
      <c r="B214" s="417">
        <v>0</v>
      </c>
      <c r="C214" s="417">
        <v>40.151000000000003</v>
      </c>
      <c r="D214" s="418">
        <v>40.151000000000003</v>
      </c>
      <c r="E214" s="427" t="s">
        <v>283</v>
      </c>
      <c r="F214" s="417">
        <v>0</v>
      </c>
      <c r="G214" s="418">
        <v>0</v>
      </c>
      <c r="H214" s="420">
        <v>0</v>
      </c>
      <c r="I214" s="417">
        <v>0</v>
      </c>
      <c r="J214" s="418">
        <v>0</v>
      </c>
      <c r="K214" s="428" t="s">
        <v>283</v>
      </c>
    </row>
    <row r="215" spans="1:11" ht="14.4" customHeight="1" thickBot="1" x14ac:dyDescent="0.35">
      <c r="A215" s="440" t="s">
        <v>489</v>
      </c>
      <c r="B215" s="422">
        <v>566.05144965713703</v>
      </c>
      <c r="C215" s="422">
        <v>404.61696000000001</v>
      </c>
      <c r="D215" s="423">
        <v>-161.43448965713699</v>
      </c>
      <c r="E215" s="429">
        <v>0.714805977875</v>
      </c>
      <c r="F215" s="422">
        <v>369.05558319859102</v>
      </c>
      <c r="G215" s="423">
        <v>369.05558319859102</v>
      </c>
      <c r="H215" s="425">
        <v>27.737390000000001</v>
      </c>
      <c r="I215" s="422">
        <v>408.06941999999998</v>
      </c>
      <c r="J215" s="423">
        <v>39.013836801407997</v>
      </c>
      <c r="K215" s="430">
        <v>1.105712631314</v>
      </c>
    </row>
    <row r="216" spans="1:11" ht="14.4" customHeight="1" thickBot="1" x14ac:dyDescent="0.35">
      <c r="A216" s="438" t="s">
        <v>490</v>
      </c>
      <c r="B216" s="422">
        <v>0</v>
      </c>
      <c r="C216" s="422">
        <v>23.944569999999999</v>
      </c>
      <c r="D216" s="423">
        <v>23.944569999999999</v>
      </c>
      <c r="E216" s="424" t="s">
        <v>283</v>
      </c>
      <c r="F216" s="422">
        <v>0</v>
      </c>
      <c r="G216" s="423">
        <v>0</v>
      </c>
      <c r="H216" s="425">
        <v>3.8999999999999999E-4</v>
      </c>
      <c r="I216" s="422">
        <v>-7.3999999999999999E-4</v>
      </c>
      <c r="J216" s="423">
        <v>-7.3999999999999999E-4</v>
      </c>
      <c r="K216" s="426" t="s">
        <v>283</v>
      </c>
    </row>
    <row r="217" spans="1:11" ht="14.4" customHeight="1" thickBot="1" x14ac:dyDescent="0.35">
      <c r="A217" s="439" t="s">
        <v>491</v>
      </c>
      <c r="B217" s="417">
        <v>0</v>
      </c>
      <c r="C217" s="417">
        <v>-1.4300000000000001E-3</v>
      </c>
      <c r="D217" s="418">
        <v>-1.4300000000000001E-3</v>
      </c>
      <c r="E217" s="427" t="s">
        <v>283</v>
      </c>
      <c r="F217" s="417">
        <v>0</v>
      </c>
      <c r="G217" s="418">
        <v>0</v>
      </c>
      <c r="H217" s="420">
        <v>3.8999999999999999E-4</v>
      </c>
      <c r="I217" s="417">
        <v>-7.3999999999999999E-4</v>
      </c>
      <c r="J217" s="418">
        <v>-7.3999999999999999E-4</v>
      </c>
      <c r="K217" s="428" t="s">
        <v>283</v>
      </c>
    </row>
    <row r="218" spans="1:11" ht="14.4" customHeight="1" thickBot="1" x14ac:dyDescent="0.35">
      <c r="A218" s="439" t="s">
        <v>492</v>
      </c>
      <c r="B218" s="417">
        <v>0</v>
      </c>
      <c r="C218" s="417">
        <v>15.57</v>
      </c>
      <c r="D218" s="418">
        <v>15.57</v>
      </c>
      <c r="E218" s="427" t="s">
        <v>289</v>
      </c>
      <c r="F218" s="417">
        <v>0</v>
      </c>
      <c r="G218" s="418">
        <v>0</v>
      </c>
      <c r="H218" s="420">
        <v>0</v>
      </c>
      <c r="I218" s="417">
        <v>0</v>
      </c>
      <c r="J218" s="418">
        <v>0</v>
      </c>
      <c r="K218" s="428" t="s">
        <v>283</v>
      </c>
    </row>
    <row r="219" spans="1:11" ht="14.4" customHeight="1" thickBot="1" x14ac:dyDescent="0.35">
      <c r="A219" s="439" t="s">
        <v>493</v>
      </c>
      <c r="B219" s="417">
        <v>0</v>
      </c>
      <c r="C219" s="417">
        <v>8.3759999999999994</v>
      </c>
      <c r="D219" s="418">
        <v>8.3759999999999994</v>
      </c>
      <c r="E219" s="427" t="s">
        <v>289</v>
      </c>
      <c r="F219" s="417">
        <v>0</v>
      </c>
      <c r="G219" s="418">
        <v>0</v>
      </c>
      <c r="H219" s="420">
        <v>0</v>
      </c>
      <c r="I219" s="417">
        <v>0</v>
      </c>
      <c r="J219" s="418">
        <v>0</v>
      </c>
      <c r="K219" s="428" t="s">
        <v>283</v>
      </c>
    </row>
    <row r="220" spans="1:11" ht="14.4" customHeight="1" thickBot="1" x14ac:dyDescent="0.35">
      <c r="A220" s="438" t="s">
        <v>494</v>
      </c>
      <c r="B220" s="422">
        <v>566.05144965713703</v>
      </c>
      <c r="C220" s="422">
        <v>341.22739000000001</v>
      </c>
      <c r="D220" s="423">
        <v>-224.82405965713701</v>
      </c>
      <c r="E220" s="429">
        <v>0.60282045069599999</v>
      </c>
      <c r="F220" s="422">
        <v>369.05558319859102</v>
      </c>
      <c r="G220" s="423">
        <v>369.05558319859102</v>
      </c>
      <c r="H220" s="425">
        <v>27.178000000000001</v>
      </c>
      <c r="I220" s="422">
        <v>405.71116000000001</v>
      </c>
      <c r="J220" s="423">
        <v>36.655576801408003</v>
      </c>
      <c r="K220" s="430">
        <v>1.0993226453410001</v>
      </c>
    </row>
    <row r="221" spans="1:11" ht="14.4" customHeight="1" thickBot="1" x14ac:dyDescent="0.35">
      <c r="A221" s="439" t="s">
        <v>495</v>
      </c>
      <c r="B221" s="417">
        <v>500</v>
      </c>
      <c r="C221" s="417">
        <v>271.572</v>
      </c>
      <c r="D221" s="418">
        <v>-228.428</v>
      </c>
      <c r="E221" s="419">
        <v>0.54314399999999996</v>
      </c>
      <c r="F221" s="417">
        <v>300</v>
      </c>
      <c r="G221" s="418">
        <v>300</v>
      </c>
      <c r="H221" s="420">
        <v>10.683999999999999</v>
      </c>
      <c r="I221" s="417">
        <v>304.25200000000001</v>
      </c>
      <c r="J221" s="418">
        <v>4.2519999999989997</v>
      </c>
      <c r="K221" s="421">
        <v>1.0141733333330001</v>
      </c>
    </row>
    <row r="222" spans="1:11" ht="14.4" customHeight="1" thickBot="1" x14ac:dyDescent="0.35">
      <c r="A222" s="439" t="s">
        <v>496</v>
      </c>
      <c r="B222" s="417">
        <v>0</v>
      </c>
      <c r="C222" s="417">
        <v>9.1660000000000004</v>
      </c>
      <c r="D222" s="418">
        <v>9.1660000000000004</v>
      </c>
      <c r="E222" s="427" t="s">
        <v>283</v>
      </c>
      <c r="F222" s="417">
        <v>0</v>
      </c>
      <c r="G222" s="418">
        <v>0</v>
      </c>
      <c r="H222" s="420">
        <v>1.022</v>
      </c>
      <c r="I222" s="417">
        <v>19.131</v>
      </c>
      <c r="J222" s="418">
        <v>19.131</v>
      </c>
      <c r="K222" s="428" t="s">
        <v>283</v>
      </c>
    </row>
    <row r="223" spans="1:11" ht="14.4" customHeight="1" thickBot="1" x14ac:dyDescent="0.35">
      <c r="A223" s="439" t="s">
        <v>497</v>
      </c>
      <c r="B223" s="417">
        <v>45.062003121815003</v>
      </c>
      <c r="C223" s="417">
        <v>53.499000000000002</v>
      </c>
      <c r="D223" s="418">
        <v>8.4369968781840008</v>
      </c>
      <c r="E223" s="419">
        <v>1.1872308440299999</v>
      </c>
      <c r="F223" s="417">
        <v>48.066136663268999</v>
      </c>
      <c r="G223" s="418">
        <v>48.066136663268999</v>
      </c>
      <c r="H223" s="420">
        <v>15.472</v>
      </c>
      <c r="I223" s="417">
        <v>61.353000000000002</v>
      </c>
      <c r="J223" s="418">
        <v>13.286863336730001</v>
      </c>
      <c r="K223" s="421">
        <v>1.276428776246</v>
      </c>
    </row>
    <row r="224" spans="1:11" ht="14.4" customHeight="1" thickBot="1" x14ac:dyDescent="0.35">
      <c r="A224" s="439" t="s">
        <v>498</v>
      </c>
      <c r="B224" s="417">
        <v>20.989446535321001</v>
      </c>
      <c r="C224" s="417">
        <v>6.9903899999999997</v>
      </c>
      <c r="D224" s="418">
        <v>-13.999056535320999</v>
      </c>
      <c r="E224" s="419">
        <v>0.33304308373399999</v>
      </c>
      <c r="F224" s="417">
        <v>20.989446535321001</v>
      </c>
      <c r="G224" s="418">
        <v>20.989446535321001</v>
      </c>
      <c r="H224" s="420">
        <v>0</v>
      </c>
      <c r="I224" s="417">
        <v>20.975159999999999</v>
      </c>
      <c r="J224" s="418">
        <v>-1.4286535321E-2</v>
      </c>
      <c r="K224" s="421">
        <v>0.99931934673400002</v>
      </c>
    </row>
    <row r="225" spans="1:11" ht="14.4" customHeight="1" thickBot="1" x14ac:dyDescent="0.35">
      <c r="A225" s="438" t="s">
        <v>499</v>
      </c>
      <c r="B225" s="422">
        <v>0</v>
      </c>
      <c r="C225" s="422">
        <v>39.445</v>
      </c>
      <c r="D225" s="423">
        <v>39.445</v>
      </c>
      <c r="E225" s="424" t="s">
        <v>283</v>
      </c>
      <c r="F225" s="422">
        <v>0</v>
      </c>
      <c r="G225" s="423">
        <v>0</v>
      </c>
      <c r="H225" s="425">
        <v>0.55900000000000005</v>
      </c>
      <c r="I225" s="422">
        <v>2.359</v>
      </c>
      <c r="J225" s="423">
        <v>2.359</v>
      </c>
      <c r="K225" s="426" t="s">
        <v>283</v>
      </c>
    </row>
    <row r="226" spans="1:11" ht="14.4" customHeight="1" thickBot="1" x14ac:dyDescent="0.35">
      <c r="A226" s="439" t="s">
        <v>500</v>
      </c>
      <c r="B226" s="417">
        <v>0</v>
      </c>
      <c r="C226" s="417">
        <v>39.445</v>
      </c>
      <c r="D226" s="418">
        <v>39.445</v>
      </c>
      <c r="E226" s="427" t="s">
        <v>283</v>
      </c>
      <c r="F226" s="417">
        <v>0</v>
      </c>
      <c r="G226" s="418">
        <v>0</v>
      </c>
      <c r="H226" s="420">
        <v>0.55900000000000005</v>
      </c>
      <c r="I226" s="417">
        <v>2.359</v>
      </c>
      <c r="J226" s="418">
        <v>2.359</v>
      </c>
      <c r="K226" s="428" t="s">
        <v>283</v>
      </c>
    </row>
    <row r="227" spans="1:11" ht="14.4" customHeight="1" thickBot="1" x14ac:dyDescent="0.35">
      <c r="A227" s="436" t="s">
        <v>501</v>
      </c>
      <c r="B227" s="417">
        <v>0</v>
      </c>
      <c r="C227" s="417">
        <v>132.41999999999999</v>
      </c>
      <c r="D227" s="418">
        <v>132.41999999999999</v>
      </c>
      <c r="E227" s="427" t="s">
        <v>283</v>
      </c>
      <c r="F227" s="417">
        <v>102</v>
      </c>
      <c r="G227" s="418">
        <v>102</v>
      </c>
      <c r="H227" s="420">
        <v>0</v>
      </c>
      <c r="I227" s="417">
        <v>237.58</v>
      </c>
      <c r="J227" s="418">
        <v>135.58000000000001</v>
      </c>
      <c r="K227" s="421">
        <v>2.3292156862739999</v>
      </c>
    </row>
    <row r="228" spans="1:11" ht="14.4" customHeight="1" thickBot="1" x14ac:dyDescent="0.35">
      <c r="A228" s="440" t="s">
        <v>502</v>
      </c>
      <c r="B228" s="422">
        <v>0</v>
      </c>
      <c r="C228" s="422">
        <v>132.41999999999999</v>
      </c>
      <c r="D228" s="423">
        <v>132.41999999999999</v>
      </c>
      <c r="E228" s="424" t="s">
        <v>283</v>
      </c>
      <c r="F228" s="422">
        <v>102</v>
      </c>
      <c r="G228" s="423">
        <v>102</v>
      </c>
      <c r="H228" s="425">
        <v>0</v>
      </c>
      <c r="I228" s="422">
        <v>237.58</v>
      </c>
      <c r="J228" s="423">
        <v>135.58000000000001</v>
      </c>
      <c r="K228" s="430">
        <v>2.3292156862739999</v>
      </c>
    </row>
    <row r="229" spans="1:11" ht="14.4" customHeight="1" thickBot="1" x14ac:dyDescent="0.35">
      <c r="A229" s="438" t="s">
        <v>503</v>
      </c>
      <c r="B229" s="422">
        <v>0</v>
      </c>
      <c r="C229" s="422">
        <v>132.41999999999999</v>
      </c>
      <c r="D229" s="423">
        <v>132.41999999999999</v>
      </c>
      <c r="E229" s="424" t="s">
        <v>283</v>
      </c>
      <c r="F229" s="422">
        <v>102</v>
      </c>
      <c r="G229" s="423">
        <v>102</v>
      </c>
      <c r="H229" s="425">
        <v>0</v>
      </c>
      <c r="I229" s="422">
        <v>237.58</v>
      </c>
      <c r="J229" s="423">
        <v>135.58000000000001</v>
      </c>
      <c r="K229" s="430">
        <v>2.3292156862739999</v>
      </c>
    </row>
    <row r="230" spans="1:11" ht="14.4" customHeight="1" thickBot="1" x14ac:dyDescent="0.35">
      <c r="A230" s="439" t="s">
        <v>504</v>
      </c>
      <c r="B230" s="417">
        <v>0</v>
      </c>
      <c r="C230" s="417">
        <v>115</v>
      </c>
      <c r="D230" s="418">
        <v>115</v>
      </c>
      <c r="E230" s="427" t="s">
        <v>283</v>
      </c>
      <c r="F230" s="417">
        <v>0</v>
      </c>
      <c r="G230" s="418">
        <v>0</v>
      </c>
      <c r="H230" s="420">
        <v>0</v>
      </c>
      <c r="I230" s="417">
        <v>135</v>
      </c>
      <c r="J230" s="418">
        <v>135</v>
      </c>
      <c r="K230" s="428" t="s">
        <v>283</v>
      </c>
    </row>
    <row r="231" spans="1:11" ht="14.4" customHeight="1" thickBot="1" x14ac:dyDescent="0.35">
      <c r="A231" s="439" t="s">
        <v>505</v>
      </c>
      <c r="B231" s="417">
        <v>0</v>
      </c>
      <c r="C231" s="417">
        <v>17.420000000000002</v>
      </c>
      <c r="D231" s="418">
        <v>17.420000000000002</v>
      </c>
      <c r="E231" s="427" t="s">
        <v>289</v>
      </c>
      <c r="F231" s="417">
        <v>102</v>
      </c>
      <c r="G231" s="418">
        <v>102</v>
      </c>
      <c r="H231" s="420">
        <v>0</v>
      </c>
      <c r="I231" s="417">
        <v>102.58</v>
      </c>
      <c r="J231" s="418">
        <v>0.57999999999899998</v>
      </c>
      <c r="K231" s="421">
        <v>1.0056862745090001</v>
      </c>
    </row>
    <row r="232" spans="1:11" ht="14.4" customHeight="1" thickBot="1" x14ac:dyDescent="0.35">
      <c r="A232" s="435" t="s">
        <v>506</v>
      </c>
      <c r="B232" s="417">
        <v>5248.1590039108596</v>
      </c>
      <c r="C232" s="417">
        <v>4843.0664800000004</v>
      </c>
      <c r="D232" s="418">
        <v>-405.09252391085698</v>
      </c>
      <c r="E232" s="419">
        <v>0.92281245221200003</v>
      </c>
      <c r="F232" s="417">
        <v>4951.0340232492199</v>
      </c>
      <c r="G232" s="418">
        <v>4951.0340232492199</v>
      </c>
      <c r="H232" s="420">
        <v>730.67457999999999</v>
      </c>
      <c r="I232" s="417">
        <v>5369.8261700000003</v>
      </c>
      <c r="J232" s="418">
        <v>418.79214675077901</v>
      </c>
      <c r="K232" s="421">
        <v>1.08458680445</v>
      </c>
    </row>
    <row r="233" spans="1:11" ht="14.4" customHeight="1" thickBot="1" x14ac:dyDescent="0.35">
      <c r="A233" s="441" t="s">
        <v>507</v>
      </c>
      <c r="B233" s="422">
        <v>5248.1590039108596</v>
      </c>
      <c r="C233" s="422">
        <v>4843.0664800000004</v>
      </c>
      <c r="D233" s="423">
        <v>-405.09252391085698</v>
      </c>
      <c r="E233" s="429">
        <v>0.92281245221200003</v>
      </c>
      <c r="F233" s="422">
        <v>4951.0340232492199</v>
      </c>
      <c r="G233" s="423">
        <v>4951.0340232492199</v>
      </c>
      <c r="H233" s="425">
        <v>730.67457999999999</v>
      </c>
      <c r="I233" s="422">
        <v>5369.8261700000003</v>
      </c>
      <c r="J233" s="423">
        <v>418.79214675077901</v>
      </c>
      <c r="K233" s="430">
        <v>1.08458680445</v>
      </c>
    </row>
    <row r="234" spans="1:11" ht="14.4" customHeight="1" thickBot="1" x14ac:dyDescent="0.35">
      <c r="A234" s="440" t="s">
        <v>54</v>
      </c>
      <c r="B234" s="422">
        <v>5248.1590039108596</v>
      </c>
      <c r="C234" s="422">
        <v>4843.0664800000004</v>
      </c>
      <c r="D234" s="423">
        <v>-405.09252391085698</v>
      </c>
      <c r="E234" s="429">
        <v>0.92281245221200003</v>
      </c>
      <c r="F234" s="422">
        <v>4951.0340232492199</v>
      </c>
      <c r="G234" s="423">
        <v>4951.0340232492199</v>
      </c>
      <c r="H234" s="425">
        <v>730.67457999999999</v>
      </c>
      <c r="I234" s="422">
        <v>5369.8261700000003</v>
      </c>
      <c r="J234" s="423">
        <v>418.79214675077901</v>
      </c>
      <c r="K234" s="430">
        <v>1.08458680445</v>
      </c>
    </row>
    <row r="235" spans="1:11" ht="14.4" customHeight="1" thickBot="1" x14ac:dyDescent="0.35">
      <c r="A235" s="438" t="s">
        <v>508</v>
      </c>
      <c r="B235" s="422">
        <v>49.999999999998998</v>
      </c>
      <c r="C235" s="422">
        <v>52.040999999999997</v>
      </c>
      <c r="D235" s="423">
        <v>2.0409999999999999</v>
      </c>
      <c r="E235" s="429">
        <v>1.0408200000000001</v>
      </c>
      <c r="F235" s="422">
        <v>42</v>
      </c>
      <c r="G235" s="423">
        <v>42</v>
      </c>
      <c r="H235" s="425">
        <v>4.4577499999999999</v>
      </c>
      <c r="I235" s="422">
        <v>53.911000000000001</v>
      </c>
      <c r="J235" s="423">
        <v>11.911</v>
      </c>
      <c r="K235" s="430">
        <v>1.283595238095</v>
      </c>
    </row>
    <row r="236" spans="1:11" ht="14.4" customHeight="1" thickBot="1" x14ac:dyDescent="0.35">
      <c r="A236" s="439" t="s">
        <v>509</v>
      </c>
      <c r="B236" s="417">
        <v>49.999999999998998</v>
      </c>
      <c r="C236" s="417">
        <v>52.040999999999997</v>
      </c>
      <c r="D236" s="418">
        <v>2.0409999999999999</v>
      </c>
      <c r="E236" s="419">
        <v>1.0408200000000001</v>
      </c>
      <c r="F236" s="417">
        <v>42</v>
      </c>
      <c r="G236" s="418">
        <v>42</v>
      </c>
      <c r="H236" s="420">
        <v>4.4577499999999999</v>
      </c>
      <c r="I236" s="417">
        <v>53.911000000000001</v>
      </c>
      <c r="J236" s="418">
        <v>11.911</v>
      </c>
      <c r="K236" s="421">
        <v>1.283595238095</v>
      </c>
    </row>
    <row r="237" spans="1:11" ht="14.4" customHeight="1" thickBot="1" x14ac:dyDescent="0.35">
      <c r="A237" s="438" t="s">
        <v>510</v>
      </c>
      <c r="B237" s="422">
        <v>342.08054622072399</v>
      </c>
      <c r="C237" s="422">
        <v>235.14500000000001</v>
      </c>
      <c r="D237" s="423">
        <v>-106.93554622072401</v>
      </c>
      <c r="E237" s="429">
        <v>0.68739658714200003</v>
      </c>
      <c r="F237" s="422">
        <v>240.03402324922001</v>
      </c>
      <c r="G237" s="423">
        <v>240.03402324922001</v>
      </c>
      <c r="H237" s="425">
        <v>29.211500000000001</v>
      </c>
      <c r="I237" s="422">
        <v>354.28640000000001</v>
      </c>
      <c r="J237" s="423">
        <v>114.25237675078</v>
      </c>
      <c r="K237" s="430">
        <v>1.4759840926050001</v>
      </c>
    </row>
    <row r="238" spans="1:11" ht="14.4" customHeight="1" thickBot="1" x14ac:dyDescent="0.35">
      <c r="A238" s="439" t="s">
        <v>511</v>
      </c>
      <c r="B238" s="417">
        <v>342.08054622072399</v>
      </c>
      <c r="C238" s="417">
        <v>235.14500000000001</v>
      </c>
      <c r="D238" s="418">
        <v>-106.93554622072401</v>
      </c>
      <c r="E238" s="419">
        <v>0.68739658714200003</v>
      </c>
      <c r="F238" s="417">
        <v>240.03402324922001</v>
      </c>
      <c r="G238" s="418">
        <v>240.03402324922001</v>
      </c>
      <c r="H238" s="420">
        <v>29.211500000000001</v>
      </c>
      <c r="I238" s="417">
        <v>354.28640000000001</v>
      </c>
      <c r="J238" s="418">
        <v>114.25237675078</v>
      </c>
      <c r="K238" s="421">
        <v>1.4759840926050001</v>
      </c>
    </row>
    <row r="239" spans="1:11" ht="14.4" customHeight="1" thickBot="1" x14ac:dyDescent="0.35">
      <c r="A239" s="438" t="s">
        <v>512</v>
      </c>
      <c r="B239" s="422">
        <v>200.07845769019301</v>
      </c>
      <c r="C239" s="422">
        <v>201.8434</v>
      </c>
      <c r="D239" s="423">
        <v>1.764942309806</v>
      </c>
      <c r="E239" s="429">
        <v>1.008821251074</v>
      </c>
      <c r="F239" s="422">
        <v>217</v>
      </c>
      <c r="G239" s="423">
        <v>217</v>
      </c>
      <c r="H239" s="425">
        <v>11.17098</v>
      </c>
      <c r="I239" s="422">
        <v>140.80176</v>
      </c>
      <c r="J239" s="423">
        <v>-76.198239999999998</v>
      </c>
      <c r="K239" s="430">
        <v>0.64885603686600002</v>
      </c>
    </row>
    <row r="240" spans="1:11" ht="14.4" customHeight="1" thickBot="1" x14ac:dyDescent="0.35">
      <c r="A240" s="439" t="s">
        <v>513</v>
      </c>
      <c r="B240" s="417">
        <v>200.07845769019301</v>
      </c>
      <c r="C240" s="417">
        <v>201.8434</v>
      </c>
      <c r="D240" s="418">
        <v>1.764942309806</v>
      </c>
      <c r="E240" s="419">
        <v>1.008821251074</v>
      </c>
      <c r="F240" s="417">
        <v>217</v>
      </c>
      <c r="G240" s="418">
        <v>217</v>
      </c>
      <c r="H240" s="420">
        <v>11.17098</v>
      </c>
      <c r="I240" s="417">
        <v>140.80176</v>
      </c>
      <c r="J240" s="418">
        <v>-76.198239999999998</v>
      </c>
      <c r="K240" s="421">
        <v>0.64885603686600002</v>
      </c>
    </row>
    <row r="241" spans="1:11" ht="14.4" customHeight="1" thickBot="1" x14ac:dyDescent="0.35">
      <c r="A241" s="438" t="s">
        <v>514</v>
      </c>
      <c r="B241" s="422">
        <v>0</v>
      </c>
      <c r="C241" s="422">
        <v>13.131</v>
      </c>
      <c r="D241" s="423">
        <v>13.131</v>
      </c>
      <c r="E241" s="424" t="s">
        <v>283</v>
      </c>
      <c r="F241" s="422">
        <v>0</v>
      </c>
      <c r="G241" s="423">
        <v>0</v>
      </c>
      <c r="H241" s="425">
        <v>0</v>
      </c>
      <c r="I241" s="422">
        <v>1.96</v>
      </c>
      <c r="J241" s="423">
        <v>1.96</v>
      </c>
      <c r="K241" s="426" t="s">
        <v>289</v>
      </c>
    </row>
    <row r="242" spans="1:11" ht="14.4" customHeight="1" thickBot="1" x14ac:dyDescent="0.35">
      <c r="A242" s="439" t="s">
        <v>515</v>
      </c>
      <c r="B242" s="417">
        <v>0</v>
      </c>
      <c r="C242" s="417">
        <v>13.131</v>
      </c>
      <c r="D242" s="418">
        <v>13.131</v>
      </c>
      <c r="E242" s="427" t="s">
        <v>283</v>
      </c>
      <c r="F242" s="417">
        <v>0</v>
      </c>
      <c r="G242" s="418">
        <v>0</v>
      </c>
      <c r="H242" s="420">
        <v>0</v>
      </c>
      <c r="I242" s="417">
        <v>1.96</v>
      </c>
      <c r="J242" s="418">
        <v>1.96</v>
      </c>
      <c r="K242" s="428" t="s">
        <v>289</v>
      </c>
    </row>
    <row r="243" spans="1:11" ht="14.4" customHeight="1" thickBot="1" x14ac:dyDescent="0.35">
      <c r="A243" s="438" t="s">
        <v>516</v>
      </c>
      <c r="B243" s="422">
        <v>714.99999999999102</v>
      </c>
      <c r="C243" s="422">
        <v>634.39757999999995</v>
      </c>
      <c r="D243" s="423">
        <v>-80.602419999990005</v>
      </c>
      <c r="E243" s="429">
        <v>0.88726934265699997</v>
      </c>
      <c r="F243" s="422">
        <v>881</v>
      </c>
      <c r="G243" s="423">
        <v>881</v>
      </c>
      <c r="H243" s="425">
        <v>93.399360000000001</v>
      </c>
      <c r="I243" s="422">
        <v>773.17161999999996</v>
      </c>
      <c r="J243" s="423">
        <v>-107.82838</v>
      </c>
      <c r="K243" s="430">
        <v>0.87760683314400001</v>
      </c>
    </row>
    <row r="244" spans="1:11" ht="14.4" customHeight="1" thickBot="1" x14ac:dyDescent="0.35">
      <c r="A244" s="439" t="s">
        <v>517</v>
      </c>
      <c r="B244" s="417">
        <v>714.99999999999102</v>
      </c>
      <c r="C244" s="417">
        <v>634.39757999999995</v>
      </c>
      <c r="D244" s="418">
        <v>-80.602419999990005</v>
      </c>
      <c r="E244" s="419">
        <v>0.88726934265699997</v>
      </c>
      <c r="F244" s="417">
        <v>881</v>
      </c>
      <c r="G244" s="418">
        <v>881</v>
      </c>
      <c r="H244" s="420">
        <v>93.399360000000001</v>
      </c>
      <c r="I244" s="417">
        <v>773.17161999999996</v>
      </c>
      <c r="J244" s="418">
        <v>-107.82838</v>
      </c>
      <c r="K244" s="421">
        <v>0.87760683314400001</v>
      </c>
    </row>
    <row r="245" spans="1:11" ht="14.4" customHeight="1" thickBot="1" x14ac:dyDescent="0.35">
      <c r="A245" s="438" t="s">
        <v>518</v>
      </c>
      <c r="B245" s="422">
        <v>0</v>
      </c>
      <c r="C245" s="422">
        <v>255.25620000000001</v>
      </c>
      <c r="D245" s="423">
        <v>255.25620000000001</v>
      </c>
      <c r="E245" s="424" t="s">
        <v>283</v>
      </c>
      <c r="F245" s="422">
        <v>0</v>
      </c>
      <c r="G245" s="423">
        <v>0</v>
      </c>
      <c r="H245" s="425">
        <v>194.458</v>
      </c>
      <c r="I245" s="422">
        <v>336.74560000000002</v>
      </c>
      <c r="J245" s="423">
        <v>336.74560000000002</v>
      </c>
      <c r="K245" s="426" t="s">
        <v>289</v>
      </c>
    </row>
    <row r="246" spans="1:11" ht="14.4" customHeight="1" thickBot="1" x14ac:dyDescent="0.35">
      <c r="A246" s="439" t="s">
        <v>519</v>
      </c>
      <c r="B246" s="417">
        <v>0</v>
      </c>
      <c r="C246" s="417">
        <v>255.25620000000001</v>
      </c>
      <c r="D246" s="418">
        <v>255.25620000000001</v>
      </c>
      <c r="E246" s="427" t="s">
        <v>283</v>
      </c>
      <c r="F246" s="417">
        <v>0</v>
      </c>
      <c r="G246" s="418">
        <v>0</v>
      </c>
      <c r="H246" s="420">
        <v>194.458</v>
      </c>
      <c r="I246" s="417">
        <v>336.74560000000002</v>
      </c>
      <c r="J246" s="418">
        <v>336.74560000000002</v>
      </c>
      <c r="K246" s="428" t="s">
        <v>289</v>
      </c>
    </row>
    <row r="247" spans="1:11" ht="14.4" customHeight="1" thickBot="1" x14ac:dyDescent="0.35">
      <c r="A247" s="438" t="s">
        <v>520</v>
      </c>
      <c r="B247" s="422">
        <v>3940.99999999995</v>
      </c>
      <c r="C247" s="422">
        <v>3451.2523000000001</v>
      </c>
      <c r="D247" s="423">
        <v>-489.74769999994999</v>
      </c>
      <c r="E247" s="429">
        <v>0.87573009388400003</v>
      </c>
      <c r="F247" s="422">
        <v>3571</v>
      </c>
      <c r="G247" s="423">
        <v>3571</v>
      </c>
      <c r="H247" s="425">
        <v>397.97699</v>
      </c>
      <c r="I247" s="422">
        <v>3708.9497900000001</v>
      </c>
      <c r="J247" s="423">
        <v>137.94979000000001</v>
      </c>
      <c r="K247" s="430">
        <v>1.0386305768690001</v>
      </c>
    </row>
    <row r="248" spans="1:11" ht="14.4" customHeight="1" thickBot="1" x14ac:dyDescent="0.35">
      <c r="A248" s="439" t="s">
        <v>521</v>
      </c>
      <c r="B248" s="417">
        <v>3940.99999999995</v>
      </c>
      <c r="C248" s="417">
        <v>3451.2523000000001</v>
      </c>
      <c r="D248" s="418">
        <v>-489.74769999994999</v>
      </c>
      <c r="E248" s="419">
        <v>0.87573009388400003</v>
      </c>
      <c r="F248" s="417">
        <v>3571</v>
      </c>
      <c r="G248" s="418">
        <v>3571</v>
      </c>
      <c r="H248" s="420">
        <v>397.97699</v>
      </c>
      <c r="I248" s="417">
        <v>3708.9497900000001</v>
      </c>
      <c r="J248" s="418">
        <v>137.94979000000001</v>
      </c>
      <c r="K248" s="421">
        <v>1.0386305768690001</v>
      </c>
    </row>
    <row r="249" spans="1:11" ht="14.4" customHeight="1" thickBot="1" x14ac:dyDescent="0.35">
      <c r="A249" s="443" t="s">
        <v>522</v>
      </c>
      <c r="B249" s="422">
        <v>0</v>
      </c>
      <c r="C249" s="422">
        <v>471.93561</v>
      </c>
      <c r="D249" s="423">
        <v>471.93561</v>
      </c>
      <c r="E249" s="424" t="s">
        <v>283</v>
      </c>
      <c r="F249" s="422">
        <v>0</v>
      </c>
      <c r="G249" s="423">
        <v>0</v>
      </c>
      <c r="H249" s="425">
        <v>21.02591</v>
      </c>
      <c r="I249" s="422">
        <v>522.49166000000002</v>
      </c>
      <c r="J249" s="423">
        <v>522.49166000000002</v>
      </c>
      <c r="K249" s="426" t="s">
        <v>289</v>
      </c>
    </row>
    <row r="250" spans="1:11" ht="14.4" customHeight="1" thickBot="1" x14ac:dyDescent="0.35">
      <c r="A250" s="441" t="s">
        <v>523</v>
      </c>
      <c r="B250" s="422">
        <v>0</v>
      </c>
      <c r="C250" s="422">
        <v>471.93561</v>
      </c>
      <c r="D250" s="423">
        <v>471.93561</v>
      </c>
      <c r="E250" s="424" t="s">
        <v>283</v>
      </c>
      <c r="F250" s="422">
        <v>0</v>
      </c>
      <c r="G250" s="423">
        <v>0</v>
      </c>
      <c r="H250" s="425">
        <v>21.02591</v>
      </c>
      <c r="I250" s="422">
        <v>522.49166000000002</v>
      </c>
      <c r="J250" s="423">
        <v>522.49166000000002</v>
      </c>
      <c r="K250" s="426" t="s">
        <v>289</v>
      </c>
    </row>
    <row r="251" spans="1:11" ht="14.4" customHeight="1" thickBot="1" x14ac:dyDescent="0.35">
      <c r="A251" s="440" t="s">
        <v>524</v>
      </c>
      <c r="B251" s="422">
        <v>0</v>
      </c>
      <c r="C251" s="422">
        <v>471.93561</v>
      </c>
      <c r="D251" s="423">
        <v>471.93561</v>
      </c>
      <c r="E251" s="424" t="s">
        <v>283</v>
      </c>
      <c r="F251" s="422">
        <v>0</v>
      </c>
      <c r="G251" s="423">
        <v>0</v>
      </c>
      <c r="H251" s="425">
        <v>21.02591</v>
      </c>
      <c r="I251" s="422">
        <v>522.49166000000002</v>
      </c>
      <c r="J251" s="423">
        <v>522.49166000000002</v>
      </c>
      <c r="K251" s="426" t="s">
        <v>289</v>
      </c>
    </row>
    <row r="252" spans="1:11" ht="14.4" customHeight="1" thickBot="1" x14ac:dyDescent="0.35">
      <c r="A252" s="438" t="s">
        <v>525</v>
      </c>
      <c r="B252" s="422">
        <v>0</v>
      </c>
      <c r="C252" s="422">
        <v>471.93561</v>
      </c>
      <c r="D252" s="423">
        <v>471.93561</v>
      </c>
      <c r="E252" s="424" t="s">
        <v>283</v>
      </c>
      <c r="F252" s="422">
        <v>0</v>
      </c>
      <c r="G252" s="423">
        <v>0</v>
      </c>
      <c r="H252" s="425">
        <v>21.02591</v>
      </c>
      <c r="I252" s="422">
        <v>522.49166000000002</v>
      </c>
      <c r="J252" s="423">
        <v>522.49166000000002</v>
      </c>
      <c r="K252" s="426" t="s">
        <v>289</v>
      </c>
    </row>
    <row r="253" spans="1:11" ht="14.4" customHeight="1" thickBot="1" x14ac:dyDescent="0.35">
      <c r="A253" s="439" t="s">
        <v>526</v>
      </c>
      <c r="B253" s="417">
        <v>0</v>
      </c>
      <c r="C253" s="417">
        <v>0</v>
      </c>
      <c r="D253" s="418">
        <v>0</v>
      </c>
      <c r="E253" s="427" t="s">
        <v>283</v>
      </c>
      <c r="F253" s="417">
        <v>0</v>
      </c>
      <c r="G253" s="418">
        <v>0</v>
      </c>
      <c r="H253" s="420">
        <v>0</v>
      </c>
      <c r="I253" s="417">
        <v>3.339</v>
      </c>
      <c r="J253" s="418">
        <v>3.339</v>
      </c>
      <c r="K253" s="428" t="s">
        <v>289</v>
      </c>
    </row>
    <row r="254" spans="1:11" ht="14.4" customHeight="1" thickBot="1" x14ac:dyDescent="0.35">
      <c r="A254" s="439" t="s">
        <v>527</v>
      </c>
      <c r="B254" s="417">
        <v>0</v>
      </c>
      <c r="C254" s="417">
        <v>459.92781000000002</v>
      </c>
      <c r="D254" s="418">
        <v>459.92781000000002</v>
      </c>
      <c r="E254" s="427" t="s">
        <v>283</v>
      </c>
      <c r="F254" s="417">
        <v>0</v>
      </c>
      <c r="G254" s="418">
        <v>0</v>
      </c>
      <c r="H254" s="420">
        <v>21.02591</v>
      </c>
      <c r="I254" s="417">
        <v>517.98825999999997</v>
      </c>
      <c r="J254" s="418">
        <v>517.98825999999997</v>
      </c>
      <c r="K254" s="428" t="s">
        <v>289</v>
      </c>
    </row>
    <row r="255" spans="1:11" ht="14.4" customHeight="1" thickBot="1" x14ac:dyDescent="0.35">
      <c r="A255" s="439" t="s">
        <v>528</v>
      </c>
      <c r="B255" s="417">
        <v>0</v>
      </c>
      <c r="C255" s="417">
        <v>12.0078</v>
      </c>
      <c r="D255" s="418">
        <v>12.0078</v>
      </c>
      <c r="E255" s="427" t="s">
        <v>283</v>
      </c>
      <c r="F255" s="417">
        <v>0</v>
      </c>
      <c r="G255" s="418">
        <v>0</v>
      </c>
      <c r="H255" s="420">
        <v>0</v>
      </c>
      <c r="I255" s="417">
        <v>1.1644000000000001</v>
      </c>
      <c r="J255" s="418">
        <v>1.1644000000000001</v>
      </c>
      <c r="K255" s="428" t="s">
        <v>289</v>
      </c>
    </row>
    <row r="256" spans="1:11" ht="14.4" customHeight="1" thickBot="1" x14ac:dyDescent="0.35">
      <c r="A256" s="444"/>
      <c r="B256" s="417">
        <v>31884.875358413999</v>
      </c>
      <c r="C256" s="417">
        <v>34791.830199999997</v>
      </c>
      <c r="D256" s="418">
        <v>2906.9548415859799</v>
      </c>
      <c r="E256" s="419">
        <v>1.0911703373120001</v>
      </c>
      <c r="F256" s="417">
        <v>37969.1456164146</v>
      </c>
      <c r="G256" s="418">
        <v>37969.1456164146</v>
      </c>
      <c r="H256" s="420">
        <v>693.14246999999898</v>
      </c>
      <c r="I256" s="417">
        <v>45317.053599999999</v>
      </c>
      <c r="J256" s="418">
        <v>7347.90798358542</v>
      </c>
      <c r="K256" s="421">
        <v>1.1935231321190001</v>
      </c>
    </row>
    <row r="257" spans="1:11" ht="14.4" customHeight="1" thickBot="1" x14ac:dyDescent="0.35">
      <c r="A257" s="445" t="s">
        <v>66</v>
      </c>
      <c r="B257" s="431">
        <v>31884.875358413999</v>
      </c>
      <c r="C257" s="431">
        <v>34791.830199999997</v>
      </c>
      <c r="D257" s="432">
        <v>2906.9548415859999</v>
      </c>
      <c r="E257" s="433" t="s">
        <v>283</v>
      </c>
      <c r="F257" s="431">
        <v>37969.1456164146</v>
      </c>
      <c r="G257" s="432">
        <v>37969.1456164146</v>
      </c>
      <c r="H257" s="431">
        <v>693.14246999999898</v>
      </c>
      <c r="I257" s="431">
        <v>45317.053599999999</v>
      </c>
      <c r="J257" s="432">
        <v>7347.90798358543</v>
      </c>
      <c r="K257" s="434">
        <v>1.1935231321190001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9" customWidth="1"/>
    <col min="2" max="2" width="61.109375" style="209" customWidth="1"/>
    <col min="3" max="3" width="9.5546875" style="130" customWidth="1"/>
    <col min="4" max="4" width="9.5546875" style="210" customWidth="1"/>
    <col min="5" max="5" width="2.21875" style="210" customWidth="1"/>
    <col min="6" max="6" width="9.5546875" style="211" customWidth="1"/>
    <col min="7" max="7" width="9.5546875" style="208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139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5" t="s">
        <v>282</v>
      </c>
      <c r="B2" s="207"/>
      <c r="C2" s="207"/>
      <c r="D2" s="207"/>
      <c r="E2" s="207"/>
      <c r="F2" s="207"/>
    </row>
    <row r="3" spans="1:10" ht="14.4" customHeight="1" thickBot="1" x14ac:dyDescent="0.35">
      <c r="A3" s="235"/>
      <c r="B3" s="207"/>
      <c r="C3" s="293">
        <v>2012</v>
      </c>
      <c r="D3" s="294">
        <v>2013</v>
      </c>
      <c r="E3" s="7"/>
      <c r="F3" s="349">
        <v>2014</v>
      </c>
      <c r="G3" s="350"/>
      <c r="H3" s="350"/>
      <c r="I3" s="351"/>
    </row>
    <row r="4" spans="1:10" ht="14.4" customHeight="1" thickBot="1" x14ac:dyDescent="0.35">
      <c r="A4" s="298" t="s">
        <v>0</v>
      </c>
      <c r="B4" s="299" t="s">
        <v>267</v>
      </c>
      <c r="C4" s="352" t="s">
        <v>73</v>
      </c>
      <c r="D4" s="353"/>
      <c r="E4" s="300"/>
      <c r="F4" s="295" t="s">
        <v>73</v>
      </c>
      <c r="G4" s="296" t="s">
        <v>74</v>
      </c>
      <c r="H4" s="296" t="s">
        <v>68</v>
      </c>
      <c r="I4" s="297" t="s">
        <v>75</v>
      </c>
    </row>
    <row r="5" spans="1:10" ht="14.4" customHeight="1" x14ac:dyDescent="0.3">
      <c r="A5" s="446" t="s">
        <v>529</v>
      </c>
      <c r="B5" s="447" t="s">
        <v>530</v>
      </c>
      <c r="C5" s="448" t="s">
        <v>531</v>
      </c>
      <c r="D5" s="448" t="s">
        <v>531</v>
      </c>
      <c r="E5" s="448"/>
      <c r="F5" s="448" t="s">
        <v>531</v>
      </c>
      <c r="G5" s="448" t="s">
        <v>531</v>
      </c>
      <c r="H5" s="448" t="s">
        <v>531</v>
      </c>
      <c r="I5" s="449" t="s">
        <v>531</v>
      </c>
      <c r="J5" s="450" t="s">
        <v>69</v>
      </c>
    </row>
    <row r="6" spans="1:10" ht="14.4" customHeight="1" x14ac:dyDescent="0.3">
      <c r="A6" s="446" t="s">
        <v>529</v>
      </c>
      <c r="B6" s="447" t="s">
        <v>292</v>
      </c>
      <c r="C6" s="448">
        <v>298.74014999999997</v>
      </c>
      <c r="D6" s="448">
        <v>198.51465999999996</v>
      </c>
      <c r="E6" s="448"/>
      <c r="F6" s="448">
        <v>140.34773999999999</v>
      </c>
      <c r="G6" s="448">
        <v>198.66503300038102</v>
      </c>
      <c r="H6" s="448">
        <v>-58.317293000381028</v>
      </c>
      <c r="I6" s="449">
        <v>0.70645416498499169</v>
      </c>
      <c r="J6" s="450" t="s">
        <v>1</v>
      </c>
    </row>
    <row r="7" spans="1:10" ht="14.4" customHeight="1" x14ac:dyDescent="0.3">
      <c r="A7" s="446" t="s">
        <v>529</v>
      </c>
      <c r="B7" s="447" t="s">
        <v>532</v>
      </c>
      <c r="C7" s="448">
        <v>0</v>
      </c>
      <c r="D7" s="448">
        <v>0</v>
      </c>
      <c r="E7" s="448"/>
      <c r="F7" s="448" t="s">
        <v>531</v>
      </c>
      <c r="G7" s="448" t="s">
        <v>531</v>
      </c>
      <c r="H7" s="448" t="s">
        <v>531</v>
      </c>
      <c r="I7" s="449" t="s">
        <v>531</v>
      </c>
      <c r="J7" s="450" t="s">
        <v>1</v>
      </c>
    </row>
    <row r="8" spans="1:10" ht="14.4" customHeight="1" x14ac:dyDescent="0.3">
      <c r="A8" s="446" t="s">
        <v>529</v>
      </c>
      <c r="B8" s="447" t="s">
        <v>533</v>
      </c>
      <c r="C8" s="448">
        <v>298.74014999999997</v>
      </c>
      <c r="D8" s="448">
        <v>198.51465999999996</v>
      </c>
      <c r="E8" s="448"/>
      <c r="F8" s="448">
        <v>140.34773999999999</v>
      </c>
      <c r="G8" s="448">
        <v>198.66503300038102</v>
      </c>
      <c r="H8" s="448">
        <v>-58.317293000381028</v>
      </c>
      <c r="I8" s="449">
        <v>0.70645416498499169</v>
      </c>
      <c r="J8" s="450" t="s">
        <v>534</v>
      </c>
    </row>
    <row r="10" spans="1:10" ht="14.4" customHeight="1" x14ac:dyDescent="0.3">
      <c r="A10" s="446" t="s">
        <v>529</v>
      </c>
      <c r="B10" s="447" t="s">
        <v>530</v>
      </c>
      <c r="C10" s="448" t="s">
        <v>531</v>
      </c>
      <c r="D10" s="448" t="s">
        <v>531</v>
      </c>
      <c r="E10" s="448"/>
      <c r="F10" s="448" t="s">
        <v>531</v>
      </c>
      <c r="G10" s="448" t="s">
        <v>531</v>
      </c>
      <c r="H10" s="448" t="s">
        <v>531</v>
      </c>
      <c r="I10" s="449" t="s">
        <v>531</v>
      </c>
      <c r="J10" s="450" t="s">
        <v>69</v>
      </c>
    </row>
    <row r="11" spans="1:10" ht="14.4" customHeight="1" x14ac:dyDescent="0.3">
      <c r="A11" s="446" t="s">
        <v>535</v>
      </c>
      <c r="B11" s="447" t="s">
        <v>536</v>
      </c>
      <c r="C11" s="448" t="s">
        <v>531</v>
      </c>
      <c r="D11" s="448" t="s">
        <v>531</v>
      </c>
      <c r="E11" s="448"/>
      <c r="F11" s="448" t="s">
        <v>531</v>
      </c>
      <c r="G11" s="448" t="s">
        <v>531</v>
      </c>
      <c r="H11" s="448" t="s">
        <v>531</v>
      </c>
      <c r="I11" s="449" t="s">
        <v>531</v>
      </c>
      <c r="J11" s="450" t="s">
        <v>0</v>
      </c>
    </row>
    <row r="12" spans="1:10" ht="14.4" customHeight="1" x14ac:dyDescent="0.3">
      <c r="A12" s="446" t="s">
        <v>535</v>
      </c>
      <c r="B12" s="447" t="s">
        <v>292</v>
      </c>
      <c r="C12" s="448">
        <v>3.8194900000000001</v>
      </c>
      <c r="D12" s="448">
        <v>0</v>
      </c>
      <c r="E12" s="448"/>
      <c r="F12" s="448">
        <v>5.1866000000000003</v>
      </c>
      <c r="G12" s="448">
        <v>0</v>
      </c>
      <c r="H12" s="448">
        <v>5.1866000000000003</v>
      </c>
      <c r="I12" s="449" t="s">
        <v>531</v>
      </c>
      <c r="J12" s="450" t="s">
        <v>1</v>
      </c>
    </row>
    <row r="13" spans="1:10" ht="14.4" customHeight="1" x14ac:dyDescent="0.3">
      <c r="A13" s="446" t="s">
        <v>535</v>
      </c>
      <c r="B13" s="447" t="s">
        <v>537</v>
      </c>
      <c r="C13" s="448">
        <v>3.8194900000000001</v>
      </c>
      <c r="D13" s="448">
        <v>0</v>
      </c>
      <c r="E13" s="448"/>
      <c r="F13" s="448">
        <v>5.1866000000000003</v>
      </c>
      <c r="G13" s="448">
        <v>0</v>
      </c>
      <c r="H13" s="448">
        <v>5.1866000000000003</v>
      </c>
      <c r="I13" s="449" t="s">
        <v>531</v>
      </c>
      <c r="J13" s="450" t="s">
        <v>538</v>
      </c>
    </row>
    <row r="14" spans="1:10" ht="14.4" customHeight="1" x14ac:dyDescent="0.3">
      <c r="A14" s="446" t="s">
        <v>531</v>
      </c>
      <c r="B14" s="447" t="s">
        <v>531</v>
      </c>
      <c r="C14" s="448" t="s">
        <v>531</v>
      </c>
      <c r="D14" s="448" t="s">
        <v>531</v>
      </c>
      <c r="E14" s="448"/>
      <c r="F14" s="448" t="s">
        <v>531</v>
      </c>
      <c r="G14" s="448" t="s">
        <v>531</v>
      </c>
      <c r="H14" s="448" t="s">
        <v>531</v>
      </c>
      <c r="I14" s="449" t="s">
        <v>531</v>
      </c>
      <c r="J14" s="450" t="s">
        <v>539</v>
      </c>
    </row>
    <row r="15" spans="1:10" ht="14.4" customHeight="1" x14ac:dyDescent="0.3">
      <c r="A15" s="446" t="s">
        <v>540</v>
      </c>
      <c r="B15" s="447" t="s">
        <v>541</v>
      </c>
      <c r="C15" s="448" t="s">
        <v>531</v>
      </c>
      <c r="D15" s="448" t="s">
        <v>531</v>
      </c>
      <c r="E15" s="448"/>
      <c r="F15" s="448" t="s">
        <v>531</v>
      </c>
      <c r="G15" s="448" t="s">
        <v>531</v>
      </c>
      <c r="H15" s="448" t="s">
        <v>531</v>
      </c>
      <c r="I15" s="449" t="s">
        <v>531</v>
      </c>
      <c r="J15" s="450" t="s">
        <v>0</v>
      </c>
    </row>
    <row r="16" spans="1:10" ht="14.4" customHeight="1" x14ac:dyDescent="0.3">
      <c r="A16" s="446" t="s">
        <v>540</v>
      </c>
      <c r="B16" s="447" t="s">
        <v>292</v>
      </c>
      <c r="C16" s="448">
        <v>294.92066</v>
      </c>
      <c r="D16" s="448">
        <v>198.51465999999996</v>
      </c>
      <c r="E16" s="448"/>
      <c r="F16" s="448">
        <v>135.16113999999999</v>
      </c>
      <c r="G16" s="448">
        <v>198.66503300038102</v>
      </c>
      <c r="H16" s="448">
        <v>-63.503893000381026</v>
      </c>
      <c r="I16" s="449">
        <v>0.68034690332113334</v>
      </c>
      <c r="J16" s="450" t="s">
        <v>1</v>
      </c>
    </row>
    <row r="17" spans="1:10" ht="14.4" customHeight="1" x14ac:dyDescent="0.3">
      <c r="A17" s="446" t="s">
        <v>540</v>
      </c>
      <c r="B17" s="447" t="s">
        <v>532</v>
      </c>
      <c r="C17" s="448">
        <v>-160</v>
      </c>
      <c r="D17" s="448">
        <v>0</v>
      </c>
      <c r="E17" s="448"/>
      <c r="F17" s="448" t="s">
        <v>531</v>
      </c>
      <c r="G17" s="448" t="s">
        <v>531</v>
      </c>
      <c r="H17" s="448" t="s">
        <v>531</v>
      </c>
      <c r="I17" s="449" t="s">
        <v>531</v>
      </c>
      <c r="J17" s="450" t="s">
        <v>1</v>
      </c>
    </row>
    <row r="18" spans="1:10" ht="14.4" customHeight="1" x14ac:dyDescent="0.3">
      <c r="A18" s="446" t="s">
        <v>540</v>
      </c>
      <c r="B18" s="447" t="s">
        <v>542</v>
      </c>
      <c r="C18" s="448">
        <v>134.92066</v>
      </c>
      <c r="D18" s="448">
        <v>198.51465999999996</v>
      </c>
      <c r="E18" s="448"/>
      <c r="F18" s="448">
        <v>135.16113999999999</v>
      </c>
      <c r="G18" s="448">
        <v>198.66503300038102</v>
      </c>
      <c r="H18" s="448">
        <v>-63.503893000381026</v>
      </c>
      <c r="I18" s="449">
        <v>0.68034690332113334</v>
      </c>
      <c r="J18" s="450" t="s">
        <v>538</v>
      </c>
    </row>
    <row r="19" spans="1:10" ht="14.4" customHeight="1" x14ac:dyDescent="0.3">
      <c r="A19" s="446" t="s">
        <v>531</v>
      </c>
      <c r="B19" s="447" t="s">
        <v>531</v>
      </c>
      <c r="C19" s="448" t="s">
        <v>531</v>
      </c>
      <c r="D19" s="448" t="s">
        <v>531</v>
      </c>
      <c r="E19" s="448"/>
      <c r="F19" s="448" t="s">
        <v>531</v>
      </c>
      <c r="G19" s="448" t="s">
        <v>531</v>
      </c>
      <c r="H19" s="448" t="s">
        <v>531</v>
      </c>
      <c r="I19" s="449" t="s">
        <v>531</v>
      </c>
      <c r="J19" s="450" t="s">
        <v>539</v>
      </c>
    </row>
    <row r="20" spans="1:10" ht="14.4" customHeight="1" x14ac:dyDescent="0.3">
      <c r="A20" s="446" t="s">
        <v>543</v>
      </c>
      <c r="B20" s="447" t="s">
        <v>544</v>
      </c>
      <c r="C20" s="448" t="s">
        <v>531</v>
      </c>
      <c r="D20" s="448" t="s">
        <v>531</v>
      </c>
      <c r="E20" s="448"/>
      <c r="F20" s="448" t="s">
        <v>531</v>
      </c>
      <c r="G20" s="448" t="s">
        <v>531</v>
      </c>
      <c r="H20" s="448" t="s">
        <v>531</v>
      </c>
      <c r="I20" s="449" t="s">
        <v>531</v>
      </c>
      <c r="J20" s="450" t="s">
        <v>0</v>
      </c>
    </row>
    <row r="21" spans="1:10" ht="14.4" customHeight="1" x14ac:dyDescent="0.3">
      <c r="A21" s="446" t="s">
        <v>543</v>
      </c>
      <c r="B21" s="447" t="s">
        <v>532</v>
      </c>
      <c r="C21" s="448">
        <v>160</v>
      </c>
      <c r="D21" s="448" t="s">
        <v>531</v>
      </c>
      <c r="E21" s="448"/>
      <c r="F21" s="448" t="s">
        <v>531</v>
      </c>
      <c r="G21" s="448" t="s">
        <v>531</v>
      </c>
      <c r="H21" s="448" t="s">
        <v>531</v>
      </c>
      <c r="I21" s="449" t="s">
        <v>531</v>
      </c>
      <c r="J21" s="450" t="s">
        <v>1</v>
      </c>
    </row>
    <row r="22" spans="1:10" ht="14.4" customHeight="1" x14ac:dyDescent="0.3">
      <c r="A22" s="446" t="s">
        <v>543</v>
      </c>
      <c r="B22" s="447" t="s">
        <v>545</v>
      </c>
      <c r="C22" s="448">
        <v>160</v>
      </c>
      <c r="D22" s="448" t="s">
        <v>531</v>
      </c>
      <c r="E22" s="448"/>
      <c r="F22" s="448" t="s">
        <v>531</v>
      </c>
      <c r="G22" s="448" t="s">
        <v>531</v>
      </c>
      <c r="H22" s="448" t="s">
        <v>531</v>
      </c>
      <c r="I22" s="449" t="s">
        <v>531</v>
      </c>
      <c r="J22" s="450" t="s">
        <v>538</v>
      </c>
    </row>
    <row r="23" spans="1:10" ht="14.4" customHeight="1" x14ac:dyDescent="0.3">
      <c r="A23" s="446" t="s">
        <v>531</v>
      </c>
      <c r="B23" s="447" t="s">
        <v>531</v>
      </c>
      <c r="C23" s="448" t="s">
        <v>531</v>
      </c>
      <c r="D23" s="448" t="s">
        <v>531</v>
      </c>
      <c r="E23" s="448"/>
      <c r="F23" s="448" t="s">
        <v>531</v>
      </c>
      <c r="G23" s="448" t="s">
        <v>531</v>
      </c>
      <c r="H23" s="448" t="s">
        <v>531</v>
      </c>
      <c r="I23" s="449" t="s">
        <v>531</v>
      </c>
      <c r="J23" s="450" t="s">
        <v>539</v>
      </c>
    </row>
    <row r="24" spans="1:10" ht="14.4" customHeight="1" x14ac:dyDescent="0.3">
      <c r="A24" s="446" t="s">
        <v>529</v>
      </c>
      <c r="B24" s="447" t="s">
        <v>533</v>
      </c>
      <c r="C24" s="448">
        <v>298.74014999999997</v>
      </c>
      <c r="D24" s="448">
        <v>198.51465999999996</v>
      </c>
      <c r="E24" s="448"/>
      <c r="F24" s="448">
        <v>140.34773999999999</v>
      </c>
      <c r="G24" s="448">
        <v>198.66503300038102</v>
      </c>
      <c r="H24" s="448">
        <v>-58.317293000381028</v>
      </c>
      <c r="I24" s="449">
        <v>0.70645416498499169</v>
      </c>
      <c r="J24" s="450" t="s">
        <v>534</v>
      </c>
    </row>
  </sheetData>
  <mergeCells count="3">
    <mergeCell ref="F3:I3"/>
    <mergeCell ref="C4:D4"/>
    <mergeCell ref="A1:I1"/>
  </mergeCells>
  <conditionalFormatting sqref="F9 F25:F65537">
    <cfRule type="cellIs" dxfId="54" priority="18" stopIfTrue="1" operator="greaterThan">
      <formula>1</formula>
    </cfRule>
  </conditionalFormatting>
  <conditionalFormatting sqref="H5:H8">
    <cfRule type="expression" dxfId="53" priority="14">
      <formula>$H5&gt;0</formula>
    </cfRule>
  </conditionalFormatting>
  <conditionalFormatting sqref="I5:I8">
    <cfRule type="expression" dxfId="52" priority="15">
      <formula>$I5&gt;1</formula>
    </cfRule>
  </conditionalFormatting>
  <conditionalFormatting sqref="B5:B8">
    <cfRule type="expression" dxfId="51" priority="11">
      <formula>OR($J5="NS",$J5="SumaNS",$J5="Účet")</formula>
    </cfRule>
  </conditionalFormatting>
  <conditionalFormatting sqref="B5:D8 F5:I8">
    <cfRule type="expression" dxfId="50" priority="17">
      <formula>AND($J5&lt;&gt;"",$J5&lt;&gt;"mezeraKL")</formula>
    </cfRule>
  </conditionalFormatting>
  <conditionalFormatting sqref="B5:D8 F5:I8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8" priority="13">
      <formula>OR($J5="SumaNS",$J5="NS")</formula>
    </cfRule>
  </conditionalFormatting>
  <conditionalFormatting sqref="A5:A8">
    <cfRule type="expression" dxfId="47" priority="9">
      <formula>AND($J5&lt;&gt;"mezeraKL",$J5&lt;&gt;"")</formula>
    </cfRule>
  </conditionalFormatting>
  <conditionalFormatting sqref="A5:A8">
    <cfRule type="expression" dxfId="46" priority="10">
      <formula>AND($J5&lt;&gt;"",$J5&lt;&gt;"mezeraKL")</formula>
    </cfRule>
  </conditionalFormatting>
  <conditionalFormatting sqref="H10:H24">
    <cfRule type="expression" dxfId="45" priority="5">
      <formula>$H10&gt;0</formula>
    </cfRule>
  </conditionalFormatting>
  <conditionalFormatting sqref="A10:A24">
    <cfRule type="expression" dxfId="44" priority="2">
      <formula>AND($J10&lt;&gt;"mezeraKL",$J10&lt;&gt;"")</formula>
    </cfRule>
  </conditionalFormatting>
  <conditionalFormatting sqref="I10:I24">
    <cfRule type="expression" dxfId="43" priority="6">
      <formula>$I10&gt;1</formula>
    </cfRule>
  </conditionalFormatting>
  <conditionalFormatting sqref="B10:B24">
    <cfRule type="expression" dxfId="42" priority="1">
      <formula>OR($J10="NS",$J10="SumaNS",$J10="Účet")</formula>
    </cfRule>
  </conditionalFormatting>
  <conditionalFormatting sqref="A10:D24 F10:I24">
    <cfRule type="expression" dxfId="41" priority="8">
      <formula>AND($J10&lt;&gt;"",$J10&lt;&gt;"mezeraKL")</formula>
    </cfRule>
  </conditionalFormatting>
  <conditionalFormatting sqref="B10:D24 F10:I24">
    <cfRule type="expression" dxfId="40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4 F10:I24">
    <cfRule type="expression" dxfId="39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10" bestFit="1" customWidth="1" collapsed="1"/>
    <col min="4" max="4" width="18.77734375" style="214" customWidth="1"/>
    <col min="5" max="5" width="9" style="210" bestFit="1" customWidth="1"/>
    <col min="6" max="6" width="18.77734375" style="214" customWidth="1"/>
    <col min="7" max="7" width="5" style="210" customWidth="1"/>
    <col min="8" max="8" width="12.44140625" style="210" hidden="1" customWidth="1" outlineLevel="1"/>
    <col min="9" max="9" width="8.5546875" style="210" hidden="1" customWidth="1" outlineLevel="1"/>
    <col min="10" max="10" width="25.77734375" style="210" customWidth="1" collapsed="1"/>
    <col min="11" max="11" width="8.77734375" style="210" customWidth="1"/>
    <col min="12" max="13" width="7.77734375" style="208" customWidth="1"/>
    <col min="14" max="14" width="11.109375" style="208" customWidth="1"/>
    <col min="15" max="16384" width="8.88671875" style="130"/>
  </cols>
  <sheetData>
    <row r="1" spans="1:14" ht="18.600000000000001" customHeight="1" thickBot="1" x14ac:dyDescent="0.4">
      <c r="A1" s="361" t="s">
        <v>166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1:14" ht="14.4" customHeight="1" thickBot="1" x14ac:dyDescent="0.35">
      <c r="A2" s="235" t="s">
        <v>282</v>
      </c>
      <c r="B2" s="62"/>
      <c r="C2" s="212"/>
      <c r="D2" s="212"/>
      <c r="E2" s="212"/>
      <c r="F2" s="212"/>
      <c r="G2" s="212"/>
      <c r="H2" s="212"/>
      <c r="I2" s="212"/>
      <c r="J2" s="212"/>
      <c r="K2" s="212"/>
      <c r="L2" s="213"/>
      <c r="M2" s="213"/>
      <c r="N2" s="213"/>
    </row>
    <row r="3" spans="1:14" ht="14.4" customHeight="1" thickBot="1" x14ac:dyDescent="0.35">
      <c r="A3" s="62"/>
      <c r="B3" s="62"/>
      <c r="C3" s="357"/>
      <c r="D3" s="358"/>
      <c r="E3" s="358"/>
      <c r="F3" s="358"/>
      <c r="G3" s="358"/>
      <c r="H3" s="358"/>
      <c r="I3" s="358"/>
      <c r="J3" s="359" t="s">
        <v>129</v>
      </c>
      <c r="K3" s="360"/>
      <c r="L3" s="98">
        <f>IF(M3&lt;&gt;0,N3/M3,0)</f>
        <v>67.7162326111619</v>
      </c>
      <c r="M3" s="98">
        <f>SUBTOTAL(9,M5:M1048576)</f>
        <v>1882</v>
      </c>
      <c r="N3" s="99">
        <f>SUBTOTAL(9,N5:N1048576)</f>
        <v>127441.94977420669</v>
      </c>
    </row>
    <row r="4" spans="1:14" s="209" customFormat="1" ht="14.4" customHeight="1" thickBot="1" x14ac:dyDescent="0.35">
      <c r="A4" s="451" t="s">
        <v>4</v>
      </c>
      <c r="B4" s="452" t="s">
        <v>5</v>
      </c>
      <c r="C4" s="452" t="s">
        <v>0</v>
      </c>
      <c r="D4" s="452" t="s">
        <v>6</v>
      </c>
      <c r="E4" s="452" t="s">
        <v>7</v>
      </c>
      <c r="F4" s="452" t="s">
        <v>1</v>
      </c>
      <c r="G4" s="452" t="s">
        <v>8</v>
      </c>
      <c r="H4" s="452" t="s">
        <v>9</v>
      </c>
      <c r="I4" s="452" t="s">
        <v>10</v>
      </c>
      <c r="J4" s="453" t="s">
        <v>11</v>
      </c>
      <c r="K4" s="453" t="s">
        <v>12</v>
      </c>
      <c r="L4" s="454" t="s">
        <v>144</v>
      </c>
      <c r="M4" s="454" t="s">
        <v>13</v>
      </c>
      <c r="N4" s="455" t="s">
        <v>161</v>
      </c>
    </row>
    <row r="5" spans="1:14" ht="14.4" customHeight="1" x14ac:dyDescent="0.3">
      <c r="A5" s="458" t="s">
        <v>529</v>
      </c>
      <c r="B5" s="459" t="s">
        <v>690</v>
      </c>
      <c r="C5" s="460" t="s">
        <v>540</v>
      </c>
      <c r="D5" s="461" t="s">
        <v>691</v>
      </c>
      <c r="E5" s="460" t="s">
        <v>546</v>
      </c>
      <c r="F5" s="461" t="s">
        <v>692</v>
      </c>
      <c r="G5" s="460" t="s">
        <v>547</v>
      </c>
      <c r="H5" s="460" t="s">
        <v>548</v>
      </c>
      <c r="I5" s="460" t="s">
        <v>549</v>
      </c>
      <c r="J5" s="460" t="s">
        <v>550</v>
      </c>
      <c r="K5" s="460" t="s">
        <v>551</v>
      </c>
      <c r="L5" s="462">
        <v>88.84999999999998</v>
      </c>
      <c r="M5" s="462">
        <v>3</v>
      </c>
      <c r="N5" s="463">
        <v>266.54999999999995</v>
      </c>
    </row>
    <row r="6" spans="1:14" ht="14.4" customHeight="1" x14ac:dyDescent="0.3">
      <c r="A6" s="464" t="s">
        <v>529</v>
      </c>
      <c r="B6" s="465" t="s">
        <v>690</v>
      </c>
      <c r="C6" s="466" t="s">
        <v>540</v>
      </c>
      <c r="D6" s="467" t="s">
        <v>691</v>
      </c>
      <c r="E6" s="466" t="s">
        <v>546</v>
      </c>
      <c r="F6" s="467" t="s">
        <v>692</v>
      </c>
      <c r="G6" s="466" t="s">
        <v>547</v>
      </c>
      <c r="H6" s="466" t="s">
        <v>552</v>
      </c>
      <c r="I6" s="466" t="s">
        <v>553</v>
      </c>
      <c r="J6" s="466" t="s">
        <v>554</v>
      </c>
      <c r="K6" s="466" t="s">
        <v>555</v>
      </c>
      <c r="L6" s="468">
        <v>101.39005651136179</v>
      </c>
      <c r="M6" s="468">
        <v>4</v>
      </c>
      <c r="N6" s="469">
        <v>405.56022604544717</v>
      </c>
    </row>
    <row r="7" spans="1:14" ht="14.4" customHeight="1" x14ac:dyDescent="0.3">
      <c r="A7" s="464" t="s">
        <v>529</v>
      </c>
      <c r="B7" s="465" t="s">
        <v>690</v>
      </c>
      <c r="C7" s="466" t="s">
        <v>540</v>
      </c>
      <c r="D7" s="467" t="s">
        <v>691</v>
      </c>
      <c r="E7" s="466" t="s">
        <v>546</v>
      </c>
      <c r="F7" s="467" t="s">
        <v>692</v>
      </c>
      <c r="G7" s="466" t="s">
        <v>547</v>
      </c>
      <c r="H7" s="466" t="s">
        <v>556</v>
      </c>
      <c r="I7" s="466" t="s">
        <v>557</v>
      </c>
      <c r="J7" s="466" t="s">
        <v>558</v>
      </c>
      <c r="K7" s="466" t="s">
        <v>559</v>
      </c>
      <c r="L7" s="468">
        <v>60.26</v>
      </c>
      <c r="M7" s="468">
        <v>2</v>
      </c>
      <c r="N7" s="469">
        <v>120.52</v>
      </c>
    </row>
    <row r="8" spans="1:14" ht="14.4" customHeight="1" x14ac:dyDescent="0.3">
      <c r="A8" s="464" t="s">
        <v>529</v>
      </c>
      <c r="B8" s="465" t="s">
        <v>690</v>
      </c>
      <c r="C8" s="466" t="s">
        <v>540</v>
      </c>
      <c r="D8" s="467" t="s">
        <v>691</v>
      </c>
      <c r="E8" s="466" t="s">
        <v>546</v>
      </c>
      <c r="F8" s="467" t="s">
        <v>692</v>
      </c>
      <c r="G8" s="466" t="s">
        <v>547</v>
      </c>
      <c r="H8" s="466" t="s">
        <v>560</v>
      </c>
      <c r="I8" s="466" t="s">
        <v>561</v>
      </c>
      <c r="J8" s="466" t="s">
        <v>558</v>
      </c>
      <c r="K8" s="466" t="s">
        <v>562</v>
      </c>
      <c r="L8" s="468">
        <v>65.03</v>
      </c>
      <c r="M8" s="468">
        <v>4</v>
      </c>
      <c r="N8" s="469">
        <v>260.12</v>
      </c>
    </row>
    <row r="9" spans="1:14" ht="14.4" customHeight="1" x14ac:dyDescent="0.3">
      <c r="A9" s="464" t="s">
        <v>529</v>
      </c>
      <c r="B9" s="465" t="s">
        <v>690</v>
      </c>
      <c r="C9" s="466" t="s">
        <v>540</v>
      </c>
      <c r="D9" s="467" t="s">
        <v>691</v>
      </c>
      <c r="E9" s="466" t="s">
        <v>546</v>
      </c>
      <c r="F9" s="467" t="s">
        <v>692</v>
      </c>
      <c r="G9" s="466" t="s">
        <v>547</v>
      </c>
      <c r="H9" s="466" t="s">
        <v>563</v>
      </c>
      <c r="I9" s="466" t="s">
        <v>564</v>
      </c>
      <c r="J9" s="466" t="s">
        <v>565</v>
      </c>
      <c r="K9" s="466" t="s">
        <v>566</v>
      </c>
      <c r="L9" s="468">
        <v>67.248397032288338</v>
      </c>
      <c r="M9" s="468">
        <v>82</v>
      </c>
      <c r="N9" s="469">
        <v>5514.3685566476443</v>
      </c>
    </row>
    <row r="10" spans="1:14" ht="14.4" customHeight="1" x14ac:dyDescent="0.3">
      <c r="A10" s="464" t="s">
        <v>529</v>
      </c>
      <c r="B10" s="465" t="s">
        <v>690</v>
      </c>
      <c r="C10" s="466" t="s">
        <v>540</v>
      </c>
      <c r="D10" s="467" t="s">
        <v>691</v>
      </c>
      <c r="E10" s="466" t="s">
        <v>546</v>
      </c>
      <c r="F10" s="467" t="s">
        <v>692</v>
      </c>
      <c r="G10" s="466" t="s">
        <v>547</v>
      </c>
      <c r="H10" s="466" t="s">
        <v>567</v>
      </c>
      <c r="I10" s="466" t="s">
        <v>568</v>
      </c>
      <c r="J10" s="466" t="s">
        <v>569</v>
      </c>
      <c r="K10" s="466" t="s">
        <v>570</v>
      </c>
      <c r="L10" s="468">
        <v>127.42</v>
      </c>
      <c r="M10" s="468">
        <v>2</v>
      </c>
      <c r="N10" s="469">
        <v>254.84</v>
      </c>
    </row>
    <row r="11" spans="1:14" ht="14.4" customHeight="1" x14ac:dyDescent="0.3">
      <c r="A11" s="464" t="s">
        <v>529</v>
      </c>
      <c r="B11" s="465" t="s">
        <v>690</v>
      </c>
      <c r="C11" s="466" t="s">
        <v>540</v>
      </c>
      <c r="D11" s="467" t="s">
        <v>691</v>
      </c>
      <c r="E11" s="466" t="s">
        <v>546</v>
      </c>
      <c r="F11" s="467" t="s">
        <v>692</v>
      </c>
      <c r="G11" s="466" t="s">
        <v>547</v>
      </c>
      <c r="H11" s="466" t="s">
        <v>571</v>
      </c>
      <c r="I11" s="466" t="s">
        <v>572</v>
      </c>
      <c r="J11" s="466" t="s">
        <v>573</v>
      </c>
      <c r="K11" s="466" t="s">
        <v>574</v>
      </c>
      <c r="L11" s="468">
        <v>44.969930819668484</v>
      </c>
      <c r="M11" s="468">
        <v>1</v>
      </c>
      <c r="N11" s="469">
        <v>44.969930819668484</v>
      </c>
    </row>
    <row r="12" spans="1:14" ht="14.4" customHeight="1" x14ac:dyDescent="0.3">
      <c r="A12" s="464" t="s">
        <v>529</v>
      </c>
      <c r="B12" s="465" t="s">
        <v>690</v>
      </c>
      <c r="C12" s="466" t="s">
        <v>540</v>
      </c>
      <c r="D12" s="467" t="s">
        <v>691</v>
      </c>
      <c r="E12" s="466" t="s">
        <v>546</v>
      </c>
      <c r="F12" s="467" t="s">
        <v>692</v>
      </c>
      <c r="G12" s="466" t="s">
        <v>547</v>
      </c>
      <c r="H12" s="466" t="s">
        <v>575</v>
      </c>
      <c r="I12" s="466" t="s">
        <v>576</v>
      </c>
      <c r="J12" s="466" t="s">
        <v>577</v>
      </c>
      <c r="K12" s="466" t="s">
        <v>578</v>
      </c>
      <c r="L12" s="468">
        <v>39.049999999999983</v>
      </c>
      <c r="M12" s="468">
        <v>6</v>
      </c>
      <c r="N12" s="469">
        <v>234.2999999999999</v>
      </c>
    </row>
    <row r="13" spans="1:14" ht="14.4" customHeight="1" x14ac:dyDescent="0.3">
      <c r="A13" s="464" t="s">
        <v>529</v>
      </c>
      <c r="B13" s="465" t="s">
        <v>690</v>
      </c>
      <c r="C13" s="466" t="s">
        <v>540</v>
      </c>
      <c r="D13" s="467" t="s">
        <v>691</v>
      </c>
      <c r="E13" s="466" t="s">
        <v>546</v>
      </c>
      <c r="F13" s="467" t="s">
        <v>692</v>
      </c>
      <c r="G13" s="466" t="s">
        <v>547</v>
      </c>
      <c r="H13" s="466" t="s">
        <v>579</v>
      </c>
      <c r="I13" s="466" t="s">
        <v>580</v>
      </c>
      <c r="J13" s="466" t="s">
        <v>581</v>
      </c>
      <c r="K13" s="466" t="s">
        <v>582</v>
      </c>
      <c r="L13" s="468">
        <v>121.84999999999998</v>
      </c>
      <c r="M13" s="468">
        <v>10</v>
      </c>
      <c r="N13" s="469">
        <v>1218.4999999999998</v>
      </c>
    </row>
    <row r="14" spans="1:14" ht="14.4" customHeight="1" x14ac:dyDescent="0.3">
      <c r="A14" s="464" t="s">
        <v>529</v>
      </c>
      <c r="B14" s="465" t="s">
        <v>690</v>
      </c>
      <c r="C14" s="466" t="s">
        <v>540</v>
      </c>
      <c r="D14" s="467" t="s">
        <v>691</v>
      </c>
      <c r="E14" s="466" t="s">
        <v>546</v>
      </c>
      <c r="F14" s="467" t="s">
        <v>692</v>
      </c>
      <c r="G14" s="466" t="s">
        <v>547</v>
      </c>
      <c r="H14" s="466" t="s">
        <v>583</v>
      </c>
      <c r="I14" s="466" t="s">
        <v>584</v>
      </c>
      <c r="J14" s="466" t="s">
        <v>585</v>
      </c>
      <c r="K14" s="466" t="s">
        <v>586</v>
      </c>
      <c r="L14" s="468">
        <v>128.50428761432269</v>
      </c>
      <c r="M14" s="468">
        <v>96</v>
      </c>
      <c r="N14" s="469">
        <v>12336.411610974979</v>
      </c>
    </row>
    <row r="15" spans="1:14" ht="14.4" customHeight="1" x14ac:dyDescent="0.3">
      <c r="A15" s="464" t="s">
        <v>529</v>
      </c>
      <c r="B15" s="465" t="s">
        <v>690</v>
      </c>
      <c r="C15" s="466" t="s">
        <v>540</v>
      </c>
      <c r="D15" s="467" t="s">
        <v>691</v>
      </c>
      <c r="E15" s="466" t="s">
        <v>546</v>
      </c>
      <c r="F15" s="467" t="s">
        <v>692</v>
      </c>
      <c r="G15" s="466" t="s">
        <v>547</v>
      </c>
      <c r="H15" s="466" t="s">
        <v>587</v>
      </c>
      <c r="I15" s="466" t="s">
        <v>588</v>
      </c>
      <c r="J15" s="466" t="s">
        <v>589</v>
      </c>
      <c r="K15" s="466" t="s">
        <v>590</v>
      </c>
      <c r="L15" s="468">
        <v>37.654125407771168</v>
      </c>
      <c r="M15" s="468">
        <v>39</v>
      </c>
      <c r="N15" s="469">
        <v>1468.5108909030755</v>
      </c>
    </row>
    <row r="16" spans="1:14" ht="14.4" customHeight="1" x14ac:dyDescent="0.3">
      <c r="A16" s="464" t="s">
        <v>529</v>
      </c>
      <c r="B16" s="465" t="s">
        <v>690</v>
      </c>
      <c r="C16" s="466" t="s">
        <v>540</v>
      </c>
      <c r="D16" s="467" t="s">
        <v>691</v>
      </c>
      <c r="E16" s="466" t="s">
        <v>546</v>
      </c>
      <c r="F16" s="467" t="s">
        <v>692</v>
      </c>
      <c r="G16" s="466" t="s">
        <v>547</v>
      </c>
      <c r="H16" s="466" t="s">
        <v>591</v>
      </c>
      <c r="I16" s="466" t="s">
        <v>592</v>
      </c>
      <c r="J16" s="466" t="s">
        <v>585</v>
      </c>
      <c r="K16" s="466" t="s">
        <v>593</v>
      </c>
      <c r="L16" s="468">
        <v>179.80000000000004</v>
      </c>
      <c r="M16" s="468">
        <v>12</v>
      </c>
      <c r="N16" s="469">
        <v>2157.6000000000004</v>
      </c>
    </row>
    <row r="17" spans="1:14" ht="14.4" customHeight="1" x14ac:dyDescent="0.3">
      <c r="A17" s="464" t="s">
        <v>529</v>
      </c>
      <c r="B17" s="465" t="s">
        <v>690</v>
      </c>
      <c r="C17" s="466" t="s">
        <v>540</v>
      </c>
      <c r="D17" s="467" t="s">
        <v>691</v>
      </c>
      <c r="E17" s="466" t="s">
        <v>546</v>
      </c>
      <c r="F17" s="467" t="s">
        <v>692</v>
      </c>
      <c r="G17" s="466" t="s">
        <v>547</v>
      </c>
      <c r="H17" s="466" t="s">
        <v>594</v>
      </c>
      <c r="I17" s="466" t="s">
        <v>595</v>
      </c>
      <c r="J17" s="466" t="s">
        <v>596</v>
      </c>
      <c r="K17" s="466" t="s">
        <v>597</v>
      </c>
      <c r="L17" s="468">
        <v>28.131499999999999</v>
      </c>
      <c r="M17" s="468">
        <v>20</v>
      </c>
      <c r="N17" s="469">
        <v>562.63</v>
      </c>
    </row>
    <row r="18" spans="1:14" ht="14.4" customHeight="1" x14ac:dyDescent="0.3">
      <c r="A18" s="464" t="s">
        <v>529</v>
      </c>
      <c r="B18" s="465" t="s">
        <v>690</v>
      </c>
      <c r="C18" s="466" t="s">
        <v>540</v>
      </c>
      <c r="D18" s="467" t="s">
        <v>691</v>
      </c>
      <c r="E18" s="466" t="s">
        <v>546</v>
      </c>
      <c r="F18" s="467" t="s">
        <v>692</v>
      </c>
      <c r="G18" s="466" t="s">
        <v>547</v>
      </c>
      <c r="H18" s="466" t="s">
        <v>598</v>
      </c>
      <c r="I18" s="466" t="s">
        <v>598</v>
      </c>
      <c r="J18" s="466" t="s">
        <v>599</v>
      </c>
      <c r="K18" s="466" t="s">
        <v>600</v>
      </c>
      <c r="L18" s="468">
        <v>109.87601756099748</v>
      </c>
      <c r="M18" s="468">
        <v>20</v>
      </c>
      <c r="N18" s="469">
        <v>2197.5203512199496</v>
      </c>
    </row>
    <row r="19" spans="1:14" ht="14.4" customHeight="1" x14ac:dyDescent="0.3">
      <c r="A19" s="464" t="s">
        <v>529</v>
      </c>
      <c r="B19" s="465" t="s">
        <v>690</v>
      </c>
      <c r="C19" s="466" t="s">
        <v>540</v>
      </c>
      <c r="D19" s="467" t="s">
        <v>691</v>
      </c>
      <c r="E19" s="466" t="s">
        <v>546</v>
      </c>
      <c r="F19" s="467" t="s">
        <v>692</v>
      </c>
      <c r="G19" s="466" t="s">
        <v>547</v>
      </c>
      <c r="H19" s="466" t="s">
        <v>601</v>
      </c>
      <c r="I19" s="466" t="s">
        <v>602</v>
      </c>
      <c r="J19" s="466" t="s">
        <v>603</v>
      </c>
      <c r="K19" s="466" t="s">
        <v>604</v>
      </c>
      <c r="L19" s="468">
        <v>53.110000000000014</v>
      </c>
      <c r="M19" s="468">
        <v>1</v>
      </c>
      <c r="N19" s="469">
        <v>53.110000000000014</v>
      </c>
    </row>
    <row r="20" spans="1:14" ht="14.4" customHeight="1" x14ac:dyDescent="0.3">
      <c r="A20" s="464" t="s">
        <v>529</v>
      </c>
      <c r="B20" s="465" t="s">
        <v>690</v>
      </c>
      <c r="C20" s="466" t="s">
        <v>540</v>
      </c>
      <c r="D20" s="467" t="s">
        <v>691</v>
      </c>
      <c r="E20" s="466" t="s">
        <v>546</v>
      </c>
      <c r="F20" s="467" t="s">
        <v>692</v>
      </c>
      <c r="G20" s="466" t="s">
        <v>547</v>
      </c>
      <c r="H20" s="466" t="s">
        <v>605</v>
      </c>
      <c r="I20" s="466" t="s">
        <v>191</v>
      </c>
      <c r="J20" s="466" t="s">
        <v>606</v>
      </c>
      <c r="K20" s="466"/>
      <c r="L20" s="468">
        <v>78.189896048878197</v>
      </c>
      <c r="M20" s="468">
        <v>4</v>
      </c>
      <c r="N20" s="469">
        <v>312.75958419551279</v>
      </c>
    </row>
    <row r="21" spans="1:14" ht="14.4" customHeight="1" x14ac:dyDescent="0.3">
      <c r="A21" s="464" t="s">
        <v>529</v>
      </c>
      <c r="B21" s="465" t="s">
        <v>690</v>
      </c>
      <c r="C21" s="466" t="s">
        <v>540</v>
      </c>
      <c r="D21" s="467" t="s">
        <v>691</v>
      </c>
      <c r="E21" s="466" t="s">
        <v>546</v>
      </c>
      <c r="F21" s="467" t="s">
        <v>692</v>
      </c>
      <c r="G21" s="466" t="s">
        <v>547</v>
      </c>
      <c r="H21" s="466" t="s">
        <v>607</v>
      </c>
      <c r="I21" s="466" t="s">
        <v>608</v>
      </c>
      <c r="J21" s="466" t="s">
        <v>609</v>
      </c>
      <c r="K21" s="466" t="s">
        <v>610</v>
      </c>
      <c r="L21" s="468">
        <v>327.06</v>
      </c>
      <c r="M21" s="468">
        <v>40</v>
      </c>
      <c r="N21" s="469">
        <v>13082.4</v>
      </c>
    </row>
    <row r="22" spans="1:14" ht="14.4" customHeight="1" x14ac:dyDescent="0.3">
      <c r="A22" s="464" t="s">
        <v>529</v>
      </c>
      <c r="B22" s="465" t="s">
        <v>690</v>
      </c>
      <c r="C22" s="466" t="s">
        <v>540</v>
      </c>
      <c r="D22" s="467" t="s">
        <v>691</v>
      </c>
      <c r="E22" s="466" t="s">
        <v>546</v>
      </c>
      <c r="F22" s="467" t="s">
        <v>692</v>
      </c>
      <c r="G22" s="466" t="s">
        <v>547</v>
      </c>
      <c r="H22" s="466" t="s">
        <v>611</v>
      </c>
      <c r="I22" s="466" t="s">
        <v>612</v>
      </c>
      <c r="J22" s="466" t="s">
        <v>609</v>
      </c>
      <c r="K22" s="466" t="s">
        <v>613</v>
      </c>
      <c r="L22" s="468">
        <v>246.32972239310183</v>
      </c>
      <c r="M22" s="468">
        <v>40</v>
      </c>
      <c r="N22" s="469">
        <v>9853.1888957240735</v>
      </c>
    </row>
    <row r="23" spans="1:14" ht="14.4" customHeight="1" x14ac:dyDescent="0.3">
      <c r="A23" s="464" t="s">
        <v>529</v>
      </c>
      <c r="B23" s="465" t="s">
        <v>690</v>
      </c>
      <c r="C23" s="466" t="s">
        <v>540</v>
      </c>
      <c r="D23" s="467" t="s">
        <v>691</v>
      </c>
      <c r="E23" s="466" t="s">
        <v>546</v>
      </c>
      <c r="F23" s="467" t="s">
        <v>692</v>
      </c>
      <c r="G23" s="466" t="s">
        <v>547</v>
      </c>
      <c r="H23" s="466" t="s">
        <v>614</v>
      </c>
      <c r="I23" s="466" t="s">
        <v>615</v>
      </c>
      <c r="J23" s="466" t="s">
        <v>616</v>
      </c>
      <c r="K23" s="466" t="s">
        <v>617</v>
      </c>
      <c r="L23" s="468">
        <v>38.94</v>
      </c>
      <c r="M23" s="468">
        <v>1</v>
      </c>
      <c r="N23" s="469">
        <v>38.94</v>
      </c>
    </row>
    <row r="24" spans="1:14" ht="14.4" customHeight="1" x14ac:dyDescent="0.3">
      <c r="A24" s="464" t="s">
        <v>529</v>
      </c>
      <c r="B24" s="465" t="s">
        <v>690</v>
      </c>
      <c r="C24" s="466" t="s">
        <v>540</v>
      </c>
      <c r="D24" s="467" t="s">
        <v>691</v>
      </c>
      <c r="E24" s="466" t="s">
        <v>546</v>
      </c>
      <c r="F24" s="467" t="s">
        <v>692</v>
      </c>
      <c r="G24" s="466" t="s">
        <v>547</v>
      </c>
      <c r="H24" s="466" t="s">
        <v>618</v>
      </c>
      <c r="I24" s="466" t="s">
        <v>191</v>
      </c>
      <c r="J24" s="466" t="s">
        <v>619</v>
      </c>
      <c r="K24" s="466" t="s">
        <v>620</v>
      </c>
      <c r="L24" s="468">
        <v>75.019826203796995</v>
      </c>
      <c r="M24" s="468">
        <v>1</v>
      </c>
      <c r="N24" s="469">
        <v>75.019826203796995</v>
      </c>
    </row>
    <row r="25" spans="1:14" ht="14.4" customHeight="1" x14ac:dyDescent="0.3">
      <c r="A25" s="464" t="s">
        <v>529</v>
      </c>
      <c r="B25" s="465" t="s">
        <v>690</v>
      </c>
      <c r="C25" s="466" t="s">
        <v>540</v>
      </c>
      <c r="D25" s="467" t="s">
        <v>691</v>
      </c>
      <c r="E25" s="466" t="s">
        <v>546</v>
      </c>
      <c r="F25" s="467" t="s">
        <v>692</v>
      </c>
      <c r="G25" s="466" t="s">
        <v>547</v>
      </c>
      <c r="H25" s="466" t="s">
        <v>621</v>
      </c>
      <c r="I25" s="466" t="s">
        <v>622</v>
      </c>
      <c r="J25" s="466" t="s">
        <v>623</v>
      </c>
      <c r="K25" s="466" t="s">
        <v>624</v>
      </c>
      <c r="L25" s="468">
        <v>79.455034017518102</v>
      </c>
      <c r="M25" s="468">
        <v>8</v>
      </c>
      <c r="N25" s="469">
        <v>635.64027214014482</v>
      </c>
    </row>
    <row r="26" spans="1:14" ht="14.4" customHeight="1" x14ac:dyDescent="0.3">
      <c r="A26" s="464" t="s">
        <v>529</v>
      </c>
      <c r="B26" s="465" t="s">
        <v>690</v>
      </c>
      <c r="C26" s="466" t="s">
        <v>540</v>
      </c>
      <c r="D26" s="467" t="s">
        <v>691</v>
      </c>
      <c r="E26" s="466" t="s">
        <v>546</v>
      </c>
      <c r="F26" s="467" t="s">
        <v>692</v>
      </c>
      <c r="G26" s="466" t="s">
        <v>547</v>
      </c>
      <c r="H26" s="466" t="s">
        <v>625</v>
      </c>
      <c r="I26" s="466" t="s">
        <v>626</v>
      </c>
      <c r="J26" s="466" t="s">
        <v>623</v>
      </c>
      <c r="K26" s="466" t="s">
        <v>627</v>
      </c>
      <c r="L26" s="468">
        <v>145.36675584791757</v>
      </c>
      <c r="M26" s="468">
        <v>12</v>
      </c>
      <c r="N26" s="469">
        <v>1744.4010701750108</v>
      </c>
    </row>
    <row r="27" spans="1:14" ht="14.4" customHeight="1" x14ac:dyDescent="0.3">
      <c r="A27" s="464" t="s">
        <v>529</v>
      </c>
      <c r="B27" s="465" t="s">
        <v>690</v>
      </c>
      <c r="C27" s="466" t="s">
        <v>540</v>
      </c>
      <c r="D27" s="467" t="s">
        <v>691</v>
      </c>
      <c r="E27" s="466" t="s">
        <v>546</v>
      </c>
      <c r="F27" s="467" t="s">
        <v>692</v>
      </c>
      <c r="G27" s="466" t="s">
        <v>547</v>
      </c>
      <c r="H27" s="466" t="s">
        <v>628</v>
      </c>
      <c r="I27" s="466" t="s">
        <v>629</v>
      </c>
      <c r="J27" s="466" t="s">
        <v>609</v>
      </c>
      <c r="K27" s="466" t="s">
        <v>630</v>
      </c>
      <c r="L27" s="468">
        <v>210.45</v>
      </c>
      <c r="M27" s="468">
        <v>4</v>
      </c>
      <c r="N27" s="469">
        <v>841.8</v>
      </c>
    </row>
    <row r="28" spans="1:14" ht="14.4" customHeight="1" x14ac:dyDescent="0.3">
      <c r="A28" s="464" t="s">
        <v>529</v>
      </c>
      <c r="B28" s="465" t="s">
        <v>690</v>
      </c>
      <c r="C28" s="466" t="s">
        <v>540</v>
      </c>
      <c r="D28" s="467" t="s">
        <v>691</v>
      </c>
      <c r="E28" s="466" t="s">
        <v>546</v>
      </c>
      <c r="F28" s="467" t="s">
        <v>692</v>
      </c>
      <c r="G28" s="466" t="s">
        <v>547</v>
      </c>
      <c r="H28" s="466" t="s">
        <v>631</v>
      </c>
      <c r="I28" s="466" t="s">
        <v>191</v>
      </c>
      <c r="J28" s="466" t="s">
        <v>632</v>
      </c>
      <c r="K28" s="466" t="s">
        <v>633</v>
      </c>
      <c r="L28" s="468">
        <v>90.93115951037403</v>
      </c>
      <c r="M28" s="468">
        <v>1</v>
      </c>
      <c r="N28" s="469">
        <v>90.93115951037403</v>
      </c>
    </row>
    <row r="29" spans="1:14" ht="14.4" customHeight="1" x14ac:dyDescent="0.3">
      <c r="A29" s="464" t="s">
        <v>529</v>
      </c>
      <c r="B29" s="465" t="s">
        <v>690</v>
      </c>
      <c r="C29" s="466" t="s">
        <v>540</v>
      </c>
      <c r="D29" s="467" t="s">
        <v>691</v>
      </c>
      <c r="E29" s="466" t="s">
        <v>546</v>
      </c>
      <c r="F29" s="467" t="s">
        <v>692</v>
      </c>
      <c r="G29" s="466" t="s">
        <v>547</v>
      </c>
      <c r="H29" s="466" t="s">
        <v>634</v>
      </c>
      <c r="I29" s="466" t="s">
        <v>191</v>
      </c>
      <c r="J29" s="466" t="s">
        <v>635</v>
      </c>
      <c r="K29" s="466"/>
      <c r="L29" s="468">
        <v>154.82423855604333</v>
      </c>
      <c r="M29" s="468">
        <v>31</v>
      </c>
      <c r="N29" s="469">
        <v>4799.5513952373431</v>
      </c>
    </row>
    <row r="30" spans="1:14" ht="14.4" customHeight="1" x14ac:dyDescent="0.3">
      <c r="A30" s="464" t="s">
        <v>529</v>
      </c>
      <c r="B30" s="465" t="s">
        <v>690</v>
      </c>
      <c r="C30" s="466" t="s">
        <v>540</v>
      </c>
      <c r="D30" s="467" t="s">
        <v>691</v>
      </c>
      <c r="E30" s="466" t="s">
        <v>546</v>
      </c>
      <c r="F30" s="467" t="s">
        <v>692</v>
      </c>
      <c r="G30" s="466" t="s">
        <v>547</v>
      </c>
      <c r="H30" s="466" t="s">
        <v>636</v>
      </c>
      <c r="I30" s="466" t="s">
        <v>637</v>
      </c>
      <c r="J30" s="466" t="s">
        <v>638</v>
      </c>
      <c r="K30" s="466" t="s">
        <v>639</v>
      </c>
      <c r="L30" s="468">
        <v>57.055000000000007</v>
      </c>
      <c r="M30" s="468">
        <v>4</v>
      </c>
      <c r="N30" s="469">
        <v>228.22000000000003</v>
      </c>
    </row>
    <row r="31" spans="1:14" ht="14.4" customHeight="1" x14ac:dyDescent="0.3">
      <c r="A31" s="464" t="s">
        <v>529</v>
      </c>
      <c r="B31" s="465" t="s">
        <v>690</v>
      </c>
      <c r="C31" s="466" t="s">
        <v>540</v>
      </c>
      <c r="D31" s="467" t="s">
        <v>691</v>
      </c>
      <c r="E31" s="466" t="s">
        <v>546</v>
      </c>
      <c r="F31" s="467" t="s">
        <v>692</v>
      </c>
      <c r="G31" s="466" t="s">
        <v>547</v>
      </c>
      <c r="H31" s="466" t="s">
        <v>640</v>
      </c>
      <c r="I31" s="466" t="s">
        <v>191</v>
      </c>
      <c r="J31" s="466" t="s">
        <v>641</v>
      </c>
      <c r="K31" s="466"/>
      <c r="L31" s="468">
        <v>605.50306216115905</v>
      </c>
      <c r="M31" s="468">
        <v>46</v>
      </c>
      <c r="N31" s="469">
        <v>27853.140859413317</v>
      </c>
    </row>
    <row r="32" spans="1:14" ht="14.4" customHeight="1" x14ac:dyDescent="0.3">
      <c r="A32" s="464" t="s">
        <v>529</v>
      </c>
      <c r="B32" s="465" t="s">
        <v>690</v>
      </c>
      <c r="C32" s="466" t="s">
        <v>540</v>
      </c>
      <c r="D32" s="467" t="s">
        <v>691</v>
      </c>
      <c r="E32" s="466" t="s">
        <v>546</v>
      </c>
      <c r="F32" s="467" t="s">
        <v>692</v>
      </c>
      <c r="G32" s="466" t="s">
        <v>547</v>
      </c>
      <c r="H32" s="466" t="s">
        <v>642</v>
      </c>
      <c r="I32" s="466" t="s">
        <v>643</v>
      </c>
      <c r="J32" s="466" t="s">
        <v>644</v>
      </c>
      <c r="K32" s="466"/>
      <c r="L32" s="468">
        <v>61.71</v>
      </c>
      <c r="M32" s="468">
        <v>1</v>
      </c>
      <c r="N32" s="469">
        <v>61.71</v>
      </c>
    </row>
    <row r="33" spans="1:14" ht="14.4" customHeight="1" x14ac:dyDescent="0.3">
      <c r="A33" s="464" t="s">
        <v>529</v>
      </c>
      <c r="B33" s="465" t="s">
        <v>690</v>
      </c>
      <c r="C33" s="466" t="s">
        <v>540</v>
      </c>
      <c r="D33" s="467" t="s">
        <v>691</v>
      </c>
      <c r="E33" s="466" t="s">
        <v>546</v>
      </c>
      <c r="F33" s="467" t="s">
        <v>692</v>
      </c>
      <c r="G33" s="466" t="s">
        <v>547</v>
      </c>
      <c r="H33" s="466" t="s">
        <v>645</v>
      </c>
      <c r="I33" s="466" t="s">
        <v>191</v>
      </c>
      <c r="J33" s="466" t="s">
        <v>646</v>
      </c>
      <c r="K33" s="466" t="s">
        <v>647</v>
      </c>
      <c r="L33" s="468">
        <v>80.44681628409711</v>
      </c>
      <c r="M33" s="468">
        <v>2</v>
      </c>
      <c r="N33" s="469">
        <v>160.89363256819422</v>
      </c>
    </row>
    <row r="34" spans="1:14" ht="14.4" customHeight="1" x14ac:dyDescent="0.3">
      <c r="A34" s="464" t="s">
        <v>529</v>
      </c>
      <c r="B34" s="465" t="s">
        <v>690</v>
      </c>
      <c r="C34" s="466" t="s">
        <v>540</v>
      </c>
      <c r="D34" s="467" t="s">
        <v>691</v>
      </c>
      <c r="E34" s="466" t="s">
        <v>546</v>
      </c>
      <c r="F34" s="467" t="s">
        <v>692</v>
      </c>
      <c r="G34" s="466" t="s">
        <v>547</v>
      </c>
      <c r="H34" s="466" t="s">
        <v>648</v>
      </c>
      <c r="I34" s="466" t="s">
        <v>649</v>
      </c>
      <c r="J34" s="466" t="s">
        <v>650</v>
      </c>
      <c r="K34" s="466" t="s">
        <v>651</v>
      </c>
      <c r="L34" s="468">
        <v>30.710000000000008</v>
      </c>
      <c r="M34" s="468">
        <v>2</v>
      </c>
      <c r="N34" s="469">
        <v>61.420000000000016</v>
      </c>
    </row>
    <row r="35" spans="1:14" ht="14.4" customHeight="1" x14ac:dyDescent="0.3">
      <c r="A35" s="464" t="s">
        <v>529</v>
      </c>
      <c r="B35" s="465" t="s">
        <v>690</v>
      </c>
      <c r="C35" s="466" t="s">
        <v>540</v>
      </c>
      <c r="D35" s="467" t="s">
        <v>691</v>
      </c>
      <c r="E35" s="466" t="s">
        <v>546</v>
      </c>
      <c r="F35" s="467" t="s">
        <v>692</v>
      </c>
      <c r="G35" s="466" t="s">
        <v>547</v>
      </c>
      <c r="H35" s="466" t="s">
        <v>652</v>
      </c>
      <c r="I35" s="466" t="s">
        <v>653</v>
      </c>
      <c r="J35" s="466" t="s">
        <v>654</v>
      </c>
      <c r="K35" s="466" t="s">
        <v>655</v>
      </c>
      <c r="L35" s="468">
        <v>129.42002171761942</v>
      </c>
      <c r="M35" s="468">
        <v>2</v>
      </c>
      <c r="N35" s="469">
        <v>258.84004343523884</v>
      </c>
    </row>
    <row r="36" spans="1:14" ht="14.4" customHeight="1" x14ac:dyDescent="0.3">
      <c r="A36" s="464" t="s">
        <v>529</v>
      </c>
      <c r="B36" s="465" t="s">
        <v>690</v>
      </c>
      <c r="C36" s="466" t="s">
        <v>540</v>
      </c>
      <c r="D36" s="467" t="s">
        <v>691</v>
      </c>
      <c r="E36" s="466" t="s">
        <v>546</v>
      </c>
      <c r="F36" s="467" t="s">
        <v>692</v>
      </c>
      <c r="G36" s="466" t="s">
        <v>547</v>
      </c>
      <c r="H36" s="466" t="s">
        <v>656</v>
      </c>
      <c r="I36" s="466" t="s">
        <v>191</v>
      </c>
      <c r="J36" s="466" t="s">
        <v>657</v>
      </c>
      <c r="K36" s="466" t="s">
        <v>658</v>
      </c>
      <c r="L36" s="468">
        <v>206.99000000000004</v>
      </c>
      <c r="M36" s="468">
        <v>22</v>
      </c>
      <c r="N36" s="469">
        <v>4553.7800000000007</v>
      </c>
    </row>
    <row r="37" spans="1:14" ht="14.4" customHeight="1" x14ac:dyDescent="0.3">
      <c r="A37" s="464" t="s">
        <v>529</v>
      </c>
      <c r="B37" s="465" t="s">
        <v>690</v>
      </c>
      <c r="C37" s="466" t="s">
        <v>540</v>
      </c>
      <c r="D37" s="467" t="s">
        <v>691</v>
      </c>
      <c r="E37" s="466" t="s">
        <v>546</v>
      </c>
      <c r="F37" s="467" t="s">
        <v>692</v>
      </c>
      <c r="G37" s="466" t="s">
        <v>547</v>
      </c>
      <c r="H37" s="466" t="s">
        <v>659</v>
      </c>
      <c r="I37" s="466" t="s">
        <v>660</v>
      </c>
      <c r="J37" s="466" t="s">
        <v>661</v>
      </c>
      <c r="K37" s="466" t="s">
        <v>662</v>
      </c>
      <c r="L37" s="468">
        <v>57.104260175737011</v>
      </c>
      <c r="M37" s="468">
        <v>80</v>
      </c>
      <c r="N37" s="469">
        <v>4568.3408140589609</v>
      </c>
    </row>
    <row r="38" spans="1:14" ht="14.4" customHeight="1" x14ac:dyDescent="0.3">
      <c r="A38" s="464" t="s">
        <v>529</v>
      </c>
      <c r="B38" s="465" t="s">
        <v>690</v>
      </c>
      <c r="C38" s="466" t="s">
        <v>540</v>
      </c>
      <c r="D38" s="467" t="s">
        <v>691</v>
      </c>
      <c r="E38" s="466" t="s">
        <v>546</v>
      </c>
      <c r="F38" s="467" t="s">
        <v>692</v>
      </c>
      <c r="G38" s="466" t="s">
        <v>547</v>
      </c>
      <c r="H38" s="466" t="s">
        <v>663</v>
      </c>
      <c r="I38" s="466" t="s">
        <v>663</v>
      </c>
      <c r="J38" s="466" t="s">
        <v>664</v>
      </c>
      <c r="K38" s="466" t="s">
        <v>665</v>
      </c>
      <c r="L38" s="468">
        <v>98.439891456685302</v>
      </c>
      <c r="M38" s="468">
        <v>4</v>
      </c>
      <c r="N38" s="469">
        <v>393.75956582674121</v>
      </c>
    </row>
    <row r="39" spans="1:14" ht="14.4" customHeight="1" x14ac:dyDescent="0.3">
      <c r="A39" s="464" t="s">
        <v>529</v>
      </c>
      <c r="B39" s="465" t="s">
        <v>690</v>
      </c>
      <c r="C39" s="466" t="s">
        <v>540</v>
      </c>
      <c r="D39" s="467" t="s">
        <v>691</v>
      </c>
      <c r="E39" s="466" t="s">
        <v>546</v>
      </c>
      <c r="F39" s="467" t="s">
        <v>692</v>
      </c>
      <c r="G39" s="466" t="s">
        <v>547</v>
      </c>
      <c r="H39" s="466" t="s">
        <v>666</v>
      </c>
      <c r="I39" s="466" t="s">
        <v>666</v>
      </c>
      <c r="J39" s="466" t="s">
        <v>558</v>
      </c>
      <c r="K39" s="466" t="s">
        <v>667</v>
      </c>
      <c r="L39" s="468">
        <v>60.038135881538032</v>
      </c>
      <c r="M39" s="468">
        <v>13</v>
      </c>
      <c r="N39" s="469">
        <v>780.49576645999446</v>
      </c>
    </row>
    <row r="40" spans="1:14" ht="14.4" customHeight="1" x14ac:dyDescent="0.3">
      <c r="A40" s="464" t="s">
        <v>529</v>
      </c>
      <c r="B40" s="465" t="s">
        <v>690</v>
      </c>
      <c r="C40" s="466" t="s">
        <v>540</v>
      </c>
      <c r="D40" s="467" t="s">
        <v>691</v>
      </c>
      <c r="E40" s="466" t="s">
        <v>546</v>
      </c>
      <c r="F40" s="467" t="s">
        <v>692</v>
      </c>
      <c r="G40" s="466" t="s">
        <v>547</v>
      </c>
      <c r="H40" s="466" t="s">
        <v>668</v>
      </c>
      <c r="I40" s="466" t="s">
        <v>668</v>
      </c>
      <c r="J40" s="466" t="s">
        <v>669</v>
      </c>
      <c r="K40" s="466" t="s">
        <v>670</v>
      </c>
      <c r="L40" s="468">
        <v>21.671237716779871</v>
      </c>
      <c r="M40" s="468">
        <v>1200</v>
      </c>
      <c r="N40" s="469">
        <v>26005.485260135843</v>
      </c>
    </row>
    <row r="41" spans="1:14" ht="14.4" customHeight="1" x14ac:dyDescent="0.3">
      <c r="A41" s="464" t="s">
        <v>529</v>
      </c>
      <c r="B41" s="465" t="s">
        <v>690</v>
      </c>
      <c r="C41" s="466" t="s">
        <v>540</v>
      </c>
      <c r="D41" s="467" t="s">
        <v>691</v>
      </c>
      <c r="E41" s="466" t="s">
        <v>546</v>
      </c>
      <c r="F41" s="467" t="s">
        <v>692</v>
      </c>
      <c r="G41" s="466" t="s">
        <v>547</v>
      </c>
      <c r="H41" s="466" t="s">
        <v>671</v>
      </c>
      <c r="I41" s="466" t="s">
        <v>671</v>
      </c>
      <c r="J41" s="466" t="s">
        <v>672</v>
      </c>
      <c r="K41" s="466" t="s">
        <v>673</v>
      </c>
      <c r="L41" s="468">
        <v>66.850000000000009</v>
      </c>
      <c r="M41" s="468">
        <v>1</v>
      </c>
      <c r="N41" s="469">
        <v>66.850000000000009</v>
      </c>
    </row>
    <row r="42" spans="1:14" ht="14.4" customHeight="1" x14ac:dyDescent="0.3">
      <c r="A42" s="464" t="s">
        <v>529</v>
      </c>
      <c r="B42" s="465" t="s">
        <v>690</v>
      </c>
      <c r="C42" s="466" t="s">
        <v>540</v>
      </c>
      <c r="D42" s="467" t="s">
        <v>691</v>
      </c>
      <c r="E42" s="466" t="s">
        <v>546</v>
      </c>
      <c r="F42" s="467" t="s">
        <v>692</v>
      </c>
      <c r="G42" s="466" t="s">
        <v>547</v>
      </c>
      <c r="H42" s="466" t="s">
        <v>674</v>
      </c>
      <c r="I42" s="466" t="s">
        <v>674</v>
      </c>
      <c r="J42" s="466" t="s">
        <v>675</v>
      </c>
      <c r="K42" s="466" t="s">
        <v>676</v>
      </c>
      <c r="L42" s="468">
        <v>117.47999999999999</v>
      </c>
      <c r="M42" s="468">
        <v>2</v>
      </c>
      <c r="N42" s="469">
        <v>234.95999999999998</v>
      </c>
    </row>
    <row r="43" spans="1:14" ht="14.4" customHeight="1" x14ac:dyDescent="0.3">
      <c r="A43" s="464" t="s">
        <v>529</v>
      </c>
      <c r="B43" s="465" t="s">
        <v>690</v>
      </c>
      <c r="C43" s="466" t="s">
        <v>540</v>
      </c>
      <c r="D43" s="467" t="s">
        <v>691</v>
      </c>
      <c r="E43" s="466" t="s">
        <v>546</v>
      </c>
      <c r="F43" s="467" t="s">
        <v>692</v>
      </c>
      <c r="G43" s="466" t="s">
        <v>547</v>
      </c>
      <c r="H43" s="466" t="s">
        <v>677</v>
      </c>
      <c r="I43" s="466" t="s">
        <v>191</v>
      </c>
      <c r="J43" s="466" t="s">
        <v>678</v>
      </c>
      <c r="K43" s="466" t="s">
        <v>679</v>
      </c>
      <c r="L43" s="468">
        <v>36.570000000000007</v>
      </c>
      <c r="M43" s="468">
        <v>1</v>
      </c>
      <c r="N43" s="469">
        <v>36.570000000000007</v>
      </c>
    </row>
    <row r="44" spans="1:14" ht="14.4" customHeight="1" x14ac:dyDescent="0.3">
      <c r="A44" s="464" t="s">
        <v>529</v>
      </c>
      <c r="B44" s="465" t="s">
        <v>690</v>
      </c>
      <c r="C44" s="466" t="s">
        <v>540</v>
      </c>
      <c r="D44" s="467" t="s">
        <v>691</v>
      </c>
      <c r="E44" s="466" t="s">
        <v>546</v>
      </c>
      <c r="F44" s="467" t="s">
        <v>692</v>
      </c>
      <c r="G44" s="466" t="s">
        <v>547</v>
      </c>
      <c r="H44" s="466" t="s">
        <v>680</v>
      </c>
      <c r="I44" s="466" t="s">
        <v>680</v>
      </c>
      <c r="J44" s="466" t="s">
        <v>681</v>
      </c>
      <c r="K44" s="466" t="s">
        <v>662</v>
      </c>
      <c r="L44" s="468">
        <v>57.853999999999999</v>
      </c>
      <c r="M44" s="468">
        <v>50</v>
      </c>
      <c r="N44" s="469">
        <v>2892.7</v>
      </c>
    </row>
    <row r="45" spans="1:14" ht="14.4" customHeight="1" x14ac:dyDescent="0.3">
      <c r="A45" s="464" t="s">
        <v>529</v>
      </c>
      <c r="B45" s="465" t="s">
        <v>690</v>
      </c>
      <c r="C45" s="466" t="s">
        <v>540</v>
      </c>
      <c r="D45" s="467" t="s">
        <v>691</v>
      </c>
      <c r="E45" s="466" t="s">
        <v>546</v>
      </c>
      <c r="F45" s="467" t="s">
        <v>692</v>
      </c>
      <c r="G45" s="466" t="s">
        <v>682</v>
      </c>
      <c r="H45" s="466" t="s">
        <v>683</v>
      </c>
      <c r="I45" s="466" t="s">
        <v>684</v>
      </c>
      <c r="J45" s="466" t="s">
        <v>685</v>
      </c>
      <c r="K45" s="466" t="s">
        <v>686</v>
      </c>
      <c r="L45" s="468">
        <v>111.55999999999999</v>
      </c>
      <c r="M45" s="468">
        <v>5</v>
      </c>
      <c r="N45" s="469">
        <v>557.79999999999995</v>
      </c>
    </row>
    <row r="46" spans="1:14" ht="14.4" customHeight="1" thickBot="1" x14ac:dyDescent="0.35">
      <c r="A46" s="470" t="s">
        <v>529</v>
      </c>
      <c r="B46" s="471" t="s">
        <v>690</v>
      </c>
      <c r="C46" s="472" t="s">
        <v>540</v>
      </c>
      <c r="D46" s="473" t="s">
        <v>691</v>
      </c>
      <c r="E46" s="472" t="s">
        <v>546</v>
      </c>
      <c r="F46" s="473" t="s">
        <v>692</v>
      </c>
      <c r="G46" s="472" t="s">
        <v>682</v>
      </c>
      <c r="H46" s="472" t="s">
        <v>687</v>
      </c>
      <c r="I46" s="472" t="s">
        <v>688</v>
      </c>
      <c r="J46" s="472" t="s">
        <v>685</v>
      </c>
      <c r="K46" s="472" t="s">
        <v>689</v>
      </c>
      <c r="L46" s="474">
        <v>52.280020837119714</v>
      </c>
      <c r="M46" s="474">
        <v>3</v>
      </c>
      <c r="N46" s="475">
        <v>156.84006251135915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8" customWidth="1"/>
    <col min="3" max="3" width="5.5546875" style="211" customWidth="1"/>
    <col min="4" max="4" width="10" style="208" customWidth="1"/>
    <col min="5" max="5" width="5.5546875" style="211" customWidth="1"/>
    <col min="6" max="6" width="10" style="208" customWidth="1"/>
    <col min="7" max="16384" width="8.88671875" style="130"/>
  </cols>
  <sheetData>
    <row r="1" spans="1:6" ht="37.200000000000003" customHeight="1" thickBot="1" x14ac:dyDescent="0.4">
      <c r="A1" s="362" t="s">
        <v>167</v>
      </c>
      <c r="B1" s="363"/>
      <c r="C1" s="363"/>
      <c r="D1" s="363"/>
      <c r="E1" s="363"/>
      <c r="F1" s="363"/>
    </row>
    <row r="2" spans="1:6" ht="14.4" customHeight="1" thickBot="1" x14ac:dyDescent="0.35">
      <c r="A2" s="235" t="s">
        <v>282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131</v>
      </c>
      <c r="C3" s="365"/>
      <c r="D3" s="366" t="s">
        <v>130</v>
      </c>
      <c r="E3" s="365"/>
      <c r="F3" s="80" t="s">
        <v>3</v>
      </c>
    </row>
    <row r="4" spans="1:6" ht="14.4" customHeight="1" thickBot="1" x14ac:dyDescent="0.35">
      <c r="A4" s="476" t="s">
        <v>145</v>
      </c>
      <c r="B4" s="477" t="s">
        <v>14</v>
      </c>
      <c r="C4" s="478" t="s">
        <v>2</v>
      </c>
      <c r="D4" s="477" t="s">
        <v>14</v>
      </c>
      <c r="E4" s="478" t="s">
        <v>2</v>
      </c>
      <c r="F4" s="479" t="s">
        <v>14</v>
      </c>
    </row>
    <row r="5" spans="1:6" ht="14.4" customHeight="1" thickBot="1" x14ac:dyDescent="0.35">
      <c r="A5" s="487" t="s">
        <v>693</v>
      </c>
      <c r="B5" s="456"/>
      <c r="C5" s="480">
        <v>0</v>
      </c>
      <c r="D5" s="456">
        <v>714.64006251135913</v>
      </c>
      <c r="E5" s="480">
        <v>1</v>
      </c>
      <c r="F5" s="457">
        <v>714.64006251135913</v>
      </c>
    </row>
    <row r="6" spans="1:6" ht="14.4" customHeight="1" thickBot="1" x14ac:dyDescent="0.35">
      <c r="A6" s="483" t="s">
        <v>3</v>
      </c>
      <c r="B6" s="484"/>
      <c r="C6" s="485">
        <v>0</v>
      </c>
      <c r="D6" s="484">
        <v>714.64006251135913</v>
      </c>
      <c r="E6" s="485">
        <v>1</v>
      </c>
      <c r="F6" s="486">
        <v>714.64006251135913</v>
      </c>
    </row>
    <row r="7" spans="1:6" ht="14.4" customHeight="1" thickBot="1" x14ac:dyDescent="0.35"/>
    <row r="8" spans="1:6" ht="14.4" customHeight="1" thickBot="1" x14ac:dyDescent="0.35">
      <c r="A8" s="487" t="s">
        <v>694</v>
      </c>
      <c r="B8" s="456"/>
      <c r="C8" s="480">
        <v>0</v>
      </c>
      <c r="D8" s="456">
        <v>714.64006251135913</v>
      </c>
      <c r="E8" s="480">
        <v>1</v>
      </c>
      <c r="F8" s="457">
        <v>714.64006251135913</v>
      </c>
    </row>
    <row r="9" spans="1:6" ht="14.4" customHeight="1" thickBot="1" x14ac:dyDescent="0.35">
      <c r="A9" s="483" t="s">
        <v>3</v>
      </c>
      <c r="B9" s="484"/>
      <c r="C9" s="485">
        <v>0</v>
      </c>
      <c r="D9" s="484">
        <v>714.64006251135913</v>
      </c>
      <c r="E9" s="485">
        <v>1</v>
      </c>
      <c r="F9" s="486">
        <v>714.64006251135913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25</vt:i4>
      </vt:variant>
      <vt:variant>
        <vt:lpstr>Pojmenované oblasti</vt:lpstr>
      </vt:variant>
      <vt:variant>
        <vt:i4>1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2015-01-30T11:12:07Z</dcterms:modified>
</cp:coreProperties>
</file>