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l="1"/>
  <c r="J3" i="344"/>
  <c r="D19" i="414" s="1"/>
  <c r="C11" i="339"/>
  <c r="E20" i="414"/>
  <c r="A21" i="414"/>
  <c r="A20" i="414"/>
  <c r="A19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1" i="414"/>
  <c r="A10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S6" i="419" l="1"/>
  <c r="AO6" i="419"/>
  <c r="AK6" i="419"/>
  <c r="AG6" i="419"/>
  <c r="AC6" i="419"/>
  <c r="Y6" i="419"/>
  <c r="U6" i="419"/>
  <c r="Q6" i="419"/>
  <c r="M6" i="419"/>
  <c r="I6" i="419"/>
  <c r="E6" i="419"/>
  <c r="AN6" i="419"/>
  <c r="AF6" i="419"/>
  <c r="X6" i="419"/>
  <c r="L6" i="419"/>
  <c r="AQ6" i="419"/>
  <c r="AM6" i="419"/>
  <c r="AI6" i="419"/>
  <c r="AE6" i="419"/>
  <c r="AA6" i="419"/>
  <c r="W6" i="419"/>
  <c r="S6" i="419"/>
  <c r="O6" i="419"/>
  <c r="K6" i="419"/>
  <c r="G6" i="419"/>
  <c r="AP6" i="419"/>
  <c r="AL6" i="419"/>
  <c r="AH6" i="419"/>
  <c r="AD6" i="419"/>
  <c r="Z6" i="419"/>
  <c r="V6" i="419"/>
  <c r="R6" i="419"/>
  <c r="N6" i="419"/>
  <c r="J6" i="419"/>
  <c r="F6" i="419"/>
  <c r="AR6" i="419"/>
  <c r="AJ6" i="419"/>
  <c r="AB6" i="419"/>
  <c r="T6" i="419"/>
  <c r="P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2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C15" i="414"/>
  <c r="D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Q3" i="347" l="1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F15" i="339"/>
  <c r="J13" i="339"/>
  <c r="B15" i="339"/>
  <c r="E15" i="414"/>
  <c r="E4" i="414"/>
  <c r="C6" i="340"/>
  <c r="D6" i="340" s="1"/>
  <c r="B4" i="340"/>
  <c r="G13" i="339"/>
  <c r="B12" i="340" l="1"/>
  <c r="B13" i="340"/>
  <c r="H15" i="339"/>
  <c r="G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<sst xmlns="http://schemas.openxmlformats.org/spreadsheetml/2006/main" count="5879" uniqueCount="1179">
  <si>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</si>
  <si>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</si>
  <si>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</si>
  <si>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</si>
  <si>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</si>
  <si>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</si>
  <si>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</si>
  <si>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</si>
  <si>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</si>
  <si>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</si>
  <si>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</si>
  <si>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</si>
  <si>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</si>
  <si>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</si>
  <si>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</si>
  <si>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</si>
  <si>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</si>
  <si>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</si>
  <si>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</si>
  <si>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</si>
  <si>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</si>
  <si>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</si>
  <si>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</si>
  <si>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</si>
  <si>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</si>
  <si>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</si>
  <si>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</si>
  <si>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</si>
  <si>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</si>
  <si>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</si>
  <si>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</si>
  <si>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</si>
  <si>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</si>
  <si>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</si>
  <si>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</si>
  <si>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</si>
  <si>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</si>
  <si>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</si>
  <si>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</si>
  <si>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</si>
  <si>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</si>
  <si>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</si>
  <si>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</si>
  <si>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</si>
  <si>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</si>
  <si>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</si>
  <si>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</si>
  <si>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</si>
  <si>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</si>
  <si>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</si>
  <si>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</si>
  <si>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</si>
  <si>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</si>
  <si>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</si>
  <si>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</si>
  <si>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</si>
  <si>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</si>
  <si>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</si>
  <si>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</si>
  <si>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</si>
  <si>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</si>
  <si>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</si>
  <si>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</si>
  <si>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</si>
  <si>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</si>
  <si>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</si>
  <si>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</si>
  <si>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</si>
  <si>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</si>
  <si>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</si>
  <si>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</si>
  <si>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</si>
  <si>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</si>
  <si>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</si>
  <si>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</si>
  <si>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</si>
  <si>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</si>
  <si>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</si>
  <si>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</si>
  <si>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</si>
  <si>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</si>
  <si>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</si>
  <si>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</si>
  <si>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</si>
  <si>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</si>
  <si>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</si>
  <si>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</si>
  <si>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</si>
  <si>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</si>
  <si>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</si>
  <si>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</si>
  <si>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</si>
  <si>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</si>
  <si>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</si>
  <si>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</si>
  <si>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</si>
  <si>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</si>
  <si>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</si>
  <si>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</si>
  <si>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</si>
  <si>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</si>
  <si>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</si>
  <si>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</si>
  <si>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</si>
  <si>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</si>
  <si>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</si>
  <si>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</si>
  <si>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</si>
  <si>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</si>
  <si>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</si>
  <si>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</si>
  <si>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</si>
  <si>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</si>
  <si>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</si>
  <si>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</si>
  <si>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</si>
  <si>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</si>
  <si>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</si>
  <si>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</si>
  <si>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</si>
  <si>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</si>
  <si>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</si>
  <si>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</si>
  <si>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</si>
  <si>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</si>
  <si>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</si>
  <si>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</si>
  <si>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</si>
  <si>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</si>
  <si>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</si>
  <si>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</si>
  <si>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</si>
  <si>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</si>
  <si>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</si>
  <si>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</si>
  <si>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</si>
  <si>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</si>
  <si>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</si>
  <si>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</si>
  <si>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</si>
  <si>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</si>
  <si>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</si>
  <si>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</si>
  <si>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</si>
  <si>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</si>
  <si>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</si>
  <si>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</si>
  <si>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</si>
  <si>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</si>
  <si>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</si>
  <si>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</si>
  <si>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</si>
  <si>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</si>
  <si>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</si>
  <si>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</si>
  <si>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</si>
  <si>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</si>
  <si>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</si>
  <si>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</si>
  <si>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</si>
  <si>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</si>
  <si>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</si>
  <si>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</si>
  <si>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</si>
  <si>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</si>
  <si>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</si>
  <si>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</si>
  <si>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</si>
  <si>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</si>
  <si>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</si>
  <si>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</si>
  <si>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</si>
  <si>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</si>
  <si>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</si>
  <si>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</si>
  <si>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</si>
  <si>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</si>
  <si>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</si>
  <si>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</si>
  <si>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</si>
  <si>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</si>
  <si>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</si>
  <si>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</si>
  <si>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</si>
  <si>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</si>
  <si>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</si>
  <si>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</si>
  <si>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</si>
  <si>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</si>
  <si>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</si>
  <si>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</si>
  <si>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</si>
  <si>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</si>
  <si>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</si>
  <si>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</si>
  <si>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</si>
  <si>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</si>
  <si>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</si>
  <si>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</si>
  <si>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</si>
  <si>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</si>
  <si>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</si>
  <si>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</si>
  <si>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</si>
  <si>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</si>
  <si>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</si>
  <si>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</si>
  <si>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</si>
  <si>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</si>
  <si>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</si>
  <si>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</si>
  <si>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</si>
  <si>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</si>
  <si>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</si>
  <si>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</si>
  <si>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</si>
  <si>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</si>
  <si>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</si>
  <si>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</si>
  <si>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</si>
  <si>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</si>
  <si>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</si>
  <si>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</si>
  <si>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</si>
  <si>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</si>
  <si>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</si>
  <si>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</si>
  <si>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</si>
  <si>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</si>
  <si>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</si>
  <si>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</si>
  <si>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</si>
  <si>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</si>
  <si>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</si>
  <si>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</si>
  <si>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</si>
  <si>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</si>
  <si>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</si>
  <si>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</si>
  <si>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</si>
  <si>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</si>
  <si>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</si>
  <si>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</si>
  <si>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</si>
  <si>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</si>
  <si>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</si>
  <si>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</si>
  <si>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</si>
  <si>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</si>
  <si>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</si>
  <si>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</si>
  <si>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</si>
  <si>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</si>
  <si>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</si>
  <si>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</si>
  <si>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</si>
  <si>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</si>
  <si>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</si>
  <si>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</si>
  <si>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</si>
  <si>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</si>
  <si>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</si>
  <si>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</si>
  <si>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</si>
  <si>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</si>
  <si>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</si>
  <si>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</si>
  <si>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</si>
  <si>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</si>
  <si>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</si>
  <si>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</si>
  <si>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</si>
  <si>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</si>
  <si>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</si>
  <si>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</si>
  <si>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</si>
  <si>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</si>
  <si>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</si>
  <si>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</si>
  <si>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</si>
  <si>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</si>
  <si>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</si>
  <si>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</si>
  <si>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</si>
  <si>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</si>
  <si>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</si>
  <si>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</si>
  <si>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</si>
  <si>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</si>
  <si>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</si>
  <si>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</si>
  <si>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</si>
  <si>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</si>
  <si>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</si>
  <si>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</si>
  <si>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</si>
  <si>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</si>
  <si>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</si>
  <si>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</si>
  <si>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</si>
  <si>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</si>
  <si>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</si>
  <si>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</si>
  <si>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</si>
  <si>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</si>
  <si>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</si>
  <si>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</si>
  <si>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</si>
  <si>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</si>
  <si>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</si>
  <si>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</si>
  <si>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</si>
  <si>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</si>
  <si>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</si>
  <si>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</si>
  <si>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</si>
  <si>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</si>
  <si>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</si>
  <si>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</si>
  <si>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</si>
  <si>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</si>
  <si>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</si>
  <si>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</si>
  <si>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</si>
  <si>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</si>
  <si>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</si>
  <si>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</si>
  <si>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</si>
  <si>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</si>
  <si>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</si>
  <si>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</si>
  <si>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</si>
  <si>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</si>
  <si>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</si>
  <si>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</si>
  <si>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</si>
  <si>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</si>
  <si>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</si>
  <si>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</si>
  <si>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</si>
  <si>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</si>
  <si>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</si>
  <si>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</si>
  <si>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</si>
  <si>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</si>
  <si>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</si>
  <si>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</si>
  <si>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</si>
  <si>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</si>
  <si>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</si>
  <si>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</si>
  <si>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</si>
  <si>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</si>
  <si>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</si>
  <si>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</si>
  <si>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</si>
  <si>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</si>
  <si>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</si>
  <si>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</si>
  <si>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</si>
  <si>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</si>
  <si>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</si>
  <si>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</si>
  <si>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</si>
  <si>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</si>
  <si>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</si>
  <si>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</si>
  <si>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</si>
  <si>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</si>
  <si>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</si>
  <si>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</si>
  <si>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</si>
  <si>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</si>
  <si>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</si>
  <si>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</si>
  <si>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</si>
  <si>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</si>
  <si>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</si>
  <si>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</si>
  <si>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</si>
  <si>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</si>
  <si>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</si>
  <si>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</si>
  <si>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</si>
  <si>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</si>
  <si>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</si>
  <si>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</si>
  <si>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</si>
  <si>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</si>
  <si>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</si>
  <si>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</si>
  <si>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</si>
  <si>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</si>
  <si>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</si>
  <si>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</si>
  <si>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</si>
  <si>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</si>
  <si>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</si>
  <si>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</si>
  <si>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</si>
  <si>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</si>
  <si>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</si>
  <si>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</si>
  <si>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</si>
  <si>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</si>
  <si>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</si>
  <si>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</si>
  <si>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</si>
  <si>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</si>
  <si>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</si>
  <si>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</si>
  <si>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</si>
  <si>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</si>
  <si>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</si>
  <si>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</si>
  <si>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</si>
  <si>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</si>
  <si>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</si>
  <si>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</si>
  <si>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</si>
  <si>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</si>
  <si>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</si>
  <si>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</si>
  <si>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</si>
  <si>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</si>
  <si>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</si>
  <si>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</si>
  <si>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</si>
  <si>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</si>
  <si>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</si>
  <si>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</si>
  <si>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</si>
  <si>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</si>
  <si>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</si>
  <si>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</si>
  <si>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</si>
  <si>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</si>
  <si>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</si>
  <si>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</si>
  <si>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</si>
  <si>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</si>
  <si>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</si>
  <si>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</si>
  <si>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</si>
  <si>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</si>
  <si>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</si>
  <si>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</si>
  <si>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</si>
  <si>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</si>
  <si>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</si>
  <si>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</si>
  <si>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</si>
  <si>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</si>
  <si>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</si>
  <si>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</si>
  <si>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</si>
  <si>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</si>
  <si>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</si>
  <si>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</si>
  <si>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</si>
  <si>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</si>
  <si>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</si>
  <si>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</si>
  <si>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</si>
  <si>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</si>
  <si>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</si>
  <si>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</si>
  <si>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</si>
  <si>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</si>
  <si>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</si>
  <si>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</si>
  <si>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</si>
  <si>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</si>
  <si>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</si>
  <si>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</si>
  <si>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</si>
  <si>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</si>
  <si>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</si>
  <si>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</si>
  <si>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</si>
  <si>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</si>
  <si>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</si>
  <si>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</si>
  <si>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</si>
  <si>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</si>
  <si>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</si>
  <si>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</si>
  <si>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</si>
  <si>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</si>
  <si>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</si>
  <si>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</si>
  <si>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</si>
  <si>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</si>
  <si>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</si>
  <si>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</si>
  <si>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</si>
  <si>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</si>
  <si>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</si>
  <si>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</si>
  <si>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</si>
  <si>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</si>
  <si>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</si>
  <si>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</si>
  <si>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</si>
  <si>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</si>
  <si>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</si>
  <si>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</si>
  <si>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</si>
  <si>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</si>
  <si>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</si>
  <si>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</si>
  <si>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</si>
  <si>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</si>
  <si>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</si>
  <si>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</si>
  <si>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</si>
  <si>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</si>
  <si>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</si>
  <si>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</si>
  <si>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</si>
  <si>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</si>
  <si>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</si>
  <si>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</si>
  <si>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</si>
  <si>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</si>
  <si>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</si>
  <si>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</si>
  <si>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</si>
  <si>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</si>
  <si>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</si>
  <si>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</si>
  <si>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</si>
  <si>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</si>
  <si>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</si>
  <si>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</si>
  <si>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</si>
  <si>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</si>
  <si>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</si>
  <si>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</si>
  <si>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</si>
  <si>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</si>
  <si>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</si>
  <si>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</si>
  <si>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</si>
  <si>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</si>
  <si>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</si>
  <si>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</si>
  <si>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</si>
  <si>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</si>
  <si>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</si>
  <si>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</si>
  <si>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</si>
  <si>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</si>
  <si>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</si>
  <si>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</si>
  <si>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</si>
  <si>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</si>
  <si>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</si>
  <si>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</si>
  <si>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</si>
  <si>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</si>
  <si>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</si>
  <si>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</si>
  <si>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</si>
  <si>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</si>
  <si>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</si>
  <si>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100802</t>
  </si>
  <si>
    <t>1000</t>
  </si>
  <si>
    <t>IR OG. OPHTHALMO-SEPTONEX</t>
  </si>
  <si>
    <t>GTT OPH 1X10ML</t>
  </si>
  <si>
    <t>152266</t>
  </si>
  <si>
    <t>52266</t>
  </si>
  <si>
    <t>INFADOLAN</t>
  </si>
  <si>
    <t>DRM UNG 1X30GM</t>
  </si>
  <si>
    <t>846629</t>
  </si>
  <si>
    <t>100013</t>
  </si>
  <si>
    <t>IBALGIN 400 TBL 24</t>
  </si>
  <si>
    <t xml:space="preserve">POR TBL FLM 24X400MG </t>
  </si>
  <si>
    <t>198864</t>
  </si>
  <si>
    <t>98864</t>
  </si>
  <si>
    <t>FYZIOLOGICKÝ ROZTOK VIAFLO</t>
  </si>
  <si>
    <t>INF SOL 50X100ML</t>
  </si>
  <si>
    <t>198876</t>
  </si>
  <si>
    <t>98876</t>
  </si>
  <si>
    <t>INF SOL 20X500ML</t>
  </si>
  <si>
    <t>106091</t>
  </si>
  <si>
    <t>6091</t>
  </si>
  <si>
    <t>GUTRON 2.5MG</t>
  </si>
  <si>
    <t>TBL 20X2.5MG</t>
  </si>
  <si>
    <t>106093</t>
  </si>
  <si>
    <t>6093</t>
  </si>
  <si>
    <t>TBL 50X2.5MG</t>
  </si>
  <si>
    <t>930043</t>
  </si>
  <si>
    <t>0</t>
  </si>
  <si>
    <t>DZ TRIXO LIND 100 ml</t>
  </si>
  <si>
    <t>842161</t>
  </si>
  <si>
    <t>31950</t>
  </si>
  <si>
    <t>Carbocit tbl.20</t>
  </si>
  <si>
    <t>159570</t>
  </si>
  <si>
    <t>59570</t>
  </si>
  <si>
    <t>FERRO-FOLGAMMA</t>
  </si>
  <si>
    <t>CPS 50</t>
  </si>
  <si>
    <t>901176</t>
  </si>
  <si>
    <t>IR AC.BORICI AQ.OPHTAL.50 ML</t>
  </si>
  <si>
    <t>IR OČNI VODA 50 ml</t>
  </si>
  <si>
    <t>397412</t>
  </si>
  <si>
    <t>IR  0.9%SOD.CHLOR.FOR IRR. 6X1000 ML</t>
  </si>
  <si>
    <t>IR-Fres. 6X1000 ML 15%</t>
  </si>
  <si>
    <t>397982</t>
  </si>
  <si>
    <t>MO LAHEV NA OXIPER 1 l</t>
  </si>
  <si>
    <t>Transfůzní oddělení</t>
  </si>
  <si>
    <t>TO: výroba</t>
  </si>
  <si>
    <t>Lékárna - léčiva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</si>
  <si>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</si>
  <si>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</si>
  <si>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</si>
  <si>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</si>
  <si>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</si>
  <si>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</si>
  <si>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</si>
  <si>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</si>
  <si>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</si>
  <si>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</si>
  <si>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</si>
  <si>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</si>
  <si>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</si>
  <si>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</si>
  <si>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83973</t>
  </si>
  <si>
    <t>FUCICORT</t>
  </si>
  <si>
    <t>20MG/1MG/1G CRM 15G</t>
  </si>
  <si>
    <t>Diosmin, kombinace</t>
  </si>
  <si>
    <t>201992</t>
  </si>
  <si>
    <t>DETRALEX</t>
  </si>
  <si>
    <t>500MG TBL FLM 120</t>
  </si>
  <si>
    <t>Jiná antibiotika pro lokální aplikaci</t>
  </si>
  <si>
    <t>201970</t>
  </si>
  <si>
    <t>PAMYCON NA PŘÍPRAVU KAPEK</t>
  </si>
  <si>
    <t>33000IU/2500IU DRM PLV SOL 1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</si>
  <si>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</si>
  <si>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</si>
  <si>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</si>
  <si>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</si>
  <si>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</si>
  <si>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</si>
  <si>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</si>
  <si>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</si>
  <si>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Rosuvastatin</t>
  </si>
  <si>
    <t>148074</t>
  </si>
  <si>
    <t>ROSUCARD</t>
  </si>
  <si>
    <t>20MG TBL FLM 90</t>
  </si>
  <si>
    <t>Itopridum</t>
  </si>
  <si>
    <t>166759</t>
  </si>
  <si>
    <t>KINITO</t>
  </si>
  <si>
    <t>50MG TBL FLM 40</t>
  </si>
  <si>
    <t>Gestoden a ethinylestradiol</t>
  </si>
  <si>
    <t>212516</t>
  </si>
  <si>
    <t>LOGEST</t>
  </si>
  <si>
    <t>0,075MG/0,02MG TBL OBD 3X21</t>
  </si>
  <si>
    <t>Desogestrel a ethinylestradiol</t>
  </si>
  <si>
    <t>132565</t>
  </si>
  <si>
    <t>MARVELON</t>
  </si>
  <si>
    <t>0,15MG/0,03MG TBL NOB 3X21</t>
  </si>
  <si>
    <t>Flutikason-furoát</t>
  </si>
  <si>
    <t>29816</t>
  </si>
  <si>
    <t>AVAMYS 27,5 MIKROGRAMŮ</t>
  </si>
  <si>
    <t>27,5MCG/DÁV NAS SPR SUS 1X120D</t>
  </si>
  <si>
    <t>Analgetika a anestetika, kombinace</t>
  </si>
  <si>
    <t>107143</t>
  </si>
  <si>
    <t>OTIPAX</t>
  </si>
  <si>
    <t>10MG/40MG/G AUR GTT SOL 16G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</si>
  <si>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</si>
  <si>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</si>
  <si>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</si>
  <si>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</si>
  <si>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</si>
  <si>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</si>
  <si>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</si>
  <si>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</si>
  <si>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Kodein</t>
  </si>
  <si>
    <t>56993</t>
  </si>
  <si>
    <t>CODEIN SLOVAKOFARMA</t>
  </si>
  <si>
    <t>30MG TBL NOB 10</t>
  </si>
  <si>
    <t>Kyselina acetylsalicylová</t>
  </si>
  <si>
    <t>188849</t>
  </si>
  <si>
    <t>STACYL</t>
  </si>
  <si>
    <t>100MG TBL ENT 90 I</t>
  </si>
  <si>
    <t>Pantoprazol</t>
  </si>
  <si>
    <t>49115</t>
  </si>
  <si>
    <t>CONTROLOC</t>
  </si>
  <si>
    <t>20MG TBL ENT 100</t>
  </si>
  <si>
    <t>Thiethylperazin</t>
  </si>
  <si>
    <t>9847</t>
  </si>
  <si>
    <t>TORECAN</t>
  </si>
  <si>
    <t>6,5MG SUP 6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</si>
  <si>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</si>
  <si>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</si>
  <si>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</si>
  <si>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</si>
  <si>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</si>
  <si>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A03FA07 - Itopridum</t>
  </si>
  <si>
    <t>R06AE07 - Cetirizin</t>
  </si>
  <si>
    <t>C10AA07 - Rosuvastatin</t>
  </si>
  <si>
    <t>A02BC02 - Pantoprazol</t>
  </si>
  <si>
    <t>H03AA01 - Levothyroxin, sodná sůl</t>
  </si>
  <si>
    <t>C10AA07</t>
  </si>
  <si>
    <t>H03AA01</t>
  </si>
  <si>
    <t>A03FA07</t>
  </si>
  <si>
    <t>A02BC02</t>
  </si>
  <si>
    <t>J01FA10</t>
  </si>
  <si>
    <t>R06AE07</t>
  </si>
  <si>
    <t>Přehled plnění PL - Preskripce léčivých přípravků - orientační přehled</t>
  </si>
  <si>
    <t>ZA446</t>
  </si>
  <si>
    <t>Vata buničitá přířezy 20 x 30 cm 1230200129</t>
  </si>
  <si>
    <t>ZA855</t>
  </si>
  <si>
    <t>Pipeta pasteurova P 223 6,5 ml 204523</t>
  </si>
  <si>
    <t>ZB521</t>
  </si>
  <si>
    <t>Dispenser 100 Magnete 009893V</t>
  </si>
  <si>
    <t>ZE091</t>
  </si>
  <si>
    <t>Zátka k plast. zkumavkám FLME21341</t>
  </si>
  <si>
    <t>ZF091</t>
  </si>
  <si>
    <t>Zátka k plast. zkumavkám FLME21301</t>
  </si>
  <si>
    <t>ZG515</t>
  </si>
  <si>
    <t>Zkumavka močová vacuette 10,5 ml bal. á 50 ks 455007</t>
  </si>
  <si>
    <t>ZB845</t>
  </si>
  <si>
    <t>Zkumavka 5,0 ml PP 12 x 86 mm bal. á 4000 ks 1032</t>
  </si>
  <si>
    <t>ZB965</t>
  </si>
  <si>
    <t>Nůžky chirurgické rovné hrotnaté 130 mm B397113920003</t>
  </si>
  <si>
    <t>ZC716</t>
  </si>
  <si>
    <t>Špička žlutá pipetovací dlouhá manžeta bal. á 1000 ks 1123</t>
  </si>
  <si>
    <t>ZB628</t>
  </si>
  <si>
    <t>Špička pipetovací bílá nester. 10-200ul bal. á 1000 ks 1121</t>
  </si>
  <si>
    <t>ZK663</t>
  </si>
  <si>
    <t>Deska s jamkami (KS) bal. á 100 ks IBSA7047206000</t>
  </si>
  <si>
    <t>ZM292</t>
  </si>
  <si>
    <t>Rukavice nitril sempercare bez p. M bal. á 200 ks 30803</t>
  </si>
  <si>
    <t>ZM291</t>
  </si>
  <si>
    <t>Rukavice nitril sempercare bez p. S bal. á 200 ks 30802</t>
  </si>
  <si>
    <t>DC842</t>
  </si>
  <si>
    <t>ARC HIV COMBO RGT</t>
  </si>
  <si>
    <t>DA064</t>
  </si>
  <si>
    <t>ARC HBSAG QUALITATIVE II Reagent 2000t</t>
  </si>
  <si>
    <t>DB247</t>
  </si>
  <si>
    <t>ARC Syphlis TP Reagent Kit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</si>
  <si>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</si>
  <si>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</si>
  <si>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</si>
  <si>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</si>
  <si>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</si>
  <si>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</si>
  <si>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</si>
  <si>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</si>
  <si>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</si>
  <si>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</si>
  <si>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</si>
  <si>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</si>
  <si>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</si>
  <si>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</si>
  <si>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</si>
  <si>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</si>
  <si>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</si>
  <si>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</si>
  <si>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</si>
  <si>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</si>
  <si>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</si>
  <si>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</si>
  <si>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</si>
  <si>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</si>
  <si>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</si>
  <si>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</si>
  <si>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</si>
  <si>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</si>
  <si>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</si>
  <si>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</si>
  <si>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</si>
  <si>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</si>
  <si>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</si>
  <si>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</si>
  <si>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DC700</t>
  </si>
  <si>
    <t>DIAGN.ANTI-KELL MON. 5 ML</t>
  </si>
  <si>
    <t>DB619</t>
  </si>
  <si>
    <t>ID-Panel, 11x 4ml</t>
  </si>
  <si>
    <t>DC098</t>
  </si>
  <si>
    <t>ID-PAPAIN 1X10 ML</t>
  </si>
  <si>
    <t>DB016</t>
  </si>
  <si>
    <t>ID-interní kontrola kvality</t>
  </si>
  <si>
    <t>DB542</t>
  </si>
  <si>
    <t>WEAK D CELLS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</si>
  <si>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</si>
  <si>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</si>
  <si>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</si>
  <si>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</si>
  <si>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</si>
  <si>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</si>
  <si>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DD779</t>
  </si>
  <si>
    <t>MAKROPANEL 16 16*3 ML</t>
  </si>
  <si>
    <t>DB625</t>
  </si>
  <si>
    <t>ID-DIACELL I+II+IIIP,3X10ML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</si>
  <si>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</si>
  <si>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</si>
  <si>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</si>
  <si>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</si>
  <si>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</si>
  <si>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</si>
  <si>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DE085</t>
  </si>
  <si>
    <t>ID-Card DiaClon Anti-N</t>
  </si>
  <si>
    <t>DB163</t>
  </si>
  <si>
    <t>DG Gel NEUTRAL ( 2 x 25 cards )</t>
  </si>
  <si>
    <t>DF116</t>
  </si>
  <si>
    <t>ARC ANTIHBCII CAL</t>
  </si>
  <si>
    <t>DG596</t>
  </si>
  <si>
    <t>Promývací roztok B ředěný</t>
  </si>
  <si>
    <t>DD495</t>
  </si>
  <si>
    <t>GAMMA EGA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</si>
  <si>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</si>
  <si>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</si>
  <si>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</si>
  <si>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</si>
  <si>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</si>
  <si>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</si>
  <si>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</si>
  <si>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</si>
  <si>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</si>
  <si>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</si>
  <si>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</si>
  <si>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</si>
  <si>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</si>
  <si>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</si>
  <si>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</si>
  <si>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</si>
  <si>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</si>
  <si>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</si>
  <si>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</si>
  <si>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</si>
  <si>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</si>
  <si>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</si>
  <si>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</si>
  <si>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</si>
  <si>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</si>
  <si>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</si>
  <si>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DB853</t>
  </si>
  <si>
    <t>GAMMA QUIN</t>
  </si>
  <si>
    <t>DF561</t>
  </si>
  <si>
    <t>DIAGN. Anti-Wra pol. 3ml</t>
  </si>
  <si>
    <t>DE086</t>
  </si>
  <si>
    <t>ID-Card DiaClon Anti-P1</t>
  </si>
  <si>
    <t>DC804</t>
  </si>
  <si>
    <t>Diagn.anti-AB mon.10x10ml</t>
  </si>
  <si>
    <t>DH313</t>
  </si>
  <si>
    <t>ID-karta DiaClon ABO/D dlouhý profil 112x12</t>
  </si>
  <si>
    <t>DH312</t>
  </si>
  <si>
    <t>ID-DiaCell A1B</t>
  </si>
  <si>
    <t>DB823</t>
  </si>
  <si>
    <t>P1 BLOOD GROUP SUBSTANCE 2 ML</t>
  </si>
  <si>
    <t>DA189</t>
  </si>
  <si>
    <t>Microcide SQ</t>
  </si>
  <si>
    <t>DH315</t>
  </si>
  <si>
    <t>ID-karta DiaClon ABD Confirmation krátký profil 60x12</t>
  </si>
  <si>
    <t>DB099</t>
  </si>
  <si>
    <t>Immutrep-RPR (500t)</t>
  </si>
  <si>
    <t>DF014</t>
  </si>
  <si>
    <t>COMPLEMENT CONTROL CELLS 3ml</t>
  </si>
  <si>
    <t>DG379</t>
  </si>
  <si>
    <t>Doprava 21%</t>
  </si>
  <si>
    <t>ZA314</t>
  </si>
  <si>
    <t>Obinadlo idealast-haft 8 cm x   4 m 9311113</t>
  </si>
  <si>
    <t>ZA330</t>
  </si>
  <si>
    <t>Obinadlo fixa crep   8 cm x 4 m 1323100103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</si>
  <si>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</si>
  <si>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</si>
  <si>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</si>
  <si>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</si>
  <si>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ZB084</t>
  </si>
  <si>
    <t>Náplast transpore 2,50 cm x 9,14 m 1527-1</t>
  </si>
  <si>
    <t>ZD104</t>
  </si>
  <si>
    <t>Náplast omniplast 10,0 cm x 10,0 m 9004472 (900535)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</si>
  <si>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</si>
  <si>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</si>
  <si>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</si>
  <si>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</si>
  <si>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</si>
  <si>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</si>
  <si>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</si>
  <si>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</si>
  <si>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</si>
  <si>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</si>
  <si>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</si>
  <si>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</si>
  <si>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</si>
  <si>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</si>
  <si>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ZB777</t>
  </si>
  <si>
    <t>Zkumavka červená 4 ml gel 454071</t>
  </si>
  <si>
    <t>ZC742</t>
  </si>
  <si>
    <t>Septum ARC 4D1803</t>
  </si>
  <si>
    <t>ZF192</t>
  </si>
  <si>
    <t>Nádoba na kontaminovaný odpad 4 l 15-0004</t>
  </si>
  <si>
    <t>ZB967</t>
  </si>
  <si>
    <t>Zkumavka 3 ml PP 13 x 75 mm 1058</t>
  </si>
  <si>
    <t>ZF599</t>
  </si>
  <si>
    <t>Replacement Caps 4D1901</t>
  </si>
  <si>
    <t>ZH547</t>
  </si>
  <si>
    <t>Zkumavka PP se šroubovacím uzávěrem 7 ml 82 mm x 13 mm 60.550.100</t>
  </si>
  <si>
    <t>ZB640</t>
  </si>
  <si>
    <t>Zkumavka Kep ARC reaction vessels 8 x 500 á 4000 ks 7C1503</t>
  </si>
  <si>
    <t>ZA881</t>
  </si>
  <si>
    <t>Vak odběrový Leukotrap - filtr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</si>
  <si>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</si>
  <si>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</si>
  <si>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</si>
  <si>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</si>
  <si>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</si>
  <si>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</si>
  <si>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</si>
  <si>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</si>
  <si>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</si>
  <si>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</si>
  <si>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</si>
  <si>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</si>
  <si>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</si>
  <si>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</si>
  <si>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</si>
  <si>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</si>
  <si>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</si>
  <si>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</si>
  <si>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</si>
  <si>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bal. á 8 ks 00942-00</t>
  </si>
  <si>
    <t>ZB137</t>
  </si>
  <si>
    <t>Roztok antikoag. CPD50, 150 ml bal. á 40 ks 0415C-00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</si>
  <si>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</si>
  <si>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</si>
  <si>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</si>
  <si>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</si>
  <si>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</si>
  <si>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</si>
  <si>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</si>
  <si>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</si>
  <si>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</si>
  <si>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</si>
  <si>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</si>
  <si>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</si>
  <si>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</si>
  <si>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</si>
  <si>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</si>
  <si>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</si>
  <si>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</si>
  <si>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</si>
  <si>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</si>
  <si>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</si>
  <si>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</si>
  <si>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</si>
  <si>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</si>
  <si>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</si>
  <si>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</si>
  <si>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</si>
  <si>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</si>
  <si>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</si>
  <si>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ZB138</t>
  </si>
  <si>
    <t>SAG Manitol 350 ml bal. á 20 ks 0411C-00</t>
  </si>
  <si>
    <t>ZB883</t>
  </si>
  <si>
    <t>Vak transfer 6 x 150 ml 814-0135</t>
  </si>
  <si>
    <t>ZH309</t>
  </si>
  <si>
    <t>Čtyřvak CPD-SAGM 811-8435</t>
  </si>
  <si>
    <t>ZA834</t>
  </si>
  <si>
    <t>Jehla injekční 0,7 x 40 mm černá 4660021</t>
  </si>
  <si>
    <t>ZB768</t>
  </si>
  <si>
    <t>Jehla vakuová 216/38 mm zelená 450076</t>
  </si>
  <si>
    <t>ZM293</t>
  </si>
  <si>
    <t>Rukavice nitril sempercare bez p. L bal. á 200 ks 30804</t>
  </si>
  <si>
    <t>DC859</t>
  </si>
  <si>
    <t>COLUMBIA AGAR</t>
  </si>
  <si>
    <t>DC689</t>
  </si>
  <si>
    <t>ARC TRIGGER SOL 4PAC</t>
  </si>
  <si>
    <t>DA066</t>
  </si>
  <si>
    <t>ARC HBSAG QUALITATIVE  II CTL</t>
  </si>
  <si>
    <t>DD409</t>
  </si>
  <si>
    <t>TRYPTON-SOJOVÝ BUJON</t>
  </si>
  <si>
    <t>DE730</t>
  </si>
  <si>
    <t>Thioglykolátový bujon(10ML)</t>
  </si>
  <si>
    <t>DC871</t>
  </si>
  <si>
    <t>ARC ANTI HCV CALIBRA</t>
  </si>
  <si>
    <t>DC856</t>
  </si>
  <si>
    <t>ARC Probe Conditioning Solution</t>
  </si>
  <si>
    <t>DB700</t>
  </si>
  <si>
    <t>CELLPACK 20 l</t>
  </si>
  <si>
    <t>DC694</t>
  </si>
  <si>
    <t>ARC HIV COMBO CONTROL</t>
  </si>
  <si>
    <t>DB530</t>
  </si>
  <si>
    <t>STROMATOLYSER-WH 3x500 ml</t>
  </si>
  <si>
    <t>DB514</t>
  </si>
  <si>
    <t>ROZTOK HAYEM   orig.</t>
  </si>
  <si>
    <t>DE734</t>
  </si>
  <si>
    <t>ID-DIACELL Pool 3X10 ml</t>
  </si>
  <si>
    <t>DE736</t>
  </si>
  <si>
    <t>DiaCell MP ABO A1-B</t>
  </si>
  <si>
    <t>DD058</t>
  </si>
  <si>
    <t>ARC ANTI HCV CONTROL</t>
  </si>
  <si>
    <t>DA065</t>
  </si>
  <si>
    <t>ARC HBSAG QUALITATIVE II CAL</t>
  </si>
  <si>
    <t>DG692</t>
  </si>
  <si>
    <t>Architect HCV Ag Reagent Kit</t>
  </si>
  <si>
    <t>DG851</t>
  </si>
  <si>
    <t>ARC ANTI HCV RGT 2000TEST</t>
  </si>
  <si>
    <t>DG693</t>
  </si>
  <si>
    <t>Architect HCV Ag Calibrators</t>
  </si>
  <si>
    <t>801325</t>
  </si>
  <si>
    <t>-KYS.SULFOSALICYLOVA 20%,LEK 200 G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</si>
  <si>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</si>
  <si>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</si>
  <si>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</si>
  <si>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</si>
  <si>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</si>
  <si>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</si>
  <si>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</si>
  <si>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</si>
  <si>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DC943</t>
  </si>
  <si>
    <t>ID-NaCl,Enzyme test,112x12 pces</t>
  </si>
  <si>
    <t>TO: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</si>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</sst>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4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3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70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2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3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33" fillId="0" borderId="85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9" fontId="33" fillId="0" borderId="92" xfId="0" applyNumberFormat="1" applyFont="1" applyBorder="1"/>
    <xf numFmtId="0" fontId="56" fillId="2" borderId="101" xfId="0" applyFont="1" applyFill="1" applyBorder="1" applyAlignment="1">
      <alignment horizontal="center" vertical="center" wrapText="1"/>
    </xf>
    <xf numFmtId="174" fontId="33" fillId="2" borderId="103" xfId="0" applyNumberFormat="1" applyFont="1" applyFill="1" applyBorder="1" applyAlignment="1"/>
    <xf numFmtId="173" fontId="40" fillId="4" borderId="103" xfId="0" applyNumberFormat="1" applyFont="1" applyFill="1" applyBorder="1" applyAlignment="1"/>
    <xf numFmtId="173" fontId="40" fillId="2" borderId="103" xfId="0" applyNumberFormat="1" applyFont="1" applyFill="1" applyBorder="1" applyAlignment="1"/>
    <xf numFmtId="49" fontId="38" fillId="2" borderId="91" xfId="0" quotePrefix="1" applyNumberFormat="1" applyFont="1" applyFill="1" applyBorder="1" applyAlignment="1">
      <alignment horizontal="center" vertical="center"/>
    </xf>
    <xf numFmtId="0" fontId="26" fillId="4" borderId="88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90" xfId="0" applyFont="1" applyBorder="1"/>
    <xf numFmtId="0" fontId="32" fillId="2" borderId="78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2" borderId="81" xfId="0" applyNumberFormat="1" applyFont="1" applyFill="1" applyBorder="1" applyAlignment="1">
      <alignment horizontal="center" vertical="center"/>
    </xf>
    <xf numFmtId="3" fontId="56" fillId="2" borderId="8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5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5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3" xfId="0" applyFont="1" applyFill="1" applyBorder="1" applyAlignment="1">
      <alignment vertical="center"/>
    </xf>
    <xf numFmtId="3" fontId="32" fillId="2" borderId="65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5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5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7" xfId="0" applyNumberFormat="1" applyFont="1" applyFill="1" applyBorder="1" applyAlignment="1">
      <alignment horizontal="right" vertical="top"/>
    </xf>
    <xf numFmtId="3" fontId="34" fillId="9" borderId="118" xfId="0" applyNumberFormat="1" applyFont="1" applyFill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6" fontId="34" fillId="9" borderId="120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0" fontId="36" fillId="0" borderId="128" xfId="0" applyFont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0" fontId="38" fillId="10" borderId="116" xfId="0" applyFont="1" applyFill="1" applyBorder="1" applyAlignment="1">
      <alignment vertical="top"/>
    </xf>
    <xf numFmtId="0" fontId="38" fillId="10" borderId="116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6"/>
    </xf>
    <xf numFmtId="0" fontId="38" fillId="10" borderId="116" xfId="0" applyFont="1" applyFill="1" applyBorder="1" applyAlignment="1">
      <alignment vertical="top" indent="8"/>
    </xf>
    <xf numFmtId="0" fontId="39" fillId="10" borderId="121" xfId="0" applyFont="1" applyFill="1" applyBorder="1" applyAlignment="1">
      <alignment vertical="top" indent="4"/>
    </xf>
    <xf numFmtId="0" fontId="39" fillId="10" borderId="121" xfId="0" applyFont="1" applyFill="1" applyBorder="1" applyAlignment="1">
      <alignment vertical="top" indent="2"/>
    </xf>
    <xf numFmtId="0" fontId="38" fillId="10" borderId="116" xfId="0" applyFont="1" applyFill="1" applyBorder="1" applyAlignment="1">
      <alignment vertical="top" indent="6"/>
    </xf>
    <xf numFmtId="0" fontId="39" fillId="10" borderId="121" xfId="0" applyFont="1" applyFill="1" applyBorder="1" applyAlignment="1">
      <alignment vertical="top"/>
    </xf>
    <xf numFmtId="0" fontId="33" fillId="10" borderId="116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0" xfId="53" applyNumberFormat="1" applyFont="1" applyFill="1" applyBorder="1" applyAlignment="1">
      <alignment horizontal="left"/>
    </xf>
    <xf numFmtId="164" fontId="32" fillId="2" borderId="131" xfId="53" applyNumberFormat="1" applyFont="1" applyFill="1" applyBorder="1" applyAlignment="1">
      <alignment horizontal="left"/>
    </xf>
    <xf numFmtId="164" fontId="32" fillId="2" borderId="61" xfId="53" applyNumberFormat="1" applyFont="1" applyFill="1" applyBorder="1" applyAlignment="1">
      <alignment horizontal="left"/>
    </xf>
    <xf numFmtId="3" fontId="32" fillId="2" borderId="61" xfId="53" applyNumberFormat="1" applyFont="1" applyFill="1" applyBorder="1" applyAlignment="1">
      <alignment horizontal="left"/>
    </xf>
    <xf numFmtId="3" fontId="32" fillId="2" borderId="69" xfId="53" applyNumberFormat="1" applyFont="1" applyFill="1" applyBorder="1" applyAlignment="1">
      <alignment horizontal="left"/>
    </xf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" fillId="2" borderId="130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90" xfId="0" applyNumberFormat="1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80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40" fillId="2" borderId="54" xfId="0" applyFont="1" applyFill="1" applyBorder="1"/>
    <xf numFmtId="3" fontId="40" fillId="2" borderId="115" xfId="0" applyNumberFormat="1" applyFont="1" applyFill="1" applyBorder="1"/>
    <xf numFmtId="9" fontId="40" fillId="2" borderId="75" xfId="0" applyNumberFormat="1" applyFont="1" applyFill="1" applyBorder="1"/>
    <xf numFmtId="3" fontId="40" fillId="2" borderId="69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9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42" xfId="0" applyFont="1" applyFill="1" applyBorder="1"/>
    <xf numFmtId="0" fontId="33" fillId="5" borderId="10" xfId="0" applyFont="1" applyFill="1" applyBorder="1" applyAlignment="1">
      <alignment wrapText="1"/>
    </xf>
    <xf numFmtId="0" fontId="40" fillId="0" borderId="136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0" fontId="0" fillId="0" borderId="148" xfId="0" applyBorder="1" applyAlignment="1">
      <alignment horizontal="center"/>
    </xf>
    <xf numFmtId="0" fontId="0" fillId="0" borderId="149" xfId="0" applyBorder="1" applyAlignment="1">
      <alignment horizontal="center"/>
    </xf>
    <xf numFmtId="173" fontId="40" fillId="4" borderId="149" xfId="0" applyNumberFormat="1" applyFont="1" applyFill="1" applyBorder="1" applyAlignment="1">
      <alignment horizontal="center"/>
    </xf>
    <xf numFmtId="0" fontId="0" fillId="0" borderId="149" xfId="0" applyBorder="1" applyAlignment="1"/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 wrapText="1"/>
    </xf>
    <xf numFmtId="0" fontId="0" fillId="0" borderId="151" xfId="0" applyBorder="1" applyAlignment="1">
      <alignment horizontal="right" wrapText="1"/>
    </xf>
    <xf numFmtId="175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0" fillId="0" borderId="153" xfId="0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0" fontId="40" fillId="2" borderId="59" xfId="0" applyFont="1" applyFill="1" applyBorder="1" applyAlignment="1">
      <alignment horizontal="center" vertical="center"/>
    </xf>
    <xf numFmtId="0" fontId="56" fillId="2" borderId="147" xfId="0" applyFont="1" applyFill="1" applyBorder="1" applyAlignment="1">
      <alignment horizontal="center" vertical="center" wrapText="1"/>
    </xf>
    <xf numFmtId="174" fontId="33" fillId="2" borderId="59" xfId="0" applyNumberFormat="1" applyFont="1" applyFill="1" applyBorder="1" applyAlignment="1"/>
    <xf numFmtId="174" fontId="33" fillId="0" borderId="146" xfId="0" applyNumberFormat="1" applyFont="1" applyBorder="1"/>
    <xf numFmtId="174" fontId="33" fillId="0" borderId="155" xfId="0" applyNumberFormat="1" applyFont="1" applyBorder="1"/>
    <xf numFmtId="173" fontId="40" fillId="4" borderId="59" xfId="0" applyNumberFormat="1" applyFont="1" applyFill="1" applyBorder="1" applyAlignment="1"/>
    <xf numFmtId="173" fontId="33" fillId="0" borderId="146" xfId="0" applyNumberFormat="1" applyFont="1" applyBorder="1"/>
    <xf numFmtId="173" fontId="33" fillId="0" borderId="147" xfId="0" applyNumberFormat="1" applyFont="1" applyBorder="1"/>
    <xf numFmtId="173" fontId="40" fillId="2" borderId="59" xfId="0" applyNumberFormat="1" applyFont="1" applyFill="1" applyBorder="1" applyAlignment="1"/>
    <xf numFmtId="173" fontId="33" fillId="0" borderId="155" xfId="0" applyNumberFormat="1" applyFont="1" applyBorder="1"/>
    <xf numFmtId="173" fontId="33" fillId="0" borderId="59" xfId="0" applyNumberFormat="1" applyFont="1" applyBorder="1"/>
    <xf numFmtId="0" fontId="0" fillId="0" borderId="156" xfId="0" applyBorder="1" applyAlignment="1">
      <alignment horizontal="center"/>
    </xf>
    <xf numFmtId="0" fontId="0" fillId="0" borderId="157" xfId="0" applyBorder="1" applyAlignment="1">
      <alignment horizontal="right"/>
    </xf>
    <xf numFmtId="0" fontId="0" fillId="0" borderId="157" xfId="0" applyBorder="1" applyAlignment="1">
      <alignment horizontal="right" wrapText="1"/>
    </xf>
    <xf numFmtId="0" fontId="0" fillId="0" borderId="158" xfId="0" applyBorder="1" applyAlignment="1">
      <alignment horizontal="right"/>
    </xf>
    <xf numFmtId="0" fontId="0" fillId="0" borderId="154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9" xfId="0" applyNumberFormat="1" applyFont="1" applyBorder="1" applyAlignment="1">
      <alignment horizontal="right"/>
    </xf>
    <xf numFmtId="175" fontId="33" fillId="0" borderId="159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33" fillId="2" borderId="69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7" xfId="0" applyNumberFormat="1" applyBorder="1"/>
    <xf numFmtId="9" fontId="0" fillId="0" borderId="137" xfId="0" applyNumberFormat="1" applyBorder="1"/>
    <xf numFmtId="9" fontId="0" fillId="0" borderId="138" xfId="0" applyNumberFormat="1" applyBorder="1"/>
    <xf numFmtId="0" fontId="60" fillId="4" borderId="136" xfId="0" applyFont="1" applyFill="1" applyBorder="1" applyAlignment="1">
      <alignment horizontal="left"/>
    </xf>
    <xf numFmtId="169" fontId="60" fillId="4" borderId="137" xfId="0" applyNumberFormat="1" applyFont="1" applyFill="1" applyBorder="1"/>
    <xf numFmtId="9" fontId="60" fillId="4" borderId="137" xfId="0" applyNumberFormat="1" applyFont="1" applyFill="1" applyBorder="1"/>
    <xf numFmtId="9" fontId="60" fillId="4" borderId="138" xfId="0" applyNumberFormat="1" applyFont="1" applyFill="1" applyBorder="1"/>
    <xf numFmtId="169" fontId="0" fillId="0" borderId="140" xfId="0" applyNumberFormat="1" applyBorder="1"/>
    <xf numFmtId="9" fontId="0" fillId="0" borderId="140" xfId="0" applyNumberFormat="1" applyBorder="1"/>
    <xf numFmtId="9" fontId="0" fillId="0" borderId="141" xfId="0" applyNumberFormat="1" applyBorder="1"/>
    <xf numFmtId="0" fontId="60" fillId="0" borderId="136" xfId="0" applyFont="1" applyBorder="1" applyAlignment="1">
      <alignment horizontal="left" indent="1"/>
    </xf>
    <xf numFmtId="0" fontId="60" fillId="0" borderId="139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40" xfId="0" applyNumberFormat="1" applyFont="1" applyFill="1" applyBorder="1"/>
    <xf numFmtId="169" fontId="33" fillId="0" borderId="141" xfId="0" applyNumberFormat="1" applyFont="1" applyFill="1" applyBorder="1"/>
    <xf numFmtId="0" fontId="40" fillId="0" borderId="139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-1.1318498263019034</c:v>
                </c:pt>
                <c:pt idx="1">
                  <c:v>1.0528302145013861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8288"/>
        <c:axId val="-1352367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0.72721468170066805</c:v>
                </c:pt>
                <c:pt idx="1">
                  <c:v>0.72721468170066805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6864"/>
        <c:axId val="-1352354144"/>
      </c:scatterChart>
      <c:catAx>
        <c:axId val="-13523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7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8288"/>
        <c:crosses val="autoZero"/>
        <c:crossBetween val="between"/>
      </c:valAx>
      <c:valAx>
        <c:axId val="-13523568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4144"/>
        <c:crosses val="max"/>
        <c:crossBetween val="midCat"/>
      </c:valAx>
      <c:valAx>
        <c:axId val="-1352354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568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6" t="s">
        <v>108</v>
      </c>
      <c r="B1" s="346"/>
    </row>
    <row r="2" spans="1:3" ht="14.4" customHeight="1" thickBot="1" x14ac:dyDescent="0.35">
      <c r="A2" s="235" t="s">
        <v>291</v>
      </c>
      <c r="B2" s="46"/>
    </row>
    <row r="3" spans="1:3" ht="14.4" customHeight="1" thickBot="1" x14ac:dyDescent="0.35">
      <c r="A3" s="342" t="s">
        <v>140</v>
      </c>
      <c r="B3" s="343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293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4" t="s">
        <v>109</v>
      </c>
      <c r="B10" s="343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311" t="s">
        <v>231</v>
      </c>
      <c r="C13" s="47" t="s">
        <v>241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696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0" t="s">
        <v>697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710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1030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5" t="s">
        <v>110</v>
      </c>
      <c r="B23" s="343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1036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1045</v>
      </c>
      <c r="C25" s="47" t="s">
        <v>244</v>
      </c>
    </row>
    <row r="26" spans="1:3" ht="14.4" customHeight="1" x14ac:dyDescent="0.3">
      <c r="A26" s="146" t="str">
        <f t="shared" si="4"/>
        <v>ZV Vykáz.-A Detail</v>
      </c>
      <c r="B26" s="90" t="s">
        <v>1126</v>
      </c>
      <c r="C26" s="47" t="s">
        <v>124</v>
      </c>
    </row>
    <row r="27" spans="1:3" ht="14.4" customHeight="1" x14ac:dyDescent="0.3">
      <c r="A27" s="332" t="str">
        <f>HYPERLINK("#'"&amp;C27&amp;"'!A1",C27)</f>
        <v>ZV Vykáz.-A Det.Lék.</v>
      </c>
      <c r="B27" s="90" t="s">
        <v>1127</v>
      </c>
      <c r="C27" s="47" t="s">
        <v>280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1178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5" t="s">
        <v>138</v>
      </c>
      <c r="B1" s="385"/>
      <c r="C1" s="385"/>
      <c r="D1" s="385"/>
      <c r="E1" s="385"/>
      <c r="F1" s="385"/>
      <c r="G1" s="385"/>
      <c r="H1" s="385"/>
      <c r="I1" s="347"/>
      <c r="J1" s="347"/>
      <c r="K1" s="347"/>
      <c r="L1" s="347"/>
    </row>
    <row r="2" spans="1:14" ht="14.4" customHeight="1" thickBot="1" x14ac:dyDescent="0.35">
      <c r="A2" s="235" t="s">
        <v>291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402" t="s">
        <v>15</v>
      </c>
      <c r="D3" s="401"/>
      <c r="E3" s="401" t="s">
        <v>16</v>
      </c>
      <c r="F3" s="401"/>
      <c r="G3" s="401"/>
      <c r="H3" s="401"/>
      <c r="I3" s="401" t="s">
        <v>145</v>
      </c>
      <c r="J3" s="401"/>
      <c r="K3" s="401"/>
      <c r="L3" s="40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9">
        <v>35</v>
      </c>
      <c r="B5" s="470" t="s">
        <v>610</v>
      </c>
      <c r="C5" s="473">
        <v>1868.93</v>
      </c>
      <c r="D5" s="473">
        <v>16</v>
      </c>
      <c r="E5" s="473">
        <v>1641.24</v>
      </c>
      <c r="F5" s="515">
        <v>0.87817093203062713</v>
      </c>
      <c r="G5" s="473">
        <v>13</v>
      </c>
      <c r="H5" s="515">
        <v>0.8125</v>
      </c>
      <c r="I5" s="473">
        <v>227.69000000000003</v>
      </c>
      <c r="J5" s="515">
        <v>0.12182906796937286</v>
      </c>
      <c r="K5" s="473">
        <v>3</v>
      </c>
      <c r="L5" s="515">
        <v>0.1875</v>
      </c>
      <c r="M5" s="473" t="s">
        <v>69</v>
      </c>
      <c r="N5" s="150"/>
    </row>
    <row r="6" spans="1:14" ht="14.4" customHeight="1" x14ac:dyDescent="0.3">
      <c r="A6" s="469">
        <v>35</v>
      </c>
      <c r="B6" s="470" t="s">
        <v>615</v>
      </c>
      <c r="C6" s="473">
        <v>1868.93</v>
      </c>
      <c r="D6" s="473">
        <v>16</v>
      </c>
      <c r="E6" s="473">
        <v>1641.24</v>
      </c>
      <c r="F6" s="515">
        <v>0.87817093203062713</v>
      </c>
      <c r="G6" s="473">
        <v>13</v>
      </c>
      <c r="H6" s="515">
        <v>0.8125</v>
      </c>
      <c r="I6" s="473">
        <v>227.69000000000003</v>
      </c>
      <c r="J6" s="515">
        <v>0.12182906796937286</v>
      </c>
      <c r="K6" s="473">
        <v>3</v>
      </c>
      <c r="L6" s="515">
        <v>0.1875</v>
      </c>
      <c r="M6" s="473" t="s">
        <v>1</v>
      </c>
      <c r="N6" s="150"/>
    </row>
    <row r="7" spans="1:14" ht="14.4" customHeight="1" x14ac:dyDescent="0.3">
      <c r="A7" s="469" t="s">
        <v>548</v>
      </c>
      <c r="B7" s="470" t="s">
        <v>3</v>
      </c>
      <c r="C7" s="473">
        <v>1868.93</v>
      </c>
      <c r="D7" s="473">
        <v>16</v>
      </c>
      <c r="E7" s="473">
        <v>1641.24</v>
      </c>
      <c r="F7" s="515">
        <v>0.87817093203062713</v>
      </c>
      <c r="G7" s="473">
        <v>13</v>
      </c>
      <c r="H7" s="515">
        <v>0.8125</v>
      </c>
      <c r="I7" s="473">
        <v>227.69000000000003</v>
      </c>
      <c r="J7" s="515">
        <v>0.12182906796937286</v>
      </c>
      <c r="K7" s="473">
        <v>3</v>
      </c>
      <c r="L7" s="515">
        <v>0.1875</v>
      </c>
      <c r="M7" s="473" t="s">
        <v>552</v>
      </c>
      <c r="N7" s="150"/>
    </row>
    <row r="9" spans="1:14" ht="14.4" customHeight="1" x14ac:dyDescent="0.3">
      <c r="A9" s="469">
        <v>35</v>
      </c>
      <c r="B9" s="470" t="s">
        <v>610</v>
      </c>
      <c r="C9" s="473" t="s">
        <v>550</v>
      </c>
      <c r="D9" s="473" t="s">
        <v>550</v>
      </c>
      <c r="E9" s="473" t="s">
        <v>550</v>
      </c>
      <c r="F9" s="515" t="s">
        <v>550</v>
      </c>
      <c r="G9" s="473" t="s">
        <v>550</v>
      </c>
      <c r="H9" s="515" t="s">
        <v>550</v>
      </c>
      <c r="I9" s="473" t="s">
        <v>550</v>
      </c>
      <c r="J9" s="515" t="s">
        <v>550</v>
      </c>
      <c r="K9" s="473" t="s">
        <v>550</v>
      </c>
      <c r="L9" s="515" t="s">
        <v>550</v>
      </c>
      <c r="M9" s="473" t="s">
        <v>69</v>
      </c>
      <c r="N9" s="150"/>
    </row>
    <row r="10" spans="1:14" ht="14.4" customHeight="1" x14ac:dyDescent="0.3">
      <c r="A10" s="469" t="s">
        <v>616</v>
      </c>
      <c r="B10" s="470" t="s">
        <v>615</v>
      </c>
      <c r="C10" s="473">
        <v>1868.93</v>
      </c>
      <c r="D10" s="473">
        <v>16</v>
      </c>
      <c r="E10" s="473">
        <v>1641.24</v>
      </c>
      <c r="F10" s="515">
        <v>0.87817093203062713</v>
      </c>
      <c r="G10" s="473">
        <v>13</v>
      </c>
      <c r="H10" s="515">
        <v>0.8125</v>
      </c>
      <c r="I10" s="473">
        <v>227.69000000000003</v>
      </c>
      <c r="J10" s="515">
        <v>0.12182906796937286</v>
      </c>
      <c r="K10" s="473">
        <v>3</v>
      </c>
      <c r="L10" s="515">
        <v>0.1875</v>
      </c>
      <c r="M10" s="473" t="s">
        <v>1</v>
      </c>
      <c r="N10" s="150"/>
    </row>
    <row r="11" spans="1:14" ht="14.4" customHeight="1" x14ac:dyDescent="0.3">
      <c r="A11" s="469" t="s">
        <v>616</v>
      </c>
      <c r="B11" s="470" t="s">
        <v>617</v>
      </c>
      <c r="C11" s="473">
        <v>1868.93</v>
      </c>
      <c r="D11" s="473">
        <v>16</v>
      </c>
      <c r="E11" s="473">
        <v>1641.24</v>
      </c>
      <c r="F11" s="515">
        <v>0.87817093203062713</v>
      </c>
      <c r="G11" s="473">
        <v>13</v>
      </c>
      <c r="H11" s="515">
        <v>0.8125</v>
      </c>
      <c r="I11" s="473">
        <v>227.69000000000003</v>
      </c>
      <c r="J11" s="515">
        <v>0.12182906796937286</v>
      </c>
      <c r="K11" s="473">
        <v>3</v>
      </c>
      <c r="L11" s="515">
        <v>0.1875</v>
      </c>
      <c r="M11" s="473" t="s">
        <v>556</v>
      </c>
      <c r="N11" s="150"/>
    </row>
    <row r="12" spans="1:14" ht="14.4" customHeight="1" x14ac:dyDescent="0.3">
      <c r="A12" s="469" t="s">
        <v>550</v>
      </c>
      <c r="B12" s="470" t="s">
        <v>550</v>
      </c>
      <c r="C12" s="473" t="s">
        <v>550</v>
      </c>
      <c r="D12" s="473" t="s">
        <v>550</v>
      </c>
      <c r="E12" s="473" t="s">
        <v>550</v>
      </c>
      <c r="F12" s="515" t="s">
        <v>550</v>
      </c>
      <c r="G12" s="473" t="s">
        <v>550</v>
      </c>
      <c r="H12" s="515" t="s">
        <v>550</v>
      </c>
      <c r="I12" s="473" t="s">
        <v>550</v>
      </c>
      <c r="J12" s="515" t="s">
        <v>550</v>
      </c>
      <c r="K12" s="473" t="s">
        <v>550</v>
      </c>
      <c r="L12" s="515" t="s">
        <v>550</v>
      </c>
      <c r="M12" s="473" t="s">
        <v>557</v>
      </c>
      <c r="N12" s="150"/>
    </row>
    <row r="13" spans="1:14" ht="14.4" customHeight="1" x14ac:dyDescent="0.3">
      <c r="A13" s="469" t="s">
        <v>548</v>
      </c>
      <c r="B13" s="470" t="s">
        <v>618</v>
      </c>
      <c r="C13" s="473">
        <v>1868.93</v>
      </c>
      <c r="D13" s="473">
        <v>16</v>
      </c>
      <c r="E13" s="473">
        <v>1641.24</v>
      </c>
      <c r="F13" s="515">
        <v>0.87817093203062713</v>
      </c>
      <c r="G13" s="473">
        <v>13</v>
      </c>
      <c r="H13" s="515">
        <v>0.8125</v>
      </c>
      <c r="I13" s="473">
        <v>227.69000000000003</v>
      </c>
      <c r="J13" s="515">
        <v>0.12182906796937286</v>
      </c>
      <c r="K13" s="473">
        <v>3</v>
      </c>
      <c r="L13" s="515">
        <v>0.1875</v>
      </c>
      <c r="M13" s="473" t="s">
        <v>552</v>
      </c>
      <c r="N13" s="150"/>
    </row>
    <row r="14" spans="1:14" ht="14.4" customHeight="1" x14ac:dyDescent="0.3">
      <c r="A14" s="516" t="s">
        <v>619</v>
      </c>
    </row>
    <row r="15" spans="1:14" ht="14.4" customHeight="1" x14ac:dyDescent="0.3">
      <c r="A15" s="517" t="s">
        <v>620</v>
      </c>
    </row>
    <row r="16" spans="1:14" ht="14.4" customHeight="1" x14ac:dyDescent="0.3">
      <c r="A16" s="516" t="s">
        <v>621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5" t="s">
        <v>146</v>
      </c>
      <c r="B1" s="385"/>
      <c r="C1" s="385"/>
      <c r="D1" s="385"/>
      <c r="E1" s="385"/>
      <c r="F1" s="385"/>
      <c r="G1" s="385"/>
      <c r="H1" s="385"/>
      <c r="I1" s="385"/>
      <c r="J1" s="347"/>
      <c r="K1" s="347"/>
      <c r="L1" s="347"/>
      <c r="M1" s="347"/>
    </row>
    <row r="2" spans="1:13" ht="14.4" customHeight="1" thickBot="1" x14ac:dyDescent="0.35">
      <c r="A2" s="235" t="s">
        <v>291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402" t="s">
        <v>15</v>
      </c>
      <c r="C3" s="404"/>
      <c r="D3" s="401"/>
      <c r="E3" s="142"/>
      <c r="F3" s="401" t="s">
        <v>16</v>
      </c>
      <c r="G3" s="401"/>
      <c r="H3" s="401"/>
      <c r="I3" s="401"/>
      <c r="J3" s="401" t="s">
        <v>145</v>
      </c>
      <c r="K3" s="401"/>
      <c r="L3" s="401"/>
      <c r="M3" s="403"/>
    </row>
    <row r="4" spans="1:13" ht="14.4" customHeight="1" thickBot="1" x14ac:dyDescent="0.35">
      <c r="A4" s="497" t="s">
        <v>135</v>
      </c>
      <c r="B4" s="498" t="s">
        <v>19</v>
      </c>
      <c r="C4" s="521"/>
      <c r="D4" s="498" t="s">
        <v>20</v>
      </c>
      <c r="E4" s="521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8" t="s">
        <v>622</v>
      </c>
      <c r="B5" s="511">
        <v>1090.1200000000001</v>
      </c>
      <c r="C5" s="480">
        <v>1</v>
      </c>
      <c r="D5" s="523">
        <v>5</v>
      </c>
      <c r="E5" s="528" t="s">
        <v>622</v>
      </c>
      <c r="F5" s="511">
        <v>988.13000000000011</v>
      </c>
      <c r="G5" s="503">
        <v>0.90644149267970497</v>
      </c>
      <c r="H5" s="483">
        <v>4</v>
      </c>
      <c r="I5" s="504">
        <v>0.8</v>
      </c>
      <c r="J5" s="531">
        <v>101.99000000000001</v>
      </c>
      <c r="K5" s="503">
        <v>9.3558507320295012E-2</v>
      </c>
      <c r="L5" s="483">
        <v>1</v>
      </c>
      <c r="M5" s="504">
        <v>0.2</v>
      </c>
    </row>
    <row r="6" spans="1:13" ht="14.4" customHeight="1" x14ac:dyDescent="0.3">
      <c r="A6" s="519" t="s">
        <v>623</v>
      </c>
      <c r="B6" s="522">
        <v>0</v>
      </c>
      <c r="C6" s="486"/>
      <c r="D6" s="524">
        <v>1</v>
      </c>
      <c r="E6" s="529" t="s">
        <v>623</v>
      </c>
      <c r="F6" s="522">
        <v>0</v>
      </c>
      <c r="G6" s="526"/>
      <c r="H6" s="489">
        <v>1</v>
      </c>
      <c r="I6" s="527">
        <v>1</v>
      </c>
      <c r="J6" s="532"/>
      <c r="K6" s="526"/>
      <c r="L6" s="489"/>
      <c r="M6" s="527">
        <v>0</v>
      </c>
    </row>
    <row r="7" spans="1:13" ht="14.4" customHeight="1" x14ac:dyDescent="0.3">
      <c r="A7" s="519" t="s">
        <v>624</v>
      </c>
      <c r="B7" s="522">
        <v>567.83000000000004</v>
      </c>
      <c r="C7" s="486">
        <v>1</v>
      </c>
      <c r="D7" s="524">
        <v>7</v>
      </c>
      <c r="E7" s="529" t="s">
        <v>624</v>
      </c>
      <c r="F7" s="522">
        <v>442.13</v>
      </c>
      <c r="G7" s="526">
        <v>0.77863092827078517</v>
      </c>
      <c r="H7" s="489">
        <v>5</v>
      </c>
      <c r="I7" s="527">
        <v>0.7142857142857143</v>
      </c>
      <c r="J7" s="532">
        <v>125.7</v>
      </c>
      <c r="K7" s="526">
        <v>0.22136907172921472</v>
      </c>
      <c r="L7" s="489">
        <v>2</v>
      </c>
      <c r="M7" s="527">
        <v>0.2857142857142857</v>
      </c>
    </row>
    <row r="8" spans="1:13" ht="14.4" customHeight="1" thickBot="1" x14ac:dyDescent="0.35">
      <c r="A8" s="520" t="s">
        <v>625</v>
      </c>
      <c r="B8" s="512">
        <v>210.98</v>
      </c>
      <c r="C8" s="492">
        <v>1</v>
      </c>
      <c r="D8" s="525">
        <v>3</v>
      </c>
      <c r="E8" s="530" t="s">
        <v>625</v>
      </c>
      <c r="F8" s="512">
        <v>210.98</v>
      </c>
      <c r="G8" s="505">
        <v>1</v>
      </c>
      <c r="H8" s="495">
        <v>3</v>
      </c>
      <c r="I8" s="506">
        <v>1</v>
      </c>
      <c r="J8" s="533"/>
      <c r="K8" s="505">
        <v>0</v>
      </c>
      <c r="L8" s="495"/>
      <c r="M8" s="506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6" t="s">
        <v>696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</row>
    <row r="2" spans="1:21" ht="14.4" customHeight="1" thickBot="1" x14ac:dyDescent="0.35">
      <c r="A2" s="235" t="s">
        <v>291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8"/>
      <c r="B3" s="409"/>
      <c r="C3" s="409"/>
      <c r="D3" s="409"/>
      <c r="E3" s="409"/>
      <c r="F3" s="409"/>
      <c r="G3" s="409"/>
      <c r="H3" s="409"/>
      <c r="I3" s="409"/>
      <c r="J3" s="409"/>
      <c r="K3" s="410" t="s">
        <v>128</v>
      </c>
      <c r="L3" s="411"/>
      <c r="M3" s="66">
        <f>SUBTOTAL(9,M7:M1048576)</f>
        <v>1868.93</v>
      </c>
      <c r="N3" s="66">
        <f>SUBTOTAL(9,N7:N1048576)</f>
        <v>18</v>
      </c>
      <c r="O3" s="66">
        <f>SUBTOTAL(9,O7:O1048576)</f>
        <v>16</v>
      </c>
      <c r="P3" s="66">
        <f>SUBTOTAL(9,P7:P1048576)</f>
        <v>1641.24</v>
      </c>
      <c r="Q3" s="67">
        <f>IF(M3=0,0,P3/M3)</f>
        <v>0.87817093203062713</v>
      </c>
      <c r="R3" s="66">
        <f>SUBTOTAL(9,R7:R1048576)</f>
        <v>14</v>
      </c>
      <c r="S3" s="67">
        <f>IF(N3=0,0,R3/N3)</f>
        <v>0.77777777777777779</v>
      </c>
      <c r="T3" s="66">
        <f>SUBTOTAL(9,T7:T1048576)</f>
        <v>13</v>
      </c>
      <c r="U3" s="68">
        <f>IF(O3=0,0,T3/O3)</f>
        <v>0.8125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12" t="s">
        <v>15</v>
      </c>
      <c r="N4" s="413"/>
      <c r="O4" s="413"/>
      <c r="P4" s="414" t="s">
        <v>21</v>
      </c>
      <c r="Q4" s="413"/>
      <c r="R4" s="413"/>
      <c r="S4" s="413"/>
      <c r="T4" s="413"/>
      <c r="U4" s="415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5" t="s">
        <v>22</v>
      </c>
      <c r="Q5" s="406"/>
      <c r="R5" s="405" t="s">
        <v>13</v>
      </c>
      <c r="S5" s="406"/>
      <c r="T5" s="405" t="s">
        <v>20</v>
      </c>
      <c r="U5" s="407"/>
    </row>
    <row r="6" spans="1:21" s="208" customFormat="1" ht="14.4" customHeight="1" thickBot="1" x14ac:dyDescent="0.3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148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" customHeight="1" x14ac:dyDescent="0.3">
      <c r="A7" s="539">
        <v>35</v>
      </c>
      <c r="B7" s="540" t="s">
        <v>610</v>
      </c>
      <c r="C7" s="540" t="s">
        <v>616</v>
      </c>
      <c r="D7" s="541" t="s">
        <v>694</v>
      </c>
      <c r="E7" s="542" t="s">
        <v>622</v>
      </c>
      <c r="F7" s="540" t="s">
        <v>615</v>
      </c>
      <c r="G7" s="540" t="s">
        <v>626</v>
      </c>
      <c r="H7" s="540" t="s">
        <v>550</v>
      </c>
      <c r="I7" s="540" t="s">
        <v>627</v>
      </c>
      <c r="J7" s="540" t="s">
        <v>628</v>
      </c>
      <c r="K7" s="540" t="s">
        <v>629</v>
      </c>
      <c r="L7" s="543">
        <v>126.57</v>
      </c>
      <c r="M7" s="543">
        <v>126.57</v>
      </c>
      <c r="N7" s="540">
        <v>1</v>
      </c>
      <c r="O7" s="544">
        <v>1</v>
      </c>
      <c r="P7" s="543">
        <v>126.57</v>
      </c>
      <c r="Q7" s="545">
        <v>1</v>
      </c>
      <c r="R7" s="540">
        <v>1</v>
      </c>
      <c r="S7" s="545">
        <v>1</v>
      </c>
      <c r="T7" s="544">
        <v>1</v>
      </c>
      <c r="U7" s="122">
        <v>1</v>
      </c>
    </row>
    <row r="8" spans="1:21" ht="14.4" customHeight="1" x14ac:dyDescent="0.3">
      <c r="A8" s="546">
        <v>35</v>
      </c>
      <c r="B8" s="547" t="s">
        <v>610</v>
      </c>
      <c r="C8" s="547" t="s">
        <v>616</v>
      </c>
      <c r="D8" s="548" t="s">
        <v>694</v>
      </c>
      <c r="E8" s="549" t="s">
        <v>622</v>
      </c>
      <c r="F8" s="547" t="s">
        <v>615</v>
      </c>
      <c r="G8" s="547" t="s">
        <v>630</v>
      </c>
      <c r="H8" s="547" t="s">
        <v>550</v>
      </c>
      <c r="I8" s="547" t="s">
        <v>631</v>
      </c>
      <c r="J8" s="547" t="s">
        <v>632</v>
      </c>
      <c r="K8" s="547" t="s">
        <v>633</v>
      </c>
      <c r="L8" s="550">
        <v>182.22</v>
      </c>
      <c r="M8" s="550">
        <v>182.22</v>
      </c>
      <c r="N8" s="547">
        <v>1</v>
      </c>
      <c r="O8" s="551">
        <v>1</v>
      </c>
      <c r="P8" s="550">
        <v>182.22</v>
      </c>
      <c r="Q8" s="552">
        <v>1</v>
      </c>
      <c r="R8" s="547">
        <v>1</v>
      </c>
      <c r="S8" s="552">
        <v>1</v>
      </c>
      <c r="T8" s="551">
        <v>1</v>
      </c>
      <c r="U8" s="553">
        <v>1</v>
      </c>
    </row>
    <row r="9" spans="1:21" ht="14.4" customHeight="1" x14ac:dyDescent="0.3">
      <c r="A9" s="546">
        <v>35</v>
      </c>
      <c r="B9" s="547" t="s">
        <v>610</v>
      </c>
      <c r="C9" s="547" t="s">
        <v>616</v>
      </c>
      <c r="D9" s="548" t="s">
        <v>694</v>
      </c>
      <c r="E9" s="549" t="s">
        <v>622</v>
      </c>
      <c r="F9" s="547" t="s">
        <v>615</v>
      </c>
      <c r="G9" s="547" t="s">
        <v>634</v>
      </c>
      <c r="H9" s="547" t="s">
        <v>550</v>
      </c>
      <c r="I9" s="547" t="s">
        <v>635</v>
      </c>
      <c r="J9" s="547" t="s">
        <v>636</v>
      </c>
      <c r="K9" s="547" t="s">
        <v>637</v>
      </c>
      <c r="L9" s="550">
        <v>89.91</v>
      </c>
      <c r="M9" s="550">
        <v>89.91</v>
      </c>
      <c r="N9" s="547">
        <v>1</v>
      </c>
      <c r="O9" s="551">
        <v>1</v>
      </c>
      <c r="P9" s="550">
        <v>89.91</v>
      </c>
      <c r="Q9" s="552">
        <v>1</v>
      </c>
      <c r="R9" s="547">
        <v>1</v>
      </c>
      <c r="S9" s="552">
        <v>1</v>
      </c>
      <c r="T9" s="551">
        <v>1</v>
      </c>
      <c r="U9" s="553">
        <v>1</v>
      </c>
    </row>
    <row r="10" spans="1:21" ht="14.4" customHeight="1" x14ac:dyDescent="0.3">
      <c r="A10" s="546">
        <v>35</v>
      </c>
      <c r="B10" s="547" t="s">
        <v>610</v>
      </c>
      <c r="C10" s="547" t="s">
        <v>616</v>
      </c>
      <c r="D10" s="548" t="s">
        <v>694</v>
      </c>
      <c r="E10" s="549" t="s">
        <v>622</v>
      </c>
      <c r="F10" s="547" t="s">
        <v>615</v>
      </c>
      <c r="G10" s="547" t="s">
        <v>638</v>
      </c>
      <c r="H10" s="547" t="s">
        <v>695</v>
      </c>
      <c r="I10" s="547" t="s">
        <v>639</v>
      </c>
      <c r="J10" s="547" t="s">
        <v>640</v>
      </c>
      <c r="K10" s="547" t="s">
        <v>641</v>
      </c>
      <c r="L10" s="550">
        <v>46.07</v>
      </c>
      <c r="M10" s="550">
        <v>46.07</v>
      </c>
      <c r="N10" s="547">
        <v>1</v>
      </c>
      <c r="O10" s="551">
        <v>0.5</v>
      </c>
      <c r="P10" s="550">
        <v>46.07</v>
      </c>
      <c r="Q10" s="552">
        <v>1</v>
      </c>
      <c r="R10" s="547">
        <v>1</v>
      </c>
      <c r="S10" s="552">
        <v>1</v>
      </c>
      <c r="T10" s="551">
        <v>0.5</v>
      </c>
      <c r="U10" s="553">
        <v>1</v>
      </c>
    </row>
    <row r="11" spans="1:21" ht="14.4" customHeight="1" x14ac:dyDescent="0.3">
      <c r="A11" s="546">
        <v>35</v>
      </c>
      <c r="B11" s="547" t="s">
        <v>610</v>
      </c>
      <c r="C11" s="547" t="s">
        <v>616</v>
      </c>
      <c r="D11" s="548" t="s">
        <v>694</v>
      </c>
      <c r="E11" s="549" t="s">
        <v>622</v>
      </c>
      <c r="F11" s="547" t="s">
        <v>615</v>
      </c>
      <c r="G11" s="547" t="s">
        <v>642</v>
      </c>
      <c r="H11" s="547" t="s">
        <v>550</v>
      </c>
      <c r="I11" s="547" t="s">
        <v>643</v>
      </c>
      <c r="J11" s="547" t="s">
        <v>644</v>
      </c>
      <c r="K11" s="547" t="s">
        <v>645</v>
      </c>
      <c r="L11" s="550">
        <v>48.42</v>
      </c>
      <c r="M11" s="550">
        <v>48.42</v>
      </c>
      <c r="N11" s="547">
        <v>1</v>
      </c>
      <c r="O11" s="551">
        <v>0.5</v>
      </c>
      <c r="P11" s="550"/>
      <c r="Q11" s="552">
        <v>0</v>
      </c>
      <c r="R11" s="547"/>
      <c r="S11" s="552">
        <v>0</v>
      </c>
      <c r="T11" s="551"/>
      <c r="U11" s="553">
        <v>0</v>
      </c>
    </row>
    <row r="12" spans="1:21" ht="14.4" customHeight="1" x14ac:dyDescent="0.3">
      <c r="A12" s="546">
        <v>35</v>
      </c>
      <c r="B12" s="547" t="s">
        <v>610</v>
      </c>
      <c r="C12" s="547" t="s">
        <v>616</v>
      </c>
      <c r="D12" s="548" t="s">
        <v>694</v>
      </c>
      <c r="E12" s="549" t="s">
        <v>622</v>
      </c>
      <c r="F12" s="547" t="s">
        <v>615</v>
      </c>
      <c r="G12" s="547" t="s">
        <v>646</v>
      </c>
      <c r="H12" s="547" t="s">
        <v>695</v>
      </c>
      <c r="I12" s="547" t="s">
        <v>647</v>
      </c>
      <c r="J12" s="547" t="s">
        <v>648</v>
      </c>
      <c r="K12" s="547" t="s">
        <v>649</v>
      </c>
      <c r="L12" s="550">
        <v>543.36</v>
      </c>
      <c r="M12" s="550">
        <v>543.36</v>
      </c>
      <c r="N12" s="547">
        <v>1</v>
      </c>
      <c r="O12" s="551">
        <v>0.5</v>
      </c>
      <c r="P12" s="550">
        <v>543.36</v>
      </c>
      <c r="Q12" s="552">
        <v>1</v>
      </c>
      <c r="R12" s="547">
        <v>1</v>
      </c>
      <c r="S12" s="552">
        <v>1</v>
      </c>
      <c r="T12" s="551">
        <v>0.5</v>
      </c>
      <c r="U12" s="553">
        <v>1</v>
      </c>
    </row>
    <row r="13" spans="1:21" ht="14.4" customHeight="1" x14ac:dyDescent="0.3">
      <c r="A13" s="546">
        <v>35</v>
      </c>
      <c r="B13" s="547" t="s">
        <v>610</v>
      </c>
      <c r="C13" s="547" t="s">
        <v>616</v>
      </c>
      <c r="D13" s="548" t="s">
        <v>694</v>
      </c>
      <c r="E13" s="549" t="s">
        <v>622</v>
      </c>
      <c r="F13" s="547" t="s">
        <v>615</v>
      </c>
      <c r="G13" s="547" t="s">
        <v>650</v>
      </c>
      <c r="H13" s="547" t="s">
        <v>695</v>
      </c>
      <c r="I13" s="547" t="s">
        <v>651</v>
      </c>
      <c r="J13" s="547" t="s">
        <v>652</v>
      </c>
      <c r="K13" s="547" t="s">
        <v>653</v>
      </c>
      <c r="L13" s="550">
        <v>53.57</v>
      </c>
      <c r="M13" s="550">
        <v>53.57</v>
      </c>
      <c r="N13" s="547">
        <v>1</v>
      </c>
      <c r="O13" s="551">
        <v>0.5</v>
      </c>
      <c r="P13" s="550"/>
      <c r="Q13" s="552">
        <v>0</v>
      </c>
      <c r="R13" s="547"/>
      <c r="S13" s="552">
        <v>0</v>
      </c>
      <c r="T13" s="551"/>
      <c r="U13" s="553">
        <v>0</v>
      </c>
    </row>
    <row r="14" spans="1:21" ht="14.4" customHeight="1" x14ac:dyDescent="0.3">
      <c r="A14" s="546">
        <v>35</v>
      </c>
      <c r="B14" s="547" t="s">
        <v>610</v>
      </c>
      <c r="C14" s="547" t="s">
        <v>616</v>
      </c>
      <c r="D14" s="548" t="s">
        <v>694</v>
      </c>
      <c r="E14" s="549" t="s">
        <v>623</v>
      </c>
      <c r="F14" s="547" t="s">
        <v>615</v>
      </c>
      <c r="G14" s="547" t="s">
        <v>654</v>
      </c>
      <c r="H14" s="547" t="s">
        <v>550</v>
      </c>
      <c r="I14" s="547" t="s">
        <v>655</v>
      </c>
      <c r="J14" s="547" t="s">
        <v>656</v>
      </c>
      <c r="K14" s="547" t="s">
        <v>657</v>
      </c>
      <c r="L14" s="550">
        <v>0</v>
      </c>
      <c r="M14" s="550">
        <v>0</v>
      </c>
      <c r="N14" s="547">
        <v>1</v>
      </c>
      <c r="O14" s="551">
        <v>1</v>
      </c>
      <c r="P14" s="550">
        <v>0</v>
      </c>
      <c r="Q14" s="552"/>
      <c r="R14" s="547">
        <v>1</v>
      </c>
      <c r="S14" s="552">
        <v>1</v>
      </c>
      <c r="T14" s="551">
        <v>1</v>
      </c>
      <c r="U14" s="553">
        <v>1</v>
      </c>
    </row>
    <row r="15" spans="1:21" ht="14.4" customHeight="1" x14ac:dyDescent="0.3">
      <c r="A15" s="546">
        <v>35</v>
      </c>
      <c r="B15" s="547" t="s">
        <v>610</v>
      </c>
      <c r="C15" s="547" t="s">
        <v>616</v>
      </c>
      <c r="D15" s="548" t="s">
        <v>694</v>
      </c>
      <c r="E15" s="549" t="s">
        <v>625</v>
      </c>
      <c r="F15" s="547" t="s">
        <v>615</v>
      </c>
      <c r="G15" s="547" t="s">
        <v>658</v>
      </c>
      <c r="H15" s="547" t="s">
        <v>550</v>
      </c>
      <c r="I15" s="547" t="s">
        <v>659</v>
      </c>
      <c r="J15" s="547" t="s">
        <v>660</v>
      </c>
      <c r="K15" s="547" t="s">
        <v>661</v>
      </c>
      <c r="L15" s="550">
        <v>0</v>
      </c>
      <c r="M15" s="550">
        <v>0</v>
      </c>
      <c r="N15" s="547">
        <v>1</v>
      </c>
      <c r="O15" s="551">
        <v>1</v>
      </c>
      <c r="P15" s="550">
        <v>0</v>
      </c>
      <c r="Q15" s="552"/>
      <c r="R15" s="547">
        <v>1</v>
      </c>
      <c r="S15" s="552">
        <v>1</v>
      </c>
      <c r="T15" s="551">
        <v>1</v>
      </c>
      <c r="U15" s="553">
        <v>1</v>
      </c>
    </row>
    <row r="16" spans="1:21" ht="14.4" customHeight="1" x14ac:dyDescent="0.3">
      <c r="A16" s="546">
        <v>35</v>
      </c>
      <c r="B16" s="547" t="s">
        <v>610</v>
      </c>
      <c r="C16" s="547" t="s">
        <v>616</v>
      </c>
      <c r="D16" s="548" t="s">
        <v>694</v>
      </c>
      <c r="E16" s="549" t="s">
        <v>625</v>
      </c>
      <c r="F16" s="547" t="s">
        <v>615</v>
      </c>
      <c r="G16" s="547" t="s">
        <v>662</v>
      </c>
      <c r="H16" s="547" t="s">
        <v>550</v>
      </c>
      <c r="I16" s="547" t="s">
        <v>663</v>
      </c>
      <c r="J16" s="547" t="s">
        <v>664</v>
      </c>
      <c r="K16" s="547" t="s">
        <v>665</v>
      </c>
      <c r="L16" s="550">
        <v>121.07</v>
      </c>
      <c r="M16" s="550">
        <v>121.07</v>
      </c>
      <c r="N16" s="547">
        <v>1</v>
      </c>
      <c r="O16" s="551">
        <v>1</v>
      </c>
      <c r="P16" s="550">
        <v>121.07</v>
      </c>
      <c r="Q16" s="552">
        <v>1</v>
      </c>
      <c r="R16" s="547">
        <v>1</v>
      </c>
      <c r="S16" s="552">
        <v>1</v>
      </c>
      <c r="T16" s="551">
        <v>1</v>
      </c>
      <c r="U16" s="553">
        <v>1</v>
      </c>
    </row>
    <row r="17" spans="1:21" ht="14.4" customHeight="1" x14ac:dyDescent="0.3">
      <c r="A17" s="546">
        <v>35</v>
      </c>
      <c r="B17" s="547" t="s">
        <v>610</v>
      </c>
      <c r="C17" s="547" t="s">
        <v>616</v>
      </c>
      <c r="D17" s="548" t="s">
        <v>694</v>
      </c>
      <c r="E17" s="549" t="s">
        <v>625</v>
      </c>
      <c r="F17" s="547" t="s">
        <v>615</v>
      </c>
      <c r="G17" s="547" t="s">
        <v>634</v>
      </c>
      <c r="H17" s="547" t="s">
        <v>550</v>
      </c>
      <c r="I17" s="547" t="s">
        <v>635</v>
      </c>
      <c r="J17" s="547" t="s">
        <v>636</v>
      </c>
      <c r="K17" s="547" t="s">
        <v>637</v>
      </c>
      <c r="L17" s="550">
        <v>89.91</v>
      </c>
      <c r="M17" s="550">
        <v>89.91</v>
      </c>
      <c r="N17" s="547">
        <v>1</v>
      </c>
      <c r="O17" s="551">
        <v>1</v>
      </c>
      <c r="P17" s="550">
        <v>89.91</v>
      </c>
      <c r="Q17" s="552">
        <v>1</v>
      </c>
      <c r="R17" s="547">
        <v>1</v>
      </c>
      <c r="S17" s="552">
        <v>1</v>
      </c>
      <c r="T17" s="551">
        <v>1</v>
      </c>
      <c r="U17" s="553">
        <v>1</v>
      </c>
    </row>
    <row r="18" spans="1:21" ht="14.4" customHeight="1" x14ac:dyDescent="0.3">
      <c r="A18" s="546">
        <v>35</v>
      </c>
      <c r="B18" s="547" t="s">
        <v>610</v>
      </c>
      <c r="C18" s="547" t="s">
        <v>616</v>
      </c>
      <c r="D18" s="548" t="s">
        <v>694</v>
      </c>
      <c r="E18" s="549" t="s">
        <v>624</v>
      </c>
      <c r="F18" s="547" t="s">
        <v>615</v>
      </c>
      <c r="G18" s="547" t="s">
        <v>666</v>
      </c>
      <c r="H18" s="547" t="s">
        <v>550</v>
      </c>
      <c r="I18" s="547" t="s">
        <v>667</v>
      </c>
      <c r="J18" s="547" t="s">
        <v>668</v>
      </c>
      <c r="K18" s="547" t="s">
        <v>669</v>
      </c>
      <c r="L18" s="550">
        <v>57.76</v>
      </c>
      <c r="M18" s="550">
        <v>57.76</v>
      </c>
      <c r="N18" s="547">
        <v>1</v>
      </c>
      <c r="O18" s="551">
        <v>1</v>
      </c>
      <c r="P18" s="550">
        <v>57.76</v>
      </c>
      <c r="Q18" s="552">
        <v>1</v>
      </c>
      <c r="R18" s="547">
        <v>1</v>
      </c>
      <c r="S18" s="552">
        <v>1</v>
      </c>
      <c r="T18" s="551">
        <v>1</v>
      </c>
      <c r="U18" s="553">
        <v>1</v>
      </c>
    </row>
    <row r="19" spans="1:21" ht="14.4" customHeight="1" x14ac:dyDescent="0.3">
      <c r="A19" s="546">
        <v>35</v>
      </c>
      <c r="B19" s="547" t="s">
        <v>610</v>
      </c>
      <c r="C19" s="547" t="s">
        <v>616</v>
      </c>
      <c r="D19" s="548" t="s">
        <v>694</v>
      </c>
      <c r="E19" s="549" t="s">
        <v>624</v>
      </c>
      <c r="F19" s="547" t="s">
        <v>615</v>
      </c>
      <c r="G19" s="547" t="s">
        <v>670</v>
      </c>
      <c r="H19" s="547" t="s">
        <v>695</v>
      </c>
      <c r="I19" s="547" t="s">
        <v>671</v>
      </c>
      <c r="J19" s="547" t="s">
        <v>672</v>
      </c>
      <c r="K19" s="547" t="s">
        <v>673</v>
      </c>
      <c r="L19" s="550">
        <v>70.540000000000006</v>
      </c>
      <c r="M19" s="550">
        <v>70.540000000000006</v>
      </c>
      <c r="N19" s="547">
        <v>1</v>
      </c>
      <c r="O19" s="551">
        <v>1</v>
      </c>
      <c r="P19" s="550"/>
      <c r="Q19" s="552">
        <v>0</v>
      </c>
      <c r="R19" s="547"/>
      <c r="S19" s="552">
        <v>0</v>
      </c>
      <c r="T19" s="551"/>
      <c r="U19" s="553">
        <v>0</v>
      </c>
    </row>
    <row r="20" spans="1:21" ht="14.4" customHeight="1" x14ac:dyDescent="0.3">
      <c r="A20" s="546">
        <v>35</v>
      </c>
      <c r="B20" s="547" t="s">
        <v>610</v>
      </c>
      <c r="C20" s="547" t="s">
        <v>616</v>
      </c>
      <c r="D20" s="548" t="s">
        <v>694</v>
      </c>
      <c r="E20" s="549" t="s">
        <v>624</v>
      </c>
      <c r="F20" s="547" t="s">
        <v>615</v>
      </c>
      <c r="G20" s="547" t="s">
        <v>674</v>
      </c>
      <c r="H20" s="547" t="s">
        <v>695</v>
      </c>
      <c r="I20" s="547" t="s">
        <v>675</v>
      </c>
      <c r="J20" s="547" t="s">
        <v>676</v>
      </c>
      <c r="K20" s="547" t="s">
        <v>677</v>
      </c>
      <c r="L20" s="550">
        <v>207.45</v>
      </c>
      <c r="M20" s="550">
        <v>207.45</v>
      </c>
      <c r="N20" s="547">
        <v>1</v>
      </c>
      <c r="O20" s="551">
        <v>1</v>
      </c>
      <c r="P20" s="550">
        <v>207.45</v>
      </c>
      <c r="Q20" s="552">
        <v>1</v>
      </c>
      <c r="R20" s="547">
        <v>1</v>
      </c>
      <c r="S20" s="552">
        <v>1</v>
      </c>
      <c r="T20" s="551">
        <v>1</v>
      </c>
      <c r="U20" s="553">
        <v>1</v>
      </c>
    </row>
    <row r="21" spans="1:21" ht="14.4" customHeight="1" x14ac:dyDescent="0.3">
      <c r="A21" s="546">
        <v>35</v>
      </c>
      <c r="B21" s="547" t="s">
        <v>610</v>
      </c>
      <c r="C21" s="547" t="s">
        <v>616</v>
      </c>
      <c r="D21" s="548" t="s">
        <v>694</v>
      </c>
      <c r="E21" s="549" t="s">
        <v>624</v>
      </c>
      <c r="F21" s="547" t="s">
        <v>615</v>
      </c>
      <c r="G21" s="547" t="s">
        <v>678</v>
      </c>
      <c r="H21" s="547" t="s">
        <v>550</v>
      </c>
      <c r="I21" s="547" t="s">
        <v>679</v>
      </c>
      <c r="J21" s="547" t="s">
        <v>680</v>
      </c>
      <c r="K21" s="547" t="s">
        <v>681</v>
      </c>
      <c r="L21" s="550">
        <v>73.989999999999995</v>
      </c>
      <c r="M21" s="550">
        <v>73.989999999999995</v>
      </c>
      <c r="N21" s="547">
        <v>1</v>
      </c>
      <c r="O21" s="551">
        <v>1</v>
      </c>
      <c r="P21" s="550">
        <v>73.989999999999995</v>
      </c>
      <c r="Q21" s="552">
        <v>1</v>
      </c>
      <c r="R21" s="547">
        <v>1</v>
      </c>
      <c r="S21" s="552">
        <v>1</v>
      </c>
      <c r="T21" s="551">
        <v>1</v>
      </c>
      <c r="U21" s="553">
        <v>1</v>
      </c>
    </row>
    <row r="22" spans="1:21" ht="14.4" customHeight="1" x14ac:dyDescent="0.3">
      <c r="A22" s="546">
        <v>35</v>
      </c>
      <c r="B22" s="547" t="s">
        <v>610</v>
      </c>
      <c r="C22" s="547" t="s">
        <v>616</v>
      </c>
      <c r="D22" s="548" t="s">
        <v>694</v>
      </c>
      <c r="E22" s="549" t="s">
        <v>624</v>
      </c>
      <c r="F22" s="547" t="s">
        <v>615</v>
      </c>
      <c r="G22" s="547" t="s">
        <v>682</v>
      </c>
      <c r="H22" s="547" t="s">
        <v>550</v>
      </c>
      <c r="I22" s="547" t="s">
        <v>683</v>
      </c>
      <c r="J22" s="547" t="s">
        <v>684</v>
      </c>
      <c r="K22" s="547" t="s">
        <v>685</v>
      </c>
      <c r="L22" s="550">
        <v>0</v>
      </c>
      <c r="M22" s="550">
        <v>0</v>
      </c>
      <c r="N22" s="547">
        <v>1</v>
      </c>
      <c r="O22" s="551">
        <v>1</v>
      </c>
      <c r="P22" s="550">
        <v>0</v>
      </c>
      <c r="Q22" s="552"/>
      <c r="R22" s="547">
        <v>1</v>
      </c>
      <c r="S22" s="552">
        <v>1</v>
      </c>
      <c r="T22" s="551">
        <v>1</v>
      </c>
      <c r="U22" s="553">
        <v>1</v>
      </c>
    </row>
    <row r="23" spans="1:21" ht="14.4" customHeight="1" x14ac:dyDescent="0.3">
      <c r="A23" s="546">
        <v>35</v>
      </c>
      <c r="B23" s="547" t="s">
        <v>610</v>
      </c>
      <c r="C23" s="547" t="s">
        <v>616</v>
      </c>
      <c r="D23" s="548" t="s">
        <v>694</v>
      </c>
      <c r="E23" s="549" t="s">
        <v>624</v>
      </c>
      <c r="F23" s="547" t="s">
        <v>615</v>
      </c>
      <c r="G23" s="547" t="s">
        <v>686</v>
      </c>
      <c r="H23" s="547" t="s">
        <v>695</v>
      </c>
      <c r="I23" s="547" t="s">
        <v>687</v>
      </c>
      <c r="J23" s="547" t="s">
        <v>688</v>
      </c>
      <c r="K23" s="547" t="s">
        <v>689</v>
      </c>
      <c r="L23" s="550">
        <v>102.93</v>
      </c>
      <c r="M23" s="550">
        <v>102.93</v>
      </c>
      <c r="N23" s="547">
        <v>1</v>
      </c>
      <c r="O23" s="551">
        <v>1</v>
      </c>
      <c r="P23" s="550">
        <v>102.93</v>
      </c>
      <c r="Q23" s="552">
        <v>1</v>
      </c>
      <c r="R23" s="547">
        <v>1</v>
      </c>
      <c r="S23" s="552">
        <v>1</v>
      </c>
      <c r="T23" s="551">
        <v>1</v>
      </c>
      <c r="U23" s="553">
        <v>1</v>
      </c>
    </row>
    <row r="24" spans="1:21" ht="14.4" customHeight="1" thickBot="1" x14ac:dyDescent="0.35">
      <c r="A24" s="554">
        <v>35</v>
      </c>
      <c r="B24" s="555" t="s">
        <v>610</v>
      </c>
      <c r="C24" s="555" t="s">
        <v>616</v>
      </c>
      <c r="D24" s="556" t="s">
        <v>694</v>
      </c>
      <c r="E24" s="557" t="s">
        <v>624</v>
      </c>
      <c r="F24" s="555" t="s">
        <v>615</v>
      </c>
      <c r="G24" s="555" t="s">
        <v>690</v>
      </c>
      <c r="H24" s="555" t="s">
        <v>550</v>
      </c>
      <c r="I24" s="555" t="s">
        <v>691</v>
      </c>
      <c r="J24" s="555" t="s">
        <v>692</v>
      </c>
      <c r="K24" s="555" t="s">
        <v>693</v>
      </c>
      <c r="L24" s="558">
        <v>55.16</v>
      </c>
      <c r="M24" s="558">
        <v>55.16</v>
      </c>
      <c r="N24" s="555">
        <v>1</v>
      </c>
      <c r="O24" s="559">
        <v>1</v>
      </c>
      <c r="P24" s="558"/>
      <c r="Q24" s="560">
        <v>0</v>
      </c>
      <c r="R24" s="555"/>
      <c r="S24" s="560">
        <v>0</v>
      </c>
      <c r="T24" s="559"/>
      <c r="U24" s="561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4" t="s">
        <v>697</v>
      </c>
      <c r="B1" s="385"/>
      <c r="C1" s="385"/>
      <c r="D1" s="385"/>
      <c r="E1" s="385"/>
      <c r="F1" s="385"/>
    </row>
    <row r="2" spans="1:6" ht="14.4" customHeight="1" thickBot="1" x14ac:dyDescent="0.35">
      <c r="A2" s="235" t="s">
        <v>291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6" t="s">
        <v>130</v>
      </c>
      <c r="C3" s="387"/>
      <c r="D3" s="388" t="s">
        <v>129</v>
      </c>
      <c r="E3" s="387"/>
      <c r="F3" s="80" t="s">
        <v>3</v>
      </c>
    </row>
    <row r="4" spans="1:6" ht="14.4" customHeight="1" thickBot="1" x14ac:dyDescent="0.35">
      <c r="A4" s="562" t="s">
        <v>161</v>
      </c>
      <c r="B4" s="563" t="s">
        <v>14</v>
      </c>
      <c r="C4" s="564" t="s">
        <v>2</v>
      </c>
      <c r="D4" s="563" t="s">
        <v>14</v>
      </c>
      <c r="E4" s="564" t="s">
        <v>2</v>
      </c>
      <c r="F4" s="565" t="s">
        <v>14</v>
      </c>
    </row>
    <row r="5" spans="1:6" ht="14.4" customHeight="1" x14ac:dyDescent="0.3">
      <c r="A5" s="578" t="s">
        <v>624</v>
      </c>
      <c r="B5" s="116"/>
      <c r="C5" s="545">
        <v>0</v>
      </c>
      <c r="D5" s="116">
        <v>380.92</v>
      </c>
      <c r="E5" s="545">
        <v>1</v>
      </c>
      <c r="F5" s="566">
        <v>380.92</v>
      </c>
    </row>
    <row r="6" spans="1:6" ht="14.4" customHeight="1" thickBot="1" x14ac:dyDescent="0.35">
      <c r="A6" s="579" t="s">
        <v>622</v>
      </c>
      <c r="B6" s="571"/>
      <c r="C6" s="572">
        <v>0</v>
      </c>
      <c r="D6" s="571">
        <v>643.00000000000011</v>
      </c>
      <c r="E6" s="572">
        <v>1</v>
      </c>
      <c r="F6" s="573">
        <v>643.00000000000011</v>
      </c>
    </row>
    <row r="7" spans="1:6" ht="14.4" customHeight="1" thickBot="1" x14ac:dyDescent="0.35">
      <c r="A7" s="574" t="s">
        <v>3</v>
      </c>
      <c r="B7" s="575"/>
      <c r="C7" s="576">
        <v>0</v>
      </c>
      <c r="D7" s="575">
        <v>1023.9200000000001</v>
      </c>
      <c r="E7" s="576">
        <v>1</v>
      </c>
      <c r="F7" s="577">
        <v>1023.9200000000001</v>
      </c>
    </row>
    <row r="8" spans="1:6" ht="14.4" customHeight="1" thickBot="1" x14ac:dyDescent="0.35"/>
    <row r="9" spans="1:6" ht="14.4" customHeight="1" x14ac:dyDescent="0.3">
      <c r="A9" s="578" t="s">
        <v>698</v>
      </c>
      <c r="B9" s="116"/>
      <c r="C9" s="545">
        <v>0</v>
      </c>
      <c r="D9" s="116">
        <v>70.540000000000006</v>
      </c>
      <c r="E9" s="545">
        <v>1</v>
      </c>
      <c r="F9" s="566">
        <v>70.540000000000006</v>
      </c>
    </row>
    <row r="10" spans="1:6" ht="14.4" customHeight="1" x14ac:dyDescent="0.3">
      <c r="A10" s="581" t="s">
        <v>699</v>
      </c>
      <c r="B10" s="567"/>
      <c r="C10" s="552">
        <v>0</v>
      </c>
      <c r="D10" s="567">
        <v>53.57</v>
      </c>
      <c r="E10" s="552">
        <v>1</v>
      </c>
      <c r="F10" s="568">
        <v>53.57</v>
      </c>
    </row>
    <row r="11" spans="1:6" ht="14.4" customHeight="1" x14ac:dyDescent="0.3">
      <c r="A11" s="581" t="s">
        <v>700</v>
      </c>
      <c r="B11" s="567"/>
      <c r="C11" s="552">
        <v>0</v>
      </c>
      <c r="D11" s="567">
        <v>207.45</v>
      </c>
      <c r="E11" s="552">
        <v>1</v>
      </c>
      <c r="F11" s="568">
        <v>207.45</v>
      </c>
    </row>
    <row r="12" spans="1:6" ht="14.4" customHeight="1" x14ac:dyDescent="0.3">
      <c r="A12" s="581" t="s">
        <v>701</v>
      </c>
      <c r="B12" s="567"/>
      <c r="C12" s="552">
        <v>0</v>
      </c>
      <c r="D12" s="567">
        <v>543.36</v>
      </c>
      <c r="E12" s="552">
        <v>1</v>
      </c>
      <c r="F12" s="568">
        <v>543.36</v>
      </c>
    </row>
    <row r="13" spans="1:6" ht="14.4" customHeight="1" x14ac:dyDescent="0.3">
      <c r="A13" s="581" t="s">
        <v>702</v>
      </c>
      <c r="B13" s="567"/>
      <c r="C13" s="552">
        <v>0</v>
      </c>
      <c r="D13" s="567">
        <v>102.93</v>
      </c>
      <c r="E13" s="552">
        <v>1</v>
      </c>
      <c r="F13" s="568">
        <v>102.93</v>
      </c>
    </row>
    <row r="14" spans="1:6" ht="14.4" customHeight="1" thickBot="1" x14ac:dyDescent="0.35">
      <c r="A14" s="579" t="s">
        <v>703</v>
      </c>
      <c r="B14" s="571"/>
      <c r="C14" s="572">
        <v>0</v>
      </c>
      <c r="D14" s="571">
        <v>46.07</v>
      </c>
      <c r="E14" s="572">
        <v>1</v>
      </c>
      <c r="F14" s="573">
        <v>46.07</v>
      </c>
    </row>
    <row r="15" spans="1:6" ht="14.4" customHeight="1" thickBot="1" x14ac:dyDescent="0.35">
      <c r="A15" s="574" t="s">
        <v>3</v>
      </c>
      <c r="B15" s="575"/>
      <c r="C15" s="576">
        <v>0</v>
      </c>
      <c r="D15" s="575">
        <v>1023.92</v>
      </c>
      <c r="E15" s="576">
        <v>1</v>
      </c>
      <c r="F15" s="577">
        <v>1023.92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{7D4291A7-DBE6-40DB-BE3C-AE68CE85F6E6}</x14:id>
        </ext>
      </extLst>
    </cfRule>
  </conditionalFormatting>
  <conditionalFormatting sqref="F9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{D8D23963-3B5C-4EB7-8EC4-9109BE7821EC}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4291A7-DBE6-40DB-BE3C-AE68CE85F6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D8D23963-3B5C-4EB7-8EC4-9109BE7821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5" t="s">
        <v>710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46"/>
      <c r="M1" s="346"/>
    </row>
    <row r="2" spans="1:13" ht="14.4" customHeight="1" thickBot="1" x14ac:dyDescent="0.35">
      <c r="A2" s="235" t="s">
        <v>291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</v>
      </c>
      <c r="J3" s="43">
        <f>SUBTOTAL(9,J6:J1048576)</f>
        <v>1023.9200000000001</v>
      </c>
      <c r="K3" s="44">
        <f>IF(M3=0,0,J3/M3)</f>
        <v>1</v>
      </c>
      <c r="L3" s="43">
        <f>SUBTOTAL(9,L6:L1048576)</f>
        <v>6</v>
      </c>
      <c r="M3" s="45">
        <f>SUBTOTAL(9,M6:M1048576)</f>
        <v>1023.9200000000001</v>
      </c>
    </row>
    <row r="4" spans="1:13" ht="14.4" customHeight="1" thickBot="1" x14ac:dyDescent="0.35">
      <c r="A4" s="41"/>
      <c r="B4" s="41"/>
      <c r="C4" s="41"/>
      <c r="D4" s="41"/>
      <c r="E4" s="42"/>
      <c r="F4" s="389" t="s">
        <v>130</v>
      </c>
      <c r="G4" s="390"/>
      <c r="H4" s="391"/>
      <c r="I4" s="392" t="s">
        <v>129</v>
      </c>
      <c r="J4" s="390"/>
      <c r="K4" s="391"/>
      <c r="L4" s="393" t="s">
        <v>3</v>
      </c>
      <c r="M4" s="394"/>
    </row>
    <row r="5" spans="1:13" ht="14.4" customHeight="1" thickBot="1" x14ac:dyDescent="0.35">
      <c r="A5" s="562" t="s">
        <v>135</v>
      </c>
      <c r="B5" s="582" t="s">
        <v>131</v>
      </c>
      <c r="C5" s="582" t="s">
        <v>71</v>
      </c>
      <c r="D5" s="582" t="s">
        <v>132</v>
      </c>
      <c r="E5" s="582" t="s">
        <v>133</v>
      </c>
      <c r="F5" s="583" t="s">
        <v>28</v>
      </c>
      <c r="G5" s="583" t="s">
        <v>14</v>
      </c>
      <c r="H5" s="564" t="s">
        <v>134</v>
      </c>
      <c r="I5" s="563" t="s">
        <v>28</v>
      </c>
      <c r="J5" s="583" t="s">
        <v>14</v>
      </c>
      <c r="K5" s="564" t="s">
        <v>134</v>
      </c>
      <c r="L5" s="563" t="s">
        <v>28</v>
      </c>
      <c r="M5" s="584" t="s">
        <v>14</v>
      </c>
    </row>
    <row r="6" spans="1:13" ht="14.4" customHeight="1" x14ac:dyDescent="0.3">
      <c r="A6" s="539" t="s">
        <v>622</v>
      </c>
      <c r="B6" s="540" t="s">
        <v>704</v>
      </c>
      <c r="C6" s="540" t="s">
        <v>647</v>
      </c>
      <c r="D6" s="540" t="s">
        <v>648</v>
      </c>
      <c r="E6" s="540" t="s">
        <v>649</v>
      </c>
      <c r="F6" s="116"/>
      <c r="G6" s="116"/>
      <c r="H6" s="545">
        <v>0</v>
      </c>
      <c r="I6" s="116">
        <v>1</v>
      </c>
      <c r="J6" s="116">
        <v>543.36</v>
      </c>
      <c r="K6" s="545">
        <v>1</v>
      </c>
      <c r="L6" s="116">
        <v>1</v>
      </c>
      <c r="M6" s="566">
        <v>543.36</v>
      </c>
    </row>
    <row r="7" spans="1:13" ht="14.4" customHeight="1" x14ac:dyDescent="0.3">
      <c r="A7" s="546" t="s">
        <v>622</v>
      </c>
      <c r="B7" s="547" t="s">
        <v>705</v>
      </c>
      <c r="C7" s="547" t="s">
        <v>639</v>
      </c>
      <c r="D7" s="547" t="s">
        <v>640</v>
      </c>
      <c r="E7" s="547" t="s">
        <v>641</v>
      </c>
      <c r="F7" s="567"/>
      <c r="G7" s="567"/>
      <c r="H7" s="552">
        <v>0</v>
      </c>
      <c r="I7" s="567">
        <v>1</v>
      </c>
      <c r="J7" s="567">
        <v>46.07</v>
      </c>
      <c r="K7" s="552">
        <v>1</v>
      </c>
      <c r="L7" s="567">
        <v>1</v>
      </c>
      <c r="M7" s="568">
        <v>46.07</v>
      </c>
    </row>
    <row r="8" spans="1:13" ht="14.4" customHeight="1" x14ac:dyDescent="0.3">
      <c r="A8" s="546" t="s">
        <v>622</v>
      </c>
      <c r="B8" s="547" t="s">
        <v>706</v>
      </c>
      <c r="C8" s="547" t="s">
        <v>651</v>
      </c>
      <c r="D8" s="547" t="s">
        <v>652</v>
      </c>
      <c r="E8" s="547" t="s">
        <v>653</v>
      </c>
      <c r="F8" s="567"/>
      <c r="G8" s="567"/>
      <c r="H8" s="552">
        <v>0</v>
      </c>
      <c r="I8" s="567">
        <v>1</v>
      </c>
      <c r="J8" s="567">
        <v>53.57</v>
      </c>
      <c r="K8" s="552">
        <v>1</v>
      </c>
      <c r="L8" s="567">
        <v>1</v>
      </c>
      <c r="M8" s="568">
        <v>53.57</v>
      </c>
    </row>
    <row r="9" spans="1:13" ht="14.4" customHeight="1" x14ac:dyDescent="0.3">
      <c r="A9" s="546" t="s">
        <v>624</v>
      </c>
      <c r="B9" s="547" t="s">
        <v>707</v>
      </c>
      <c r="C9" s="547" t="s">
        <v>687</v>
      </c>
      <c r="D9" s="547" t="s">
        <v>688</v>
      </c>
      <c r="E9" s="547" t="s">
        <v>689</v>
      </c>
      <c r="F9" s="567"/>
      <c r="G9" s="567"/>
      <c r="H9" s="552">
        <v>0</v>
      </c>
      <c r="I9" s="567">
        <v>1</v>
      </c>
      <c r="J9" s="567">
        <v>102.93</v>
      </c>
      <c r="K9" s="552">
        <v>1</v>
      </c>
      <c r="L9" s="567">
        <v>1</v>
      </c>
      <c r="M9" s="568">
        <v>102.93</v>
      </c>
    </row>
    <row r="10" spans="1:13" ht="14.4" customHeight="1" x14ac:dyDescent="0.3">
      <c r="A10" s="546" t="s">
        <v>624</v>
      </c>
      <c r="B10" s="547" t="s">
        <v>708</v>
      </c>
      <c r="C10" s="547" t="s">
        <v>671</v>
      </c>
      <c r="D10" s="547" t="s">
        <v>672</v>
      </c>
      <c r="E10" s="547" t="s">
        <v>673</v>
      </c>
      <c r="F10" s="567"/>
      <c r="G10" s="567"/>
      <c r="H10" s="552">
        <v>0</v>
      </c>
      <c r="I10" s="567">
        <v>1</v>
      </c>
      <c r="J10" s="567">
        <v>70.540000000000006</v>
      </c>
      <c r="K10" s="552">
        <v>1</v>
      </c>
      <c r="L10" s="567">
        <v>1</v>
      </c>
      <c r="M10" s="568">
        <v>70.540000000000006</v>
      </c>
    </row>
    <row r="11" spans="1:13" ht="14.4" customHeight="1" thickBot="1" x14ac:dyDescent="0.35">
      <c r="A11" s="554" t="s">
        <v>624</v>
      </c>
      <c r="B11" s="555" t="s">
        <v>709</v>
      </c>
      <c r="C11" s="555" t="s">
        <v>675</v>
      </c>
      <c r="D11" s="555" t="s">
        <v>676</v>
      </c>
      <c r="E11" s="555" t="s">
        <v>677</v>
      </c>
      <c r="F11" s="569"/>
      <c r="G11" s="569"/>
      <c r="H11" s="560">
        <v>0</v>
      </c>
      <c r="I11" s="569">
        <v>1</v>
      </c>
      <c r="J11" s="569">
        <v>207.45</v>
      </c>
      <c r="K11" s="560">
        <v>1</v>
      </c>
      <c r="L11" s="569">
        <v>1</v>
      </c>
      <c r="M11" s="570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6" t="s">
        <v>139</v>
      </c>
      <c r="B1" s="377"/>
      <c r="C1" s="377"/>
      <c r="D1" s="377"/>
      <c r="E1" s="377"/>
      <c r="F1" s="377"/>
      <c r="G1" s="347"/>
      <c r="H1" s="378"/>
      <c r="I1" s="378"/>
    </row>
    <row r="2" spans="1:10" ht="14.4" customHeight="1" thickBot="1" x14ac:dyDescent="0.35">
      <c r="A2" s="235" t="s">
        <v>291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39"/>
      <c r="C3" s="295">
        <v>2015</v>
      </c>
      <c r="D3" s="296">
        <v>2016</v>
      </c>
      <c r="E3" s="7"/>
      <c r="F3" s="355">
        <v>2017</v>
      </c>
      <c r="G3" s="373"/>
      <c r="H3" s="373"/>
      <c r="I3" s="356"/>
    </row>
    <row r="4" spans="1:10" ht="14.4" customHeight="1" thickBot="1" x14ac:dyDescent="0.35">
      <c r="A4" s="300" t="s">
        <v>0</v>
      </c>
      <c r="B4" s="301" t="s">
        <v>230</v>
      </c>
      <c r="C4" s="374" t="s">
        <v>73</v>
      </c>
      <c r="D4" s="375"/>
      <c r="E4" s="302"/>
      <c r="F4" s="297" t="s">
        <v>73</v>
      </c>
      <c r="G4" s="298" t="s">
        <v>74</v>
      </c>
      <c r="H4" s="298" t="s">
        <v>68</v>
      </c>
      <c r="I4" s="299" t="s">
        <v>75</v>
      </c>
    </row>
    <row r="5" spans="1:10" ht="14.4" customHeight="1" x14ac:dyDescent="0.3">
      <c r="A5" s="469" t="s">
        <v>548</v>
      </c>
      <c r="B5" s="470" t="s">
        <v>549</v>
      </c>
      <c r="C5" s="471" t="s">
        <v>550</v>
      </c>
      <c r="D5" s="471" t="s">
        <v>550</v>
      </c>
      <c r="E5" s="471"/>
      <c r="F5" s="471" t="s">
        <v>550</v>
      </c>
      <c r="G5" s="471" t="s">
        <v>550</v>
      </c>
      <c r="H5" s="471" t="s">
        <v>550</v>
      </c>
      <c r="I5" s="472" t="s">
        <v>550</v>
      </c>
      <c r="J5" s="473" t="s">
        <v>69</v>
      </c>
    </row>
    <row r="6" spans="1:10" ht="14.4" customHeight="1" x14ac:dyDescent="0.3">
      <c r="A6" s="469" t="s">
        <v>548</v>
      </c>
      <c r="B6" s="470" t="s">
        <v>306</v>
      </c>
      <c r="C6" s="471">
        <v>1871.6960000000008</v>
      </c>
      <c r="D6" s="471">
        <v>2519.3893800000001</v>
      </c>
      <c r="E6" s="471"/>
      <c r="F6" s="471">
        <v>2321.8553400000001</v>
      </c>
      <c r="G6" s="471">
        <v>2866.666666666667</v>
      </c>
      <c r="H6" s="471">
        <v>-544.8113266666669</v>
      </c>
      <c r="I6" s="472">
        <v>0.80994953720930229</v>
      </c>
      <c r="J6" s="473" t="s">
        <v>1</v>
      </c>
    </row>
    <row r="7" spans="1:10" ht="14.4" customHeight="1" x14ac:dyDescent="0.3">
      <c r="A7" s="469" t="s">
        <v>548</v>
      </c>
      <c r="B7" s="470" t="s">
        <v>307</v>
      </c>
      <c r="C7" s="471">
        <v>70.272500000000008</v>
      </c>
      <c r="D7" s="471">
        <v>71.603800000000007</v>
      </c>
      <c r="E7" s="471"/>
      <c r="F7" s="471">
        <v>80.602429999999984</v>
      </c>
      <c r="G7" s="471">
        <v>81.666666666666671</v>
      </c>
      <c r="H7" s="471">
        <v>-1.0642366666666874</v>
      </c>
      <c r="I7" s="472">
        <v>0.98696853061224465</v>
      </c>
      <c r="J7" s="473" t="s">
        <v>1</v>
      </c>
    </row>
    <row r="8" spans="1:10" ht="14.4" customHeight="1" x14ac:dyDescent="0.3">
      <c r="A8" s="469" t="s">
        <v>548</v>
      </c>
      <c r="B8" s="470" t="s">
        <v>308</v>
      </c>
      <c r="C8" s="471">
        <v>0.38381999999999999</v>
      </c>
      <c r="D8" s="471">
        <v>32.070210000000003</v>
      </c>
      <c r="E8" s="471"/>
      <c r="F8" s="471">
        <v>42.587240000000008</v>
      </c>
      <c r="G8" s="471">
        <v>39.999999999999829</v>
      </c>
      <c r="H8" s="471">
        <v>2.587240000000179</v>
      </c>
      <c r="I8" s="472">
        <v>1.0646810000000047</v>
      </c>
      <c r="J8" s="473" t="s">
        <v>1</v>
      </c>
    </row>
    <row r="9" spans="1:10" ht="14.4" customHeight="1" x14ac:dyDescent="0.3">
      <c r="A9" s="469" t="s">
        <v>548</v>
      </c>
      <c r="B9" s="470" t="s">
        <v>309</v>
      </c>
      <c r="C9" s="471">
        <v>44.489990000000006</v>
      </c>
      <c r="D9" s="471">
        <v>66.128720000000001</v>
      </c>
      <c r="E9" s="471"/>
      <c r="F9" s="471">
        <v>94.314550000000011</v>
      </c>
      <c r="G9" s="471">
        <v>73.333333333333158</v>
      </c>
      <c r="H9" s="471">
        <v>20.981216666666853</v>
      </c>
      <c r="I9" s="472">
        <v>1.2861075000000033</v>
      </c>
      <c r="J9" s="473" t="s">
        <v>1</v>
      </c>
    </row>
    <row r="10" spans="1:10" ht="14.4" customHeight="1" x14ac:dyDescent="0.3">
      <c r="A10" s="469" t="s">
        <v>548</v>
      </c>
      <c r="B10" s="470" t="s">
        <v>310</v>
      </c>
      <c r="C10" s="471">
        <v>4004.1386000000102</v>
      </c>
      <c r="D10" s="471">
        <v>3425.6338700000001</v>
      </c>
      <c r="E10" s="471"/>
      <c r="F10" s="471">
        <v>3247.6351800000002</v>
      </c>
      <c r="G10" s="471">
        <v>3816.6666666666697</v>
      </c>
      <c r="H10" s="471">
        <v>-569.03148666666948</v>
      </c>
      <c r="I10" s="472">
        <v>0.85090878078602561</v>
      </c>
      <c r="J10" s="473" t="s">
        <v>1</v>
      </c>
    </row>
    <row r="11" spans="1:10" ht="14.4" customHeight="1" x14ac:dyDescent="0.3">
      <c r="A11" s="469" t="s">
        <v>548</v>
      </c>
      <c r="B11" s="470" t="s">
        <v>311</v>
      </c>
      <c r="C11" s="471">
        <v>0</v>
      </c>
      <c r="D11" s="471">
        <v>8.6640000000000015</v>
      </c>
      <c r="E11" s="471"/>
      <c r="F11" s="471">
        <v>8.6939999999999991</v>
      </c>
      <c r="G11" s="471">
        <v>10</v>
      </c>
      <c r="H11" s="471">
        <v>-1.3060000000000009</v>
      </c>
      <c r="I11" s="472">
        <v>0.86939999999999995</v>
      </c>
      <c r="J11" s="473" t="s">
        <v>1</v>
      </c>
    </row>
    <row r="12" spans="1:10" ht="14.4" customHeight="1" x14ac:dyDescent="0.3">
      <c r="A12" s="469" t="s">
        <v>548</v>
      </c>
      <c r="B12" s="470" t="s">
        <v>312</v>
      </c>
      <c r="C12" s="471">
        <v>1.42</v>
      </c>
      <c r="D12" s="471">
        <v>22.151999999999997</v>
      </c>
      <c r="E12" s="471"/>
      <c r="F12" s="471">
        <v>28.013999999999999</v>
      </c>
      <c r="G12" s="471">
        <v>21.666666666666668</v>
      </c>
      <c r="H12" s="471">
        <v>6.3473333333333315</v>
      </c>
      <c r="I12" s="472">
        <v>1.2929538461538461</v>
      </c>
      <c r="J12" s="473" t="s">
        <v>1</v>
      </c>
    </row>
    <row r="13" spans="1:10" ht="14.4" customHeight="1" x14ac:dyDescent="0.3">
      <c r="A13" s="469" t="s">
        <v>548</v>
      </c>
      <c r="B13" s="470" t="s">
        <v>551</v>
      </c>
      <c r="C13" s="471">
        <v>5992.4009100000112</v>
      </c>
      <c r="D13" s="471">
        <v>6145.6419799999994</v>
      </c>
      <c r="E13" s="471"/>
      <c r="F13" s="471">
        <v>5823.7027400000006</v>
      </c>
      <c r="G13" s="471">
        <v>6910.0000000000027</v>
      </c>
      <c r="H13" s="471">
        <v>-1086.2972600000021</v>
      </c>
      <c r="I13" s="472">
        <v>0.84279345007235862</v>
      </c>
      <c r="J13" s="473" t="s">
        <v>552</v>
      </c>
    </row>
    <row r="15" spans="1:10" ht="14.4" customHeight="1" x14ac:dyDescent="0.3">
      <c r="A15" s="469" t="s">
        <v>548</v>
      </c>
      <c r="B15" s="470" t="s">
        <v>549</v>
      </c>
      <c r="C15" s="471" t="s">
        <v>550</v>
      </c>
      <c r="D15" s="471" t="s">
        <v>550</v>
      </c>
      <c r="E15" s="471"/>
      <c r="F15" s="471" t="s">
        <v>550</v>
      </c>
      <c r="G15" s="471" t="s">
        <v>550</v>
      </c>
      <c r="H15" s="471" t="s">
        <v>550</v>
      </c>
      <c r="I15" s="472" t="s">
        <v>550</v>
      </c>
      <c r="J15" s="473" t="s">
        <v>69</v>
      </c>
    </row>
    <row r="16" spans="1:10" ht="14.4" customHeight="1" x14ac:dyDescent="0.3">
      <c r="A16" s="469" t="s">
        <v>553</v>
      </c>
      <c r="B16" s="470" t="s">
        <v>554</v>
      </c>
      <c r="C16" s="471" t="s">
        <v>550</v>
      </c>
      <c r="D16" s="471" t="s">
        <v>550</v>
      </c>
      <c r="E16" s="471"/>
      <c r="F16" s="471" t="s">
        <v>550</v>
      </c>
      <c r="G16" s="471" t="s">
        <v>550</v>
      </c>
      <c r="H16" s="471" t="s">
        <v>550</v>
      </c>
      <c r="I16" s="472" t="s">
        <v>550</v>
      </c>
      <c r="J16" s="473" t="s">
        <v>0</v>
      </c>
    </row>
    <row r="17" spans="1:10" ht="14.4" customHeight="1" x14ac:dyDescent="0.3">
      <c r="A17" s="469" t="s">
        <v>553</v>
      </c>
      <c r="B17" s="470" t="s">
        <v>306</v>
      </c>
      <c r="C17" s="471">
        <v>83.0672</v>
      </c>
      <c r="D17" s="471">
        <v>203.96227999999999</v>
      </c>
      <c r="E17" s="471"/>
      <c r="F17" s="471">
        <v>1041.23864</v>
      </c>
      <c r="G17" s="471">
        <v>1380</v>
      </c>
      <c r="H17" s="471">
        <v>-338.76135999999997</v>
      </c>
      <c r="I17" s="472">
        <v>0.75452075362318838</v>
      </c>
      <c r="J17" s="473" t="s">
        <v>1</v>
      </c>
    </row>
    <row r="18" spans="1:10" ht="14.4" customHeight="1" x14ac:dyDescent="0.3">
      <c r="A18" s="469" t="s">
        <v>553</v>
      </c>
      <c r="B18" s="470" t="s">
        <v>307</v>
      </c>
      <c r="C18" s="471">
        <v>2.6755</v>
      </c>
      <c r="D18" s="471">
        <v>4.0068000000000001</v>
      </c>
      <c r="E18" s="471"/>
      <c r="F18" s="471">
        <v>4.5539300000000003</v>
      </c>
      <c r="G18" s="471">
        <v>5.4181091837558339</v>
      </c>
      <c r="H18" s="471">
        <v>-0.86417918375583369</v>
      </c>
      <c r="I18" s="472">
        <v>0.84050170374071631</v>
      </c>
      <c r="J18" s="473" t="s">
        <v>1</v>
      </c>
    </row>
    <row r="19" spans="1:10" ht="14.4" customHeight="1" x14ac:dyDescent="0.3">
      <c r="A19" s="469" t="s">
        <v>553</v>
      </c>
      <c r="B19" s="470" t="s">
        <v>308</v>
      </c>
      <c r="C19" s="471">
        <v>0.19152</v>
      </c>
      <c r="D19" s="471">
        <v>0.3589</v>
      </c>
      <c r="E19" s="471"/>
      <c r="F19" s="471">
        <v>0.28734999999999999</v>
      </c>
      <c r="G19" s="471">
        <v>0.38337690284300002</v>
      </c>
      <c r="H19" s="471">
        <v>-9.6026902843000028E-2</v>
      </c>
      <c r="I19" s="472">
        <v>0.74952350511756094</v>
      </c>
      <c r="J19" s="473" t="s">
        <v>1</v>
      </c>
    </row>
    <row r="20" spans="1:10" ht="14.4" customHeight="1" x14ac:dyDescent="0.3">
      <c r="A20" s="469" t="s">
        <v>553</v>
      </c>
      <c r="B20" s="470" t="s">
        <v>309</v>
      </c>
      <c r="C20" s="471">
        <v>10.06231</v>
      </c>
      <c r="D20" s="471">
        <v>6.3586999999999998</v>
      </c>
      <c r="E20" s="471"/>
      <c r="F20" s="471">
        <v>15.989129999999999</v>
      </c>
      <c r="G20" s="471">
        <v>9.9495804768496665</v>
      </c>
      <c r="H20" s="471">
        <v>6.0395495231503329</v>
      </c>
      <c r="I20" s="472">
        <v>1.6070154954978197</v>
      </c>
      <c r="J20" s="473" t="s">
        <v>1</v>
      </c>
    </row>
    <row r="21" spans="1:10" ht="14.4" customHeight="1" x14ac:dyDescent="0.3">
      <c r="A21" s="469" t="s">
        <v>553</v>
      </c>
      <c r="B21" s="470" t="s">
        <v>311</v>
      </c>
      <c r="C21" s="471">
        <v>0</v>
      </c>
      <c r="D21" s="471">
        <v>0</v>
      </c>
      <c r="E21" s="471"/>
      <c r="F21" s="471" t="s">
        <v>550</v>
      </c>
      <c r="G21" s="471" t="s">
        <v>550</v>
      </c>
      <c r="H21" s="471" t="s">
        <v>550</v>
      </c>
      <c r="I21" s="472" t="s">
        <v>550</v>
      </c>
      <c r="J21" s="473" t="s">
        <v>1</v>
      </c>
    </row>
    <row r="22" spans="1:10" ht="14.4" customHeight="1" x14ac:dyDescent="0.3">
      <c r="A22" s="469" t="s">
        <v>553</v>
      </c>
      <c r="B22" s="470" t="s">
        <v>312</v>
      </c>
      <c r="C22" s="471">
        <v>1.42</v>
      </c>
      <c r="D22" s="471">
        <v>2.2719999999999998</v>
      </c>
      <c r="E22" s="471"/>
      <c r="F22" s="471">
        <v>4.1399999999999997</v>
      </c>
      <c r="G22" s="471">
        <v>4.1488576413623335</v>
      </c>
      <c r="H22" s="471">
        <v>-8.8576413623338013E-3</v>
      </c>
      <c r="I22" s="472">
        <v>0.99786504090330141</v>
      </c>
      <c r="J22" s="473" t="s">
        <v>1</v>
      </c>
    </row>
    <row r="23" spans="1:10" ht="14.4" customHeight="1" x14ac:dyDescent="0.3">
      <c r="A23" s="469" t="s">
        <v>553</v>
      </c>
      <c r="B23" s="470" t="s">
        <v>555</v>
      </c>
      <c r="C23" s="471">
        <v>97.416529999999995</v>
      </c>
      <c r="D23" s="471">
        <v>216.95867999999999</v>
      </c>
      <c r="E23" s="471"/>
      <c r="F23" s="471">
        <v>1066.2090500000002</v>
      </c>
      <c r="G23" s="471">
        <v>1399.899924204811</v>
      </c>
      <c r="H23" s="471">
        <v>-333.69087420481083</v>
      </c>
      <c r="I23" s="472">
        <v>0.76163233640121941</v>
      </c>
      <c r="J23" s="473" t="s">
        <v>556</v>
      </c>
    </row>
    <row r="24" spans="1:10" ht="14.4" customHeight="1" x14ac:dyDescent="0.3">
      <c r="A24" s="469" t="s">
        <v>550</v>
      </c>
      <c r="B24" s="470" t="s">
        <v>550</v>
      </c>
      <c r="C24" s="471" t="s">
        <v>550</v>
      </c>
      <c r="D24" s="471" t="s">
        <v>550</v>
      </c>
      <c r="E24" s="471"/>
      <c r="F24" s="471" t="s">
        <v>550</v>
      </c>
      <c r="G24" s="471" t="s">
        <v>550</v>
      </c>
      <c r="H24" s="471" t="s">
        <v>550</v>
      </c>
      <c r="I24" s="472" t="s">
        <v>550</v>
      </c>
      <c r="J24" s="473" t="s">
        <v>557</v>
      </c>
    </row>
    <row r="25" spans="1:10" ht="14.4" customHeight="1" x14ac:dyDescent="0.3">
      <c r="A25" s="469" t="s">
        <v>558</v>
      </c>
      <c r="B25" s="470" t="s">
        <v>559</v>
      </c>
      <c r="C25" s="471" t="s">
        <v>550</v>
      </c>
      <c r="D25" s="471" t="s">
        <v>550</v>
      </c>
      <c r="E25" s="471"/>
      <c r="F25" s="471" t="s">
        <v>550</v>
      </c>
      <c r="G25" s="471" t="s">
        <v>550</v>
      </c>
      <c r="H25" s="471" t="s">
        <v>550</v>
      </c>
      <c r="I25" s="472" t="s">
        <v>550</v>
      </c>
      <c r="J25" s="473" t="s">
        <v>0</v>
      </c>
    </row>
    <row r="26" spans="1:10" ht="14.4" customHeight="1" x14ac:dyDescent="0.3">
      <c r="A26" s="469" t="s">
        <v>558</v>
      </c>
      <c r="B26" s="470" t="s">
        <v>306</v>
      </c>
      <c r="C26" s="471">
        <v>1788.6288000000009</v>
      </c>
      <c r="D26" s="471">
        <v>2315.4270999999999</v>
      </c>
      <c r="E26" s="471"/>
      <c r="F26" s="471">
        <v>1280.6167</v>
      </c>
      <c r="G26" s="471">
        <v>1486.6666666666667</v>
      </c>
      <c r="H26" s="471">
        <v>-206.04996666666671</v>
      </c>
      <c r="I26" s="472">
        <v>0.86140136771300446</v>
      </c>
      <c r="J26" s="473" t="s">
        <v>1</v>
      </c>
    </row>
    <row r="27" spans="1:10" ht="14.4" customHeight="1" x14ac:dyDescent="0.3">
      <c r="A27" s="469" t="s">
        <v>558</v>
      </c>
      <c r="B27" s="470" t="s">
        <v>307</v>
      </c>
      <c r="C27" s="471">
        <v>67.597000000000008</v>
      </c>
      <c r="D27" s="471">
        <v>67.597000000000008</v>
      </c>
      <c r="E27" s="471"/>
      <c r="F27" s="471">
        <v>76.04849999999999</v>
      </c>
      <c r="G27" s="471">
        <v>76.24855748291084</v>
      </c>
      <c r="H27" s="471">
        <v>-0.20005748291085013</v>
      </c>
      <c r="I27" s="472">
        <v>0.99737624566922867</v>
      </c>
      <c r="J27" s="473" t="s">
        <v>1</v>
      </c>
    </row>
    <row r="28" spans="1:10" ht="14.4" customHeight="1" x14ac:dyDescent="0.3">
      <c r="A28" s="469" t="s">
        <v>558</v>
      </c>
      <c r="B28" s="470" t="s">
        <v>308</v>
      </c>
      <c r="C28" s="471">
        <v>0.1923</v>
      </c>
      <c r="D28" s="471">
        <v>31.711310000000001</v>
      </c>
      <c r="E28" s="471"/>
      <c r="F28" s="471">
        <v>42.299890000000005</v>
      </c>
      <c r="G28" s="471">
        <v>39.616623097156833</v>
      </c>
      <c r="H28" s="471">
        <v>2.6832669028431724</v>
      </c>
      <c r="I28" s="472">
        <v>1.067730833500439</v>
      </c>
      <c r="J28" s="473" t="s">
        <v>1</v>
      </c>
    </row>
    <row r="29" spans="1:10" ht="14.4" customHeight="1" x14ac:dyDescent="0.3">
      <c r="A29" s="469" t="s">
        <v>558</v>
      </c>
      <c r="B29" s="470" t="s">
        <v>309</v>
      </c>
      <c r="C29" s="471">
        <v>34.427680000000002</v>
      </c>
      <c r="D29" s="471">
        <v>59.770020000000002</v>
      </c>
      <c r="E29" s="471"/>
      <c r="F29" s="471">
        <v>78.325420000000008</v>
      </c>
      <c r="G29" s="471">
        <v>59.32170947731516</v>
      </c>
      <c r="H29" s="471">
        <v>19.003710522684848</v>
      </c>
      <c r="I29" s="472">
        <v>1.3203500150303649</v>
      </c>
      <c r="J29" s="473" t="s">
        <v>1</v>
      </c>
    </row>
    <row r="30" spans="1:10" ht="14.4" customHeight="1" x14ac:dyDescent="0.3">
      <c r="A30" s="469" t="s">
        <v>558</v>
      </c>
      <c r="B30" s="470" t="s">
        <v>310</v>
      </c>
      <c r="C30" s="471">
        <v>4004.1386000000102</v>
      </c>
      <c r="D30" s="471">
        <v>3425.6338700000001</v>
      </c>
      <c r="E30" s="471"/>
      <c r="F30" s="471">
        <v>3247.6351800000002</v>
      </c>
      <c r="G30" s="471">
        <v>3779.2091326294162</v>
      </c>
      <c r="H30" s="471">
        <v>-531.573952629416</v>
      </c>
      <c r="I30" s="472">
        <v>0.85934254126350262</v>
      </c>
      <c r="J30" s="473" t="s">
        <v>1</v>
      </c>
    </row>
    <row r="31" spans="1:10" ht="14.4" customHeight="1" x14ac:dyDescent="0.3">
      <c r="A31" s="469" t="s">
        <v>558</v>
      </c>
      <c r="B31" s="470" t="s">
        <v>311</v>
      </c>
      <c r="C31" s="471">
        <v>0</v>
      </c>
      <c r="D31" s="471">
        <v>8.6640000000000015</v>
      </c>
      <c r="E31" s="471"/>
      <c r="F31" s="471">
        <v>8.6939999999999991</v>
      </c>
      <c r="G31" s="471">
        <v>10</v>
      </c>
      <c r="H31" s="471">
        <v>-1.3060000000000009</v>
      </c>
      <c r="I31" s="472">
        <v>0.86939999999999995</v>
      </c>
      <c r="J31" s="473" t="s">
        <v>1</v>
      </c>
    </row>
    <row r="32" spans="1:10" ht="14.4" customHeight="1" x14ac:dyDescent="0.3">
      <c r="A32" s="469" t="s">
        <v>558</v>
      </c>
      <c r="B32" s="470" t="s">
        <v>312</v>
      </c>
      <c r="C32" s="471">
        <v>0</v>
      </c>
      <c r="D32" s="471">
        <v>19.88</v>
      </c>
      <c r="E32" s="471"/>
      <c r="F32" s="471">
        <v>23.873999999999999</v>
      </c>
      <c r="G32" s="471">
        <v>17.517809025304334</v>
      </c>
      <c r="H32" s="471">
        <v>6.3561909746956644</v>
      </c>
      <c r="I32" s="472">
        <v>1.3628416639040988</v>
      </c>
      <c r="J32" s="473" t="s">
        <v>1</v>
      </c>
    </row>
    <row r="33" spans="1:10" ht="14.4" customHeight="1" x14ac:dyDescent="0.3">
      <c r="A33" s="469" t="s">
        <v>558</v>
      </c>
      <c r="B33" s="470" t="s">
        <v>560</v>
      </c>
      <c r="C33" s="471">
        <v>5894.9843800000108</v>
      </c>
      <c r="D33" s="471">
        <v>5928.6833000000006</v>
      </c>
      <c r="E33" s="471"/>
      <c r="F33" s="471">
        <v>4757.4936900000002</v>
      </c>
      <c r="G33" s="471">
        <v>5468.5804983787702</v>
      </c>
      <c r="H33" s="471">
        <v>-711.08680837877</v>
      </c>
      <c r="I33" s="472">
        <v>0.86996866762963798</v>
      </c>
      <c r="J33" s="473" t="s">
        <v>556</v>
      </c>
    </row>
    <row r="34" spans="1:10" ht="14.4" customHeight="1" x14ac:dyDescent="0.3">
      <c r="A34" s="469" t="s">
        <v>550</v>
      </c>
      <c r="B34" s="470" t="s">
        <v>550</v>
      </c>
      <c r="C34" s="471" t="s">
        <v>550</v>
      </c>
      <c r="D34" s="471" t="s">
        <v>550</v>
      </c>
      <c r="E34" s="471"/>
      <c r="F34" s="471" t="s">
        <v>550</v>
      </c>
      <c r="G34" s="471" t="s">
        <v>550</v>
      </c>
      <c r="H34" s="471" t="s">
        <v>550</v>
      </c>
      <c r="I34" s="472" t="s">
        <v>550</v>
      </c>
      <c r="J34" s="473" t="s">
        <v>557</v>
      </c>
    </row>
    <row r="35" spans="1:10" ht="14.4" customHeight="1" x14ac:dyDescent="0.3">
      <c r="A35" s="469" t="s">
        <v>561</v>
      </c>
      <c r="B35" s="470" t="s">
        <v>562</v>
      </c>
      <c r="C35" s="471" t="s">
        <v>550</v>
      </c>
      <c r="D35" s="471" t="s">
        <v>550</v>
      </c>
      <c r="E35" s="471"/>
      <c r="F35" s="471" t="s">
        <v>550</v>
      </c>
      <c r="G35" s="471" t="s">
        <v>550</v>
      </c>
      <c r="H35" s="471" t="s">
        <v>550</v>
      </c>
      <c r="I35" s="472" t="s">
        <v>550</v>
      </c>
      <c r="J35" s="473" t="s">
        <v>0</v>
      </c>
    </row>
    <row r="36" spans="1:10" ht="14.4" customHeight="1" x14ac:dyDescent="0.3">
      <c r="A36" s="469" t="s">
        <v>561</v>
      </c>
      <c r="B36" s="470" t="s">
        <v>309</v>
      </c>
      <c r="C36" s="471">
        <v>0</v>
      </c>
      <c r="D36" s="471">
        <v>0</v>
      </c>
      <c r="E36" s="471"/>
      <c r="F36" s="471">
        <v>0</v>
      </c>
      <c r="G36" s="471">
        <v>4.0620433791683332</v>
      </c>
      <c r="H36" s="471">
        <v>-4.0620433791683332</v>
      </c>
      <c r="I36" s="472">
        <v>0</v>
      </c>
      <c r="J36" s="473" t="s">
        <v>1</v>
      </c>
    </row>
    <row r="37" spans="1:10" ht="14.4" customHeight="1" x14ac:dyDescent="0.3">
      <c r="A37" s="469" t="s">
        <v>561</v>
      </c>
      <c r="B37" s="470" t="s">
        <v>310</v>
      </c>
      <c r="C37" s="471">
        <v>0</v>
      </c>
      <c r="D37" s="471">
        <v>0</v>
      </c>
      <c r="E37" s="471"/>
      <c r="F37" s="471">
        <v>0</v>
      </c>
      <c r="G37" s="471">
        <v>37.457534037253332</v>
      </c>
      <c r="H37" s="471">
        <v>-37.457534037253332</v>
      </c>
      <c r="I37" s="472">
        <v>0</v>
      </c>
      <c r="J37" s="473" t="s">
        <v>1</v>
      </c>
    </row>
    <row r="38" spans="1:10" ht="14.4" customHeight="1" x14ac:dyDescent="0.3">
      <c r="A38" s="469" t="s">
        <v>561</v>
      </c>
      <c r="B38" s="470" t="s">
        <v>563</v>
      </c>
      <c r="C38" s="471">
        <v>0</v>
      </c>
      <c r="D38" s="471">
        <v>0</v>
      </c>
      <c r="E38" s="471"/>
      <c r="F38" s="471">
        <v>0</v>
      </c>
      <c r="G38" s="471">
        <v>41.519577416421669</v>
      </c>
      <c r="H38" s="471">
        <v>-41.519577416421669</v>
      </c>
      <c r="I38" s="472">
        <v>0</v>
      </c>
      <c r="J38" s="473" t="s">
        <v>556</v>
      </c>
    </row>
    <row r="39" spans="1:10" ht="14.4" customHeight="1" x14ac:dyDescent="0.3">
      <c r="A39" s="469" t="s">
        <v>550</v>
      </c>
      <c r="B39" s="470" t="s">
        <v>550</v>
      </c>
      <c r="C39" s="471" t="s">
        <v>550</v>
      </c>
      <c r="D39" s="471" t="s">
        <v>550</v>
      </c>
      <c r="E39" s="471"/>
      <c r="F39" s="471" t="s">
        <v>550</v>
      </c>
      <c r="G39" s="471" t="s">
        <v>550</v>
      </c>
      <c r="H39" s="471" t="s">
        <v>550</v>
      </c>
      <c r="I39" s="472" t="s">
        <v>550</v>
      </c>
      <c r="J39" s="473" t="s">
        <v>557</v>
      </c>
    </row>
    <row r="40" spans="1:10" ht="14.4" customHeight="1" x14ac:dyDescent="0.3">
      <c r="A40" s="469" t="s">
        <v>548</v>
      </c>
      <c r="B40" s="470" t="s">
        <v>551</v>
      </c>
      <c r="C40" s="471">
        <v>5992.4009100000112</v>
      </c>
      <c r="D40" s="471">
        <v>6145.6419800000003</v>
      </c>
      <c r="E40" s="471"/>
      <c r="F40" s="471">
        <v>5823.7027400000006</v>
      </c>
      <c r="G40" s="471">
        <v>6910.0000000000018</v>
      </c>
      <c r="H40" s="471">
        <v>-1086.2972600000012</v>
      </c>
      <c r="I40" s="472">
        <v>0.84279345007235873</v>
      </c>
      <c r="J40" s="473" t="s">
        <v>552</v>
      </c>
    </row>
  </sheetData>
  <mergeCells count="3">
    <mergeCell ref="A1:I1"/>
    <mergeCell ref="F3:I3"/>
    <mergeCell ref="C4:D4"/>
  </mergeCells>
  <conditionalFormatting sqref="F14 F41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40">
    <cfRule type="expression" dxfId="17" priority="5">
      <formula>$H15&gt;0</formula>
    </cfRule>
  </conditionalFormatting>
  <conditionalFormatting sqref="A15:A40">
    <cfRule type="expression" dxfId="16" priority="2">
      <formula>AND($J15&lt;&gt;"mezeraKL",$J15&lt;&gt;"")</formula>
    </cfRule>
  </conditionalFormatting>
  <conditionalFormatting sqref="I15:I40">
    <cfRule type="expression" dxfId="15" priority="6">
      <formula>$I15&gt;1</formula>
    </cfRule>
  </conditionalFormatting>
  <conditionalFormatting sqref="B15:B40">
    <cfRule type="expression" dxfId="14" priority="1">
      <formula>OR($J15="NS",$J15="SumaNS",$J15="Účet")</formula>
    </cfRule>
  </conditionalFormatting>
  <conditionalFormatting sqref="A15:D40 F15:I40">
    <cfRule type="expression" dxfId="13" priority="8">
      <formula>AND($J15&lt;&gt;"",$J15&lt;&gt;"mezeraKL")</formula>
    </cfRule>
  </conditionalFormatting>
  <conditionalFormatting sqref="B15:D40 F15:I40">
    <cfRule type="expression" dxfId="1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1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3" t="s">
        <v>1030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4.4" customHeight="1" thickBot="1" x14ac:dyDescent="0.35">
      <c r="A2" s="235" t="s">
        <v>291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9"/>
      <c r="D3" s="380"/>
      <c r="E3" s="380"/>
      <c r="F3" s="380"/>
      <c r="G3" s="380"/>
      <c r="H3" s="141" t="s">
        <v>128</v>
      </c>
      <c r="I3" s="98">
        <f>IF(J3&lt;&gt;0,K3/J3,0)</f>
        <v>28.340260814427808</v>
      </c>
      <c r="J3" s="98">
        <f>SUBTOTAL(9,J5:J1048576)</f>
        <v>205500</v>
      </c>
      <c r="K3" s="99">
        <f>SUBTOTAL(9,K5:K1048576)</f>
        <v>5823923.5973649146</v>
      </c>
    </row>
    <row r="4" spans="1:11" s="208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71</v>
      </c>
      <c r="H4" s="476" t="s">
        <v>11</v>
      </c>
      <c r="I4" s="477" t="s">
        <v>142</v>
      </c>
      <c r="J4" s="477" t="s">
        <v>13</v>
      </c>
      <c r="K4" s="478" t="s">
        <v>156</v>
      </c>
    </row>
    <row r="5" spans="1:11" ht="14.4" customHeight="1" x14ac:dyDescent="0.3">
      <c r="A5" s="539" t="s">
        <v>548</v>
      </c>
      <c r="B5" s="540" t="s">
        <v>610</v>
      </c>
      <c r="C5" s="543" t="s">
        <v>553</v>
      </c>
      <c r="D5" s="587" t="s">
        <v>1015</v>
      </c>
      <c r="E5" s="543" t="s">
        <v>1016</v>
      </c>
      <c r="F5" s="587" t="s">
        <v>1017</v>
      </c>
      <c r="G5" s="543" t="s">
        <v>711</v>
      </c>
      <c r="H5" s="543" t="s">
        <v>712</v>
      </c>
      <c r="I5" s="116">
        <v>28.734999999999999</v>
      </c>
      <c r="J5" s="116">
        <v>10</v>
      </c>
      <c r="K5" s="566">
        <v>287.35000000000002</v>
      </c>
    </row>
    <row r="6" spans="1:11" ht="14.4" customHeight="1" x14ac:dyDescent="0.3">
      <c r="A6" s="546" t="s">
        <v>548</v>
      </c>
      <c r="B6" s="547" t="s">
        <v>610</v>
      </c>
      <c r="C6" s="550" t="s">
        <v>553</v>
      </c>
      <c r="D6" s="588" t="s">
        <v>1015</v>
      </c>
      <c r="E6" s="550" t="s">
        <v>1018</v>
      </c>
      <c r="F6" s="588" t="s">
        <v>1019</v>
      </c>
      <c r="G6" s="550" t="s">
        <v>713</v>
      </c>
      <c r="H6" s="550" t="s">
        <v>714</v>
      </c>
      <c r="I6" s="567">
        <v>0.61499999999999999</v>
      </c>
      <c r="J6" s="567">
        <v>4800</v>
      </c>
      <c r="K6" s="568">
        <v>2956</v>
      </c>
    </row>
    <row r="7" spans="1:11" ht="14.4" customHeight="1" x14ac:dyDescent="0.3">
      <c r="A7" s="546" t="s">
        <v>548</v>
      </c>
      <c r="B7" s="547" t="s">
        <v>610</v>
      </c>
      <c r="C7" s="550" t="s">
        <v>553</v>
      </c>
      <c r="D7" s="588" t="s">
        <v>1015</v>
      </c>
      <c r="E7" s="550" t="s">
        <v>1018</v>
      </c>
      <c r="F7" s="588" t="s">
        <v>1019</v>
      </c>
      <c r="G7" s="550" t="s">
        <v>715</v>
      </c>
      <c r="H7" s="550" t="s">
        <v>716</v>
      </c>
      <c r="I7" s="567">
        <v>748.99</v>
      </c>
      <c r="J7" s="567">
        <v>10</v>
      </c>
      <c r="K7" s="568">
        <v>7489.9</v>
      </c>
    </row>
    <row r="8" spans="1:11" ht="14.4" customHeight="1" x14ac:dyDescent="0.3">
      <c r="A8" s="546" t="s">
        <v>548</v>
      </c>
      <c r="B8" s="547" t="s">
        <v>610</v>
      </c>
      <c r="C8" s="550" t="s">
        <v>553</v>
      </c>
      <c r="D8" s="588" t="s">
        <v>1015</v>
      </c>
      <c r="E8" s="550" t="s">
        <v>1018</v>
      </c>
      <c r="F8" s="588" t="s">
        <v>1019</v>
      </c>
      <c r="G8" s="550" t="s">
        <v>717</v>
      </c>
      <c r="H8" s="550" t="s">
        <v>718</v>
      </c>
      <c r="I8" s="567">
        <v>0.31</v>
      </c>
      <c r="J8" s="567">
        <v>6000</v>
      </c>
      <c r="K8" s="568">
        <v>1870.18</v>
      </c>
    </row>
    <row r="9" spans="1:11" ht="14.4" customHeight="1" x14ac:dyDescent="0.3">
      <c r="A9" s="546" t="s">
        <v>548</v>
      </c>
      <c r="B9" s="547" t="s">
        <v>610</v>
      </c>
      <c r="C9" s="550" t="s">
        <v>553</v>
      </c>
      <c r="D9" s="588" t="s">
        <v>1015</v>
      </c>
      <c r="E9" s="550" t="s">
        <v>1018</v>
      </c>
      <c r="F9" s="588" t="s">
        <v>1019</v>
      </c>
      <c r="G9" s="550" t="s">
        <v>719</v>
      </c>
      <c r="H9" s="550" t="s">
        <v>720</v>
      </c>
      <c r="I9" s="567">
        <v>0.31</v>
      </c>
      <c r="J9" s="567">
        <v>4000</v>
      </c>
      <c r="K9" s="568">
        <v>1243.3899999999999</v>
      </c>
    </row>
    <row r="10" spans="1:11" ht="14.4" customHeight="1" x14ac:dyDescent="0.3">
      <c r="A10" s="546" t="s">
        <v>548</v>
      </c>
      <c r="B10" s="547" t="s">
        <v>610</v>
      </c>
      <c r="C10" s="550" t="s">
        <v>553</v>
      </c>
      <c r="D10" s="588" t="s">
        <v>1015</v>
      </c>
      <c r="E10" s="550" t="s">
        <v>1018</v>
      </c>
      <c r="F10" s="588" t="s">
        <v>1019</v>
      </c>
      <c r="G10" s="550" t="s">
        <v>721</v>
      </c>
      <c r="H10" s="550" t="s">
        <v>722</v>
      </c>
      <c r="I10" s="567">
        <v>2.52</v>
      </c>
      <c r="J10" s="567">
        <v>50</v>
      </c>
      <c r="K10" s="568">
        <v>126</v>
      </c>
    </row>
    <row r="11" spans="1:11" ht="14.4" customHeight="1" x14ac:dyDescent="0.3">
      <c r="A11" s="546" t="s">
        <v>548</v>
      </c>
      <c r="B11" s="547" t="s">
        <v>610</v>
      </c>
      <c r="C11" s="550" t="s">
        <v>553</v>
      </c>
      <c r="D11" s="588" t="s">
        <v>1015</v>
      </c>
      <c r="E11" s="550" t="s">
        <v>1018</v>
      </c>
      <c r="F11" s="588" t="s">
        <v>1019</v>
      </c>
      <c r="G11" s="550" t="s">
        <v>723</v>
      </c>
      <c r="H11" s="550" t="s">
        <v>724</v>
      </c>
      <c r="I11" s="567">
        <v>0.52</v>
      </c>
      <c r="J11" s="567">
        <v>4000</v>
      </c>
      <c r="K11" s="568">
        <v>2081.1999999999998</v>
      </c>
    </row>
    <row r="12" spans="1:11" ht="14.4" customHeight="1" x14ac:dyDescent="0.3">
      <c r="A12" s="546" t="s">
        <v>548</v>
      </c>
      <c r="B12" s="547" t="s">
        <v>610</v>
      </c>
      <c r="C12" s="550" t="s">
        <v>553</v>
      </c>
      <c r="D12" s="588" t="s">
        <v>1015</v>
      </c>
      <c r="E12" s="550" t="s">
        <v>1018</v>
      </c>
      <c r="F12" s="588" t="s">
        <v>1019</v>
      </c>
      <c r="G12" s="550" t="s">
        <v>725</v>
      </c>
      <c r="H12" s="550" t="s">
        <v>726</v>
      </c>
      <c r="I12" s="567">
        <v>111.23</v>
      </c>
      <c r="J12" s="567">
        <v>2</v>
      </c>
      <c r="K12" s="568">
        <v>222.46</v>
      </c>
    </row>
    <row r="13" spans="1:11" ht="14.4" customHeight="1" x14ac:dyDescent="0.3">
      <c r="A13" s="546" t="s">
        <v>548</v>
      </c>
      <c r="B13" s="547" t="s">
        <v>610</v>
      </c>
      <c r="C13" s="550" t="s">
        <v>553</v>
      </c>
      <c r="D13" s="588" t="s">
        <v>1015</v>
      </c>
      <c r="E13" s="550" t="s">
        <v>1020</v>
      </c>
      <c r="F13" s="588" t="s">
        <v>1021</v>
      </c>
      <c r="G13" s="550" t="s">
        <v>727</v>
      </c>
      <c r="H13" s="550" t="s">
        <v>728</v>
      </c>
      <c r="I13" s="567">
        <v>0.26</v>
      </c>
      <c r="J13" s="567">
        <v>10000</v>
      </c>
      <c r="K13" s="568">
        <v>2602.1999999999998</v>
      </c>
    </row>
    <row r="14" spans="1:11" ht="14.4" customHeight="1" x14ac:dyDescent="0.3">
      <c r="A14" s="546" t="s">
        <v>548</v>
      </c>
      <c r="B14" s="547" t="s">
        <v>610</v>
      </c>
      <c r="C14" s="550" t="s">
        <v>553</v>
      </c>
      <c r="D14" s="588" t="s">
        <v>1015</v>
      </c>
      <c r="E14" s="550" t="s">
        <v>1020</v>
      </c>
      <c r="F14" s="588" t="s">
        <v>1021</v>
      </c>
      <c r="G14" s="550" t="s">
        <v>729</v>
      </c>
      <c r="H14" s="550" t="s">
        <v>730</v>
      </c>
      <c r="I14" s="567">
        <v>0.33</v>
      </c>
      <c r="J14" s="567">
        <v>4000</v>
      </c>
      <c r="K14" s="568">
        <v>1306.8</v>
      </c>
    </row>
    <row r="15" spans="1:11" ht="14.4" customHeight="1" x14ac:dyDescent="0.3">
      <c r="A15" s="546" t="s">
        <v>548</v>
      </c>
      <c r="B15" s="547" t="s">
        <v>610</v>
      </c>
      <c r="C15" s="550" t="s">
        <v>553</v>
      </c>
      <c r="D15" s="588" t="s">
        <v>1015</v>
      </c>
      <c r="E15" s="550" t="s">
        <v>1020</v>
      </c>
      <c r="F15" s="588" t="s">
        <v>1021</v>
      </c>
      <c r="G15" s="550" t="s">
        <v>731</v>
      </c>
      <c r="H15" s="550" t="s">
        <v>732</v>
      </c>
      <c r="I15" s="567">
        <v>6.45</v>
      </c>
      <c r="J15" s="567">
        <v>100</v>
      </c>
      <c r="K15" s="568">
        <v>644.92999999999995</v>
      </c>
    </row>
    <row r="16" spans="1:11" ht="14.4" customHeight="1" x14ac:dyDescent="0.3">
      <c r="A16" s="546" t="s">
        <v>548</v>
      </c>
      <c r="B16" s="547" t="s">
        <v>610</v>
      </c>
      <c r="C16" s="550" t="s">
        <v>553</v>
      </c>
      <c r="D16" s="588" t="s">
        <v>1015</v>
      </c>
      <c r="E16" s="550" t="s">
        <v>1022</v>
      </c>
      <c r="F16" s="588" t="s">
        <v>1023</v>
      </c>
      <c r="G16" s="550" t="s">
        <v>733</v>
      </c>
      <c r="H16" s="550" t="s">
        <v>734</v>
      </c>
      <c r="I16" s="567">
        <v>0.69</v>
      </c>
      <c r="J16" s="567">
        <v>4000</v>
      </c>
      <c r="K16" s="568">
        <v>2760</v>
      </c>
    </row>
    <row r="17" spans="1:11" ht="14.4" customHeight="1" x14ac:dyDescent="0.3">
      <c r="A17" s="546" t="s">
        <v>548</v>
      </c>
      <c r="B17" s="547" t="s">
        <v>610</v>
      </c>
      <c r="C17" s="550" t="s">
        <v>553</v>
      </c>
      <c r="D17" s="588" t="s">
        <v>1015</v>
      </c>
      <c r="E17" s="550" t="s">
        <v>1022</v>
      </c>
      <c r="F17" s="588" t="s">
        <v>1023</v>
      </c>
      <c r="G17" s="550" t="s">
        <v>735</v>
      </c>
      <c r="H17" s="550" t="s">
        <v>736</v>
      </c>
      <c r="I17" s="567">
        <v>0.69</v>
      </c>
      <c r="J17" s="567">
        <v>2000</v>
      </c>
      <c r="K17" s="568">
        <v>1380</v>
      </c>
    </row>
    <row r="18" spans="1:11" ht="14.4" customHeight="1" x14ac:dyDescent="0.3">
      <c r="A18" s="546" t="s">
        <v>548</v>
      </c>
      <c r="B18" s="547" t="s">
        <v>610</v>
      </c>
      <c r="C18" s="550" t="s">
        <v>553</v>
      </c>
      <c r="D18" s="588" t="s">
        <v>1015</v>
      </c>
      <c r="E18" s="550" t="s">
        <v>1024</v>
      </c>
      <c r="F18" s="588" t="s">
        <v>1025</v>
      </c>
      <c r="G18" s="550" t="s">
        <v>737</v>
      </c>
      <c r="H18" s="550" t="s">
        <v>738</v>
      </c>
      <c r="I18" s="567">
        <v>51425</v>
      </c>
      <c r="J18" s="567">
        <v>1</v>
      </c>
      <c r="K18" s="568">
        <v>51425</v>
      </c>
    </row>
    <row r="19" spans="1:11" ht="14.4" customHeight="1" x14ac:dyDescent="0.3">
      <c r="A19" s="546" t="s">
        <v>548</v>
      </c>
      <c r="B19" s="547" t="s">
        <v>610</v>
      </c>
      <c r="C19" s="550" t="s">
        <v>553</v>
      </c>
      <c r="D19" s="588" t="s">
        <v>1015</v>
      </c>
      <c r="E19" s="550" t="s">
        <v>1024</v>
      </c>
      <c r="F19" s="588" t="s">
        <v>1025</v>
      </c>
      <c r="G19" s="550" t="s">
        <v>739</v>
      </c>
      <c r="H19" s="550" t="s">
        <v>740</v>
      </c>
      <c r="I19" s="567">
        <v>37824.6</v>
      </c>
      <c r="J19" s="567">
        <v>1</v>
      </c>
      <c r="K19" s="568">
        <v>37824.6</v>
      </c>
    </row>
    <row r="20" spans="1:11" ht="14.4" customHeight="1" x14ac:dyDescent="0.3">
      <c r="A20" s="546" t="s">
        <v>548</v>
      </c>
      <c r="B20" s="547" t="s">
        <v>610</v>
      </c>
      <c r="C20" s="550" t="s">
        <v>553</v>
      </c>
      <c r="D20" s="588" t="s">
        <v>1015</v>
      </c>
      <c r="E20" s="550" t="s">
        <v>1024</v>
      </c>
      <c r="F20" s="588" t="s">
        <v>1025</v>
      </c>
      <c r="G20" s="550" t="s">
        <v>741</v>
      </c>
      <c r="H20" s="550" t="s">
        <v>742</v>
      </c>
      <c r="I20" s="567">
        <v>9952.25</v>
      </c>
      <c r="J20" s="567">
        <v>4</v>
      </c>
      <c r="K20" s="568">
        <v>39809</v>
      </c>
    </row>
    <row r="21" spans="1:11" ht="14.4" customHeight="1" x14ac:dyDescent="0.3">
      <c r="A21" s="546" t="s">
        <v>548</v>
      </c>
      <c r="B21" s="547" t="s">
        <v>610</v>
      </c>
      <c r="C21" s="550" t="s">
        <v>553</v>
      </c>
      <c r="D21" s="588" t="s">
        <v>1015</v>
      </c>
      <c r="E21" s="550" t="s">
        <v>1024</v>
      </c>
      <c r="F21" s="588" t="s">
        <v>1025</v>
      </c>
      <c r="G21" s="550" t="s">
        <v>743</v>
      </c>
      <c r="H21" s="550" t="s">
        <v>744</v>
      </c>
      <c r="I21" s="567">
        <v>1161.5999999999999</v>
      </c>
      <c r="J21" s="567">
        <v>10</v>
      </c>
      <c r="K21" s="568">
        <v>11616</v>
      </c>
    </row>
    <row r="22" spans="1:11" ht="14.4" customHeight="1" x14ac:dyDescent="0.3">
      <c r="A22" s="546" t="s">
        <v>548</v>
      </c>
      <c r="B22" s="547" t="s">
        <v>610</v>
      </c>
      <c r="C22" s="550" t="s">
        <v>553</v>
      </c>
      <c r="D22" s="588" t="s">
        <v>1015</v>
      </c>
      <c r="E22" s="550" t="s">
        <v>1024</v>
      </c>
      <c r="F22" s="588" t="s">
        <v>1025</v>
      </c>
      <c r="G22" s="550" t="s">
        <v>745</v>
      </c>
      <c r="H22" s="550" t="s">
        <v>746</v>
      </c>
      <c r="I22" s="567">
        <v>6877.92</v>
      </c>
      <c r="J22" s="567">
        <v>2</v>
      </c>
      <c r="K22" s="568">
        <v>13755.84</v>
      </c>
    </row>
    <row r="23" spans="1:11" ht="14.4" customHeight="1" x14ac:dyDescent="0.3">
      <c r="A23" s="546" t="s">
        <v>548</v>
      </c>
      <c r="B23" s="547" t="s">
        <v>610</v>
      </c>
      <c r="C23" s="550" t="s">
        <v>553</v>
      </c>
      <c r="D23" s="588" t="s">
        <v>1015</v>
      </c>
      <c r="E23" s="550" t="s">
        <v>1024</v>
      </c>
      <c r="F23" s="588" t="s">
        <v>1025</v>
      </c>
      <c r="G23" s="550" t="s">
        <v>747</v>
      </c>
      <c r="H23" s="550" t="s">
        <v>748</v>
      </c>
      <c r="I23" s="567">
        <v>1896.31</v>
      </c>
      <c r="J23" s="567">
        <v>10</v>
      </c>
      <c r="K23" s="568">
        <v>18963.12</v>
      </c>
    </row>
    <row r="24" spans="1:11" ht="14.4" customHeight="1" x14ac:dyDescent="0.3">
      <c r="A24" s="546" t="s">
        <v>548</v>
      </c>
      <c r="B24" s="547" t="s">
        <v>610</v>
      </c>
      <c r="C24" s="550" t="s">
        <v>553</v>
      </c>
      <c r="D24" s="588" t="s">
        <v>1015</v>
      </c>
      <c r="E24" s="550" t="s">
        <v>1024</v>
      </c>
      <c r="F24" s="588" t="s">
        <v>1025</v>
      </c>
      <c r="G24" s="550" t="s">
        <v>749</v>
      </c>
      <c r="H24" s="550" t="s">
        <v>750</v>
      </c>
      <c r="I24" s="567">
        <v>3462.54</v>
      </c>
      <c r="J24" s="567">
        <v>20</v>
      </c>
      <c r="K24" s="568">
        <v>69250.720000000001</v>
      </c>
    </row>
    <row r="25" spans="1:11" ht="14.4" customHeight="1" x14ac:dyDescent="0.3">
      <c r="A25" s="546" t="s">
        <v>548</v>
      </c>
      <c r="B25" s="547" t="s">
        <v>610</v>
      </c>
      <c r="C25" s="550" t="s">
        <v>553</v>
      </c>
      <c r="D25" s="588" t="s">
        <v>1015</v>
      </c>
      <c r="E25" s="550" t="s">
        <v>1024</v>
      </c>
      <c r="F25" s="588" t="s">
        <v>1025</v>
      </c>
      <c r="G25" s="550" t="s">
        <v>751</v>
      </c>
      <c r="H25" s="550" t="s">
        <v>752</v>
      </c>
      <c r="I25" s="567">
        <v>321.86</v>
      </c>
      <c r="J25" s="567">
        <v>10</v>
      </c>
      <c r="K25" s="568">
        <v>3218.6</v>
      </c>
    </row>
    <row r="26" spans="1:11" ht="14.4" customHeight="1" x14ac:dyDescent="0.3">
      <c r="A26" s="546" t="s">
        <v>548</v>
      </c>
      <c r="B26" s="547" t="s">
        <v>610</v>
      </c>
      <c r="C26" s="550" t="s">
        <v>553</v>
      </c>
      <c r="D26" s="588" t="s">
        <v>1015</v>
      </c>
      <c r="E26" s="550" t="s">
        <v>1024</v>
      </c>
      <c r="F26" s="588" t="s">
        <v>1025</v>
      </c>
      <c r="G26" s="550" t="s">
        <v>753</v>
      </c>
      <c r="H26" s="550" t="s">
        <v>754</v>
      </c>
      <c r="I26" s="567">
        <v>319.44</v>
      </c>
      <c r="J26" s="567">
        <v>2</v>
      </c>
      <c r="K26" s="568">
        <v>638.88</v>
      </c>
    </row>
    <row r="27" spans="1:11" ht="14.4" customHeight="1" x14ac:dyDescent="0.3">
      <c r="A27" s="546" t="s">
        <v>548</v>
      </c>
      <c r="B27" s="547" t="s">
        <v>610</v>
      </c>
      <c r="C27" s="550" t="s">
        <v>553</v>
      </c>
      <c r="D27" s="588" t="s">
        <v>1015</v>
      </c>
      <c r="E27" s="550" t="s">
        <v>1024</v>
      </c>
      <c r="F27" s="588" t="s">
        <v>1025</v>
      </c>
      <c r="G27" s="550" t="s">
        <v>755</v>
      </c>
      <c r="H27" s="550" t="s">
        <v>756</v>
      </c>
      <c r="I27" s="567">
        <v>3913.14</v>
      </c>
      <c r="J27" s="567">
        <v>1</v>
      </c>
      <c r="K27" s="568">
        <v>3913.14</v>
      </c>
    </row>
    <row r="28" spans="1:11" ht="14.4" customHeight="1" x14ac:dyDescent="0.3">
      <c r="A28" s="546" t="s">
        <v>548</v>
      </c>
      <c r="B28" s="547" t="s">
        <v>610</v>
      </c>
      <c r="C28" s="550" t="s">
        <v>553</v>
      </c>
      <c r="D28" s="588" t="s">
        <v>1015</v>
      </c>
      <c r="E28" s="550" t="s">
        <v>1024</v>
      </c>
      <c r="F28" s="588" t="s">
        <v>1025</v>
      </c>
      <c r="G28" s="550" t="s">
        <v>757</v>
      </c>
      <c r="H28" s="550" t="s">
        <v>758</v>
      </c>
      <c r="I28" s="567">
        <v>320.64999999999998</v>
      </c>
      <c r="J28" s="567">
        <v>2</v>
      </c>
      <c r="K28" s="568">
        <v>641.29999999999995</v>
      </c>
    </row>
    <row r="29" spans="1:11" ht="14.4" customHeight="1" x14ac:dyDescent="0.3">
      <c r="A29" s="546" t="s">
        <v>548</v>
      </c>
      <c r="B29" s="547" t="s">
        <v>610</v>
      </c>
      <c r="C29" s="550" t="s">
        <v>553</v>
      </c>
      <c r="D29" s="588" t="s">
        <v>1015</v>
      </c>
      <c r="E29" s="550" t="s">
        <v>1024</v>
      </c>
      <c r="F29" s="588" t="s">
        <v>1025</v>
      </c>
      <c r="G29" s="550" t="s">
        <v>759</v>
      </c>
      <c r="H29" s="550" t="s">
        <v>760</v>
      </c>
      <c r="I29" s="567">
        <v>1400.38</v>
      </c>
      <c r="J29" s="567">
        <v>2</v>
      </c>
      <c r="K29" s="568">
        <v>2800.76</v>
      </c>
    </row>
    <row r="30" spans="1:11" ht="14.4" customHeight="1" x14ac:dyDescent="0.3">
      <c r="A30" s="546" t="s">
        <v>548</v>
      </c>
      <c r="B30" s="547" t="s">
        <v>610</v>
      </c>
      <c r="C30" s="550" t="s">
        <v>553</v>
      </c>
      <c r="D30" s="588" t="s">
        <v>1015</v>
      </c>
      <c r="E30" s="550" t="s">
        <v>1024</v>
      </c>
      <c r="F30" s="588" t="s">
        <v>1025</v>
      </c>
      <c r="G30" s="550" t="s">
        <v>761</v>
      </c>
      <c r="H30" s="550" t="s">
        <v>762</v>
      </c>
      <c r="I30" s="567">
        <v>2427.91</v>
      </c>
      <c r="J30" s="567">
        <v>2</v>
      </c>
      <c r="K30" s="568">
        <v>4855.82</v>
      </c>
    </row>
    <row r="31" spans="1:11" ht="14.4" customHeight="1" x14ac:dyDescent="0.3">
      <c r="A31" s="546" t="s">
        <v>548</v>
      </c>
      <c r="B31" s="547" t="s">
        <v>610</v>
      </c>
      <c r="C31" s="550" t="s">
        <v>553</v>
      </c>
      <c r="D31" s="588" t="s">
        <v>1015</v>
      </c>
      <c r="E31" s="550" t="s">
        <v>1024</v>
      </c>
      <c r="F31" s="588" t="s">
        <v>1025</v>
      </c>
      <c r="G31" s="550" t="s">
        <v>763</v>
      </c>
      <c r="H31" s="550" t="s">
        <v>764</v>
      </c>
      <c r="I31" s="567">
        <v>329.12</v>
      </c>
      <c r="J31" s="567">
        <v>10</v>
      </c>
      <c r="K31" s="568">
        <v>3291.22</v>
      </c>
    </row>
    <row r="32" spans="1:11" ht="14.4" customHeight="1" x14ac:dyDescent="0.3">
      <c r="A32" s="546" t="s">
        <v>548</v>
      </c>
      <c r="B32" s="547" t="s">
        <v>610</v>
      </c>
      <c r="C32" s="550" t="s">
        <v>553</v>
      </c>
      <c r="D32" s="588" t="s">
        <v>1015</v>
      </c>
      <c r="E32" s="550" t="s">
        <v>1024</v>
      </c>
      <c r="F32" s="588" t="s">
        <v>1025</v>
      </c>
      <c r="G32" s="550" t="s">
        <v>765</v>
      </c>
      <c r="H32" s="550" t="s">
        <v>766</v>
      </c>
      <c r="I32" s="567">
        <v>3088.16</v>
      </c>
      <c r="J32" s="567">
        <v>2</v>
      </c>
      <c r="K32" s="568">
        <v>6176.32</v>
      </c>
    </row>
    <row r="33" spans="1:11" ht="14.4" customHeight="1" x14ac:dyDescent="0.3">
      <c r="A33" s="546" t="s">
        <v>548</v>
      </c>
      <c r="B33" s="547" t="s">
        <v>610</v>
      </c>
      <c r="C33" s="550" t="s">
        <v>553</v>
      </c>
      <c r="D33" s="588" t="s">
        <v>1015</v>
      </c>
      <c r="E33" s="550" t="s">
        <v>1024</v>
      </c>
      <c r="F33" s="588" t="s">
        <v>1025</v>
      </c>
      <c r="G33" s="550" t="s">
        <v>767</v>
      </c>
      <c r="H33" s="550" t="s">
        <v>768</v>
      </c>
      <c r="I33" s="567">
        <v>1374.19</v>
      </c>
      <c r="J33" s="567">
        <v>2</v>
      </c>
      <c r="K33" s="568">
        <v>2748.39</v>
      </c>
    </row>
    <row r="34" spans="1:11" ht="14.4" customHeight="1" x14ac:dyDescent="0.3">
      <c r="A34" s="546" t="s">
        <v>548</v>
      </c>
      <c r="B34" s="547" t="s">
        <v>610</v>
      </c>
      <c r="C34" s="550" t="s">
        <v>553</v>
      </c>
      <c r="D34" s="588" t="s">
        <v>1015</v>
      </c>
      <c r="E34" s="550" t="s">
        <v>1024</v>
      </c>
      <c r="F34" s="588" t="s">
        <v>1025</v>
      </c>
      <c r="G34" s="550" t="s">
        <v>769</v>
      </c>
      <c r="H34" s="550" t="s">
        <v>770</v>
      </c>
      <c r="I34" s="567">
        <v>1437.5</v>
      </c>
      <c r="J34" s="567">
        <v>4</v>
      </c>
      <c r="K34" s="568">
        <v>5750</v>
      </c>
    </row>
    <row r="35" spans="1:11" ht="14.4" customHeight="1" x14ac:dyDescent="0.3">
      <c r="A35" s="546" t="s">
        <v>548</v>
      </c>
      <c r="B35" s="547" t="s">
        <v>610</v>
      </c>
      <c r="C35" s="550" t="s">
        <v>553</v>
      </c>
      <c r="D35" s="588" t="s">
        <v>1015</v>
      </c>
      <c r="E35" s="550" t="s">
        <v>1024</v>
      </c>
      <c r="F35" s="588" t="s">
        <v>1025</v>
      </c>
      <c r="G35" s="550" t="s">
        <v>771</v>
      </c>
      <c r="H35" s="550" t="s">
        <v>772</v>
      </c>
      <c r="I35" s="567">
        <v>1582.35</v>
      </c>
      <c r="J35" s="567">
        <v>2</v>
      </c>
      <c r="K35" s="568">
        <v>3164.7</v>
      </c>
    </row>
    <row r="36" spans="1:11" ht="14.4" customHeight="1" x14ac:dyDescent="0.3">
      <c r="A36" s="546" t="s">
        <v>548</v>
      </c>
      <c r="B36" s="547" t="s">
        <v>610</v>
      </c>
      <c r="C36" s="550" t="s">
        <v>553</v>
      </c>
      <c r="D36" s="588" t="s">
        <v>1015</v>
      </c>
      <c r="E36" s="550" t="s">
        <v>1024</v>
      </c>
      <c r="F36" s="588" t="s">
        <v>1025</v>
      </c>
      <c r="G36" s="550" t="s">
        <v>773</v>
      </c>
      <c r="H36" s="550" t="s">
        <v>774</v>
      </c>
      <c r="I36" s="567">
        <v>379.5</v>
      </c>
      <c r="J36" s="567">
        <v>4</v>
      </c>
      <c r="K36" s="568">
        <v>1518</v>
      </c>
    </row>
    <row r="37" spans="1:11" ht="14.4" customHeight="1" x14ac:dyDescent="0.3">
      <c r="A37" s="546" t="s">
        <v>548</v>
      </c>
      <c r="B37" s="547" t="s">
        <v>610</v>
      </c>
      <c r="C37" s="550" t="s">
        <v>553</v>
      </c>
      <c r="D37" s="588" t="s">
        <v>1015</v>
      </c>
      <c r="E37" s="550" t="s">
        <v>1024</v>
      </c>
      <c r="F37" s="588" t="s">
        <v>1025</v>
      </c>
      <c r="G37" s="550" t="s">
        <v>775</v>
      </c>
      <c r="H37" s="550" t="s">
        <v>776</v>
      </c>
      <c r="I37" s="567">
        <v>1576.54</v>
      </c>
      <c r="J37" s="567">
        <v>1</v>
      </c>
      <c r="K37" s="568">
        <v>1576.54</v>
      </c>
    </row>
    <row r="38" spans="1:11" ht="14.4" customHeight="1" x14ac:dyDescent="0.3">
      <c r="A38" s="546" t="s">
        <v>548</v>
      </c>
      <c r="B38" s="547" t="s">
        <v>610</v>
      </c>
      <c r="C38" s="550" t="s">
        <v>553</v>
      </c>
      <c r="D38" s="588" t="s">
        <v>1015</v>
      </c>
      <c r="E38" s="550" t="s">
        <v>1024</v>
      </c>
      <c r="F38" s="588" t="s">
        <v>1025</v>
      </c>
      <c r="G38" s="550" t="s">
        <v>777</v>
      </c>
      <c r="H38" s="550" t="s">
        <v>778</v>
      </c>
      <c r="I38" s="567">
        <v>1617.92</v>
      </c>
      <c r="J38" s="567">
        <v>2</v>
      </c>
      <c r="K38" s="568">
        <v>3235.85</v>
      </c>
    </row>
    <row r="39" spans="1:11" ht="14.4" customHeight="1" x14ac:dyDescent="0.3">
      <c r="A39" s="546" t="s">
        <v>548</v>
      </c>
      <c r="B39" s="547" t="s">
        <v>610</v>
      </c>
      <c r="C39" s="550" t="s">
        <v>553</v>
      </c>
      <c r="D39" s="588" t="s">
        <v>1015</v>
      </c>
      <c r="E39" s="550" t="s">
        <v>1024</v>
      </c>
      <c r="F39" s="588" t="s">
        <v>1025</v>
      </c>
      <c r="G39" s="550" t="s">
        <v>779</v>
      </c>
      <c r="H39" s="550" t="s">
        <v>780</v>
      </c>
      <c r="I39" s="567">
        <v>2288.96</v>
      </c>
      <c r="J39" s="567">
        <v>2</v>
      </c>
      <c r="K39" s="568">
        <v>4577.92</v>
      </c>
    </row>
    <row r="40" spans="1:11" ht="14.4" customHeight="1" x14ac:dyDescent="0.3">
      <c r="A40" s="546" t="s">
        <v>548</v>
      </c>
      <c r="B40" s="547" t="s">
        <v>610</v>
      </c>
      <c r="C40" s="550" t="s">
        <v>553</v>
      </c>
      <c r="D40" s="588" t="s">
        <v>1015</v>
      </c>
      <c r="E40" s="550" t="s">
        <v>1024</v>
      </c>
      <c r="F40" s="588" t="s">
        <v>1025</v>
      </c>
      <c r="G40" s="550" t="s">
        <v>781</v>
      </c>
      <c r="H40" s="550" t="s">
        <v>782</v>
      </c>
      <c r="I40" s="567">
        <v>472.75</v>
      </c>
      <c r="J40" s="567">
        <v>4</v>
      </c>
      <c r="K40" s="568">
        <v>1890.99</v>
      </c>
    </row>
    <row r="41" spans="1:11" ht="14.4" customHeight="1" x14ac:dyDescent="0.3">
      <c r="A41" s="546" t="s">
        <v>548</v>
      </c>
      <c r="B41" s="547" t="s">
        <v>610</v>
      </c>
      <c r="C41" s="550" t="s">
        <v>553</v>
      </c>
      <c r="D41" s="588" t="s">
        <v>1015</v>
      </c>
      <c r="E41" s="550" t="s">
        <v>1024</v>
      </c>
      <c r="F41" s="588" t="s">
        <v>1025</v>
      </c>
      <c r="G41" s="550" t="s">
        <v>783</v>
      </c>
      <c r="H41" s="550" t="s">
        <v>784</v>
      </c>
      <c r="I41" s="567">
        <v>3579.61</v>
      </c>
      <c r="J41" s="567">
        <v>4</v>
      </c>
      <c r="K41" s="568">
        <v>14318.42</v>
      </c>
    </row>
    <row r="42" spans="1:11" ht="14.4" customHeight="1" x14ac:dyDescent="0.3">
      <c r="A42" s="546" t="s">
        <v>548</v>
      </c>
      <c r="B42" s="547" t="s">
        <v>610</v>
      </c>
      <c r="C42" s="550" t="s">
        <v>553</v>
      </c>
      <c r="D42" s="588" t="s">
        <v>1015</v>
      </c>
      <c r="E42" s="550" t="s">
        <v>1024</v>
      </c>
      <c r="F42" s="588" t="s">
        <v>1025</v>
      </c>
      <c r="G42" s="550" t="s">
        <v>785</v>
      </c>
      <c r="H42" s="550" t="s">
        <v>786</v>
      </c>
      <c r="I42" s="567">
        <v>414</v>
      </c>
      <c r="J42" s="567">
        <v>4</v>
      </c>
      <c r="K42" s="568">
        <v>1656</v>
      </c>
    </row>
    <row r="43" spans="1:11" ht="14.4" customHeight="1" x14ac:dyDescent="0.3">
      <c r="A43" s="546" t="s">
        <v>548</v>
      </c>
      <c r="B43" s="547" t="s">
        <v>610</v>
      </c>
      <c r="C43" s="550" t="s">
        <v>553</v>
      </c>
      <c r="D43" s="588" t="s">
        <v>1015</v>
      </c>
      <c r="E43" s="550" t="s">
        <v>1024</v>
      </c>
      <c r="F43" s="588" t="s">
        <v>1025</v>
      </c>
      <c r="G43" s="550" t="s">
        <v>787</v>
      </c>
      <c r="H43" s="550" t="s">
        <v>788</v>
      </c>
      <c r="I43" s="567">
        <v>82026.28</v>
      </c>
      <c r="J43" s="567">
        <v>2</v>
      </c>
      <c r="K43" s="568">
        <v>164052.56</v>
      </c>
    </row>
    <row r="44" spans="1:11" ht="14.4" customHeight="1" x14ac:dyDescent="0.3">
      <c r="A44" s="546" t="s">
        <v>548</v>
      </c>
      <c r="B44" s="547" t="s">
        <v>610</v>
      </c>
      <c r="C44" s="550" t="s">
        <v>553</v>
      </c>
      <c r="D44" s="588" t="s">
        <v>1015</v>
      </c>
      <c r="E44" s="550" t="s">
        <v>1024</v>
      </c>
      <c r="F44" s="588" t="s">
        <v>1025</v>
      </c>
      <c r="G44" s="550" t="s">
        <v>789</v>
      </c>
      <c r="H44" s="550" t="s">
        <v>790</v>
      </c>
      <c r="I44" s="567">
        <v>1181.8599999999999</v>
      </c>
      <c r="J44" s="567">
        <v>21</v>
      </c>
      <c r="K44" s="568">
        <v>24818.959999999999</v>
      </c>
    </row>
    <row r="45" spans="1:11" ht="14.4" customHeight="1" x14ac:dyDescent="0.3">
      <c r="A45" s="546" t="s">
        <v>548</v>
      </c>
      <c r="B45" s="547" t="s">
        <v>610</v>
      </c>
      <c r="C45" s="550" t="s">
        <v>553</v>
      </c>
      <c r="D45" s="588" t="s">
        <v>1015</v>
      </c>
      <c r="E45" s="550" t="s">
        <v>1024</v>
      </c>
      <c r="F45" s="588" t="s">
        <v>1025</v>
      </c>
      <c r="G45" s="550" t="s">
        <v>791</v>
      </c>
      <c r="H45" s="550" t="s">
        <v>792</v>
      </c>
      <c r="I45" s="567">
        <v>2288.96</v>
      </c>
      <c r="J45" s="567">
        <v>2</v>
      </c>
      <c r="K45" s="568">
        <v>4577.92</v>
      </c>
    </row>
    <row r="46" spans="1:11" ht="14.4" customHeight="1" x14ac:dyDescent="0.3">
      <c r="A46" s="546" t="s">
        <v>548</v>
      </c>
      <c r="B46" s="547" t="s">
        <v>610</v>
      </c>
      <c r="C46" s="550" t="s">
        <v>553</v>
      </c>
      <c r="D46" s="588" t="s">
        <v>1015</v>
      </c>
      <c r="E46" s="550" t="s">
        <v>1024</v>
      </c>
      <c r="F46" s="588" t="s">
        <v>1025</v>
      </c>
      <c r="G46" s="550" t="s">
        <v>793</v>
      </c>
      <c r="H46" s="550" t="s">
        <v>794</v>
      </c>
      <c r="I46" s="567">
        <v>2520</v>
      </c>
      <c r="J46" s="567">
        <v>2</v>
      </c>
      <c r="K46" s="568">
        <v>5040</v>
      </c>
    </row>
    <row r="47" spans="1:11" ht="14.4" customHeight="1" x14ac:dyDescent="0.3">
      <c r="A47" s="546" t="s">
        <v>548</v>
      </c>
      <c r="B47" s="547" t="s">
        <v>610</v>
      </c>
      <c r="C47" s="550" t="s">
        <v>553</v>
      </c>
      <c r="D47" s="588" t="s">
        <v>1015</v>
      </c>
      <c r="E47" s="550" t="s">
        <v>1024</v>
      </c>
      <c r="F47" s="588" t="s">
        <v>1025</v>
      </c>
      <c r="G47" s="550" t="s">
        <v>795</v>
      </c>
      <c r="H47" s="550" t="s">
        <v>796</v>
      </c>
      <c r="I47" s="567">
        <v>1202.44</v>
      </c>
      <c r="J47" s="567">
        <v>21</v>
      </c>
      <c r="K47" s="568">
        <v>25251.24</v>
      </c>
    </row>
    <row r="48" spans="1:11" ht="14.4" customHeight="1" x14ac:dyDescent="0.3">
      <c r="A48" s="546" t="s">
        <v>548</v>
      </c>
      <c r="B48" s="547" t="s">
        <v>610</v>
      </c>
      <c r="C48" s="550" t="s">
        <v>553</v>
      </c>
      <c r="D48" s="588" t="s">
        <v>1015</v>
      </c>
      <c r="E48" s="550" t="s">
        <v>1024</v>
      </c>
      <c r="F48" s="588" t="s">
        <v>1025</v>
      </c>
      <c r="G48" s="550" t="s">
        <v>797</v>
      </c>
      <c r="H48" s="550" t="s">
        <v>798</v>
      </c>
      <c r="I48" s="567">
        <v>1391.5</v>
      </c>
      <c r="J48" s="567">
        <v>2</v>
      </c>
      <c r="K48" s="568">
        <v>2783</v>
      </c>
    </row>
    <row r="49" spans="1:11" ht="14.4" customHeight="1" x14ac:dyDescent="0.3">
      <c r="A49" s="546" t="s">
        <v>548</v>
      </c>
      <c r="B49" s="547" t="s">
        <v>610</v>
      </c>
      <c r="C49" s="550" t="s">
        <v>553</v>
      </c>
      <c r="D49" s="588" t="s">
        <v>1015</v>
      </c>
      <c r="E49" s="550" t="s">
        <v>1024</v>
      </c>
      <c r="F49" s="588" t="s">
        <v>1025</v>
      </c>
      <c r="G49" s="550" t="s">
        <v>799</v>
      </c>
      <c r="H49" s="550" t="s">
        <v>800</v>
      </c>
      <c r="I49" s="567">
        <v>1391.5</v>
      </c>
      <c r="J49" s="567">
        <v>2</v>
      </c>
      <c r="K49" s="568">
        <v>2783</v>
      </c>
    </row>
    <row r="50" spans="1:11" ht="14.4" customHeight="1" x14ac:dyDescent="0.3">
      <c r="A50" s="546" t="s">
        <v>548</v>
      </c>
      <c r="B50" s="547" t="s">
        <v>610</v>
      </c>
      <c r="C50" s="550" t="s">
        <v>553</v>
      </c>
      <c r="D50" s="588" t="s">
        <v>1015</v>
      </c>
      <c r="E50" s="550" t="s">
        <v>1024</v>
      </c>
      <c r="F50" s="588" t="s">
        <v>1025</v>
      </c>
      <c r="G50" s="550" t="s">
        <v>801</v>
      </c>
      <c r="H50" s="550" t="s">
        <v>802</v>
      </c>
      <c r="I50" s="567">
        <v>1083.48</v>
      </c>
      <c r="J50" s="567">
        <v>2</v>
      </c>
      <c r="K50" s="568">
        <v>2166.96</v>
      </c>
    </row>
    <row r="51" spans="1:11" ht="14.4" customHeight="1" x14ac:dyDescent="0.3">
      <c r="A51" s="546" t="s">
        <v>548</v>
      </c>
      <c r="B51" s="547" t="s">
        <v>610</v>
      </c>
      <c r="C51" s="550" t="s">
        <v>553</v>
      </c>
      <c r="D51" s="588" t="s">
        <v>1015</v>
      </c>
      <c r="E51" s="550" t="s">
        <v>1024</v>
      </c>
      <c r="F51" s="588" t="s">
        <v>1025</v>
      </c>
      <c r="G51" s="550" t="s">
        <v>803</v>
      </c>
      <c r="H51" s="550" t="s">
        <v>804</v>
      </c>
      <c r="I51" s="567">
        <v>1876.8</v>
      </c>
      <c r="J51" s="567">
        <v>1</v>
      </c>
      <c r="K51" s="568">
        <v>1876.8</v>
      </c>
    </row>
    <row r="52" spans="1:11" ht="14.4" customHeight="1" x14ac:dyDescent="0.3">
      <c r="A52" s="546" t="s">
        <v>548</v>
      </c>
      <c r="B52" s="547" t="s">
        <v>610</v>
      </c>
      <c r="C52" s="550" t="s">
        <v>553</v>
      </c>
      <c r="D52" s="588" t="s">
        <v>1015</v>
      </c>
      <c r="E52" s="550" t="s">
        <v>1024</v>
      </c>
      <c r="F52" s="588" t="s">
        <v>1025</v>
      </c>
      <c r="G52" s="550" t="s">
        <v>805</v>
      </c>
      <c r="H52" s="550" t="s">
        <v>806</v>
      </c>
      <c r="I52" s="567">
        <v>5460.71</v>
      </c>
      <c r="J52" s="567">
        <v>3</v>
      </c>
      <c r="K52" s="568">
        <v>16382.12</v>
      </c>
    </row>
    <row r="53" spans="1:11" ht="14.4" customHeight="1" x14ac:dyDescent="0.3">
      <c r="A53" s="546" t="s">
        <v>548</v>
      </c>
      <c r="B53" s="547" t="s">
        <v>610</v>
      </c>
      <c r="C53" s="550" t="s">
        <v>553</v>
      </c>
      <c r="D53" s="588" t="s">
        <v>1015</v>
      </c>
      <c r="E53" s="550" t="s">
        <v>1024</v>
      </c>
      <c r="F53" s="588" t="s">
        <v>1025</v>
      </c>
      <c r="G53" s="550" t="s">
        <v>807</v>
      </c>
      <c r="H53" s="550" t="s">
        <v>808</v>
      </c>
      <c r="I53" s="567">
        <v>2480.5</v>
      </c>
      <c r="J53" s="567">
        <v>1</v>
      </c>
      <c r="K53" s="568">
        <v>2480.5</v>
      </c>
    </row>
    <row r="54" spans="1:11" ht="14.4" customHeight="1" x14ac:dyDescent="0.3">
      <c r="A54" s="546" t="s">
        <v>548</v>
      </c>
      <c r="B54" s="547" t="s">
        <v>610</v>
      </c>
      <c r="C54" s="550" t="s">
        <v>553</v>
      </c>
      <c r="D54" s="588" t="s">
        <v>1015</v>
      </c>
      <c r="E54" s="550" t="s">
        <v>1024</v>
      </c>
      <c r="F54" s="588" t="s">
        <v>1025</v>
      </c>
      <c r="G54" s="550" t="s">
        <v>809</v>
      </c>
      <c r="H54" s="550" t="s">
        <v>810</v>
      </c>
      <c r="I54" s="567">
        <v>1254.53</v>
      </c>
      <c r="J54" s="567">
        <v>4</v>
      </c>
      <c r="K54" s="568">
        <v>5018.1099999999997</v>
      </c>
    </row>
    <row r="55" spans="1:11" ht="14.4" customHeight="1" x14ac:dyDescent="0.3">
      <c r="A55" s="546" t="s">
        <v>548</v>
      </c>
      <c r="B55" s="547" t="s">
        <v>610</v>
      </c>
      <c r="C55" s="550" t="s">
        <v>553</v>
      </c>
      <c r="D55" s="588" t="s">
        <v>1015</v>
      </c>
      <c r="E55" s="550" t="s">
        <v>1024</v>
      </c>
      <c r="F55" s="588" t="s">
        <v>1025</v>
      </c>
      <c r="G55" s="550" t="s">
        <v>811</v>
      </c>
      <c r="H55" s="550" t="s">
        <v>812</v>
      </c>
      <c r="I55" s="567">
        <v>2035.5</v>
      </c>
      <c r="J55" s="567">
        <v>1</v>
      </c>
      <c r="K55" s="568">
        <v>2035.5</v>
      </c>
    </row>
    <row r="56" spans="1:11" ht="14.4" customHeight="1" x14ac:dyDescent="0.3">
      <c r="A56" s="546" t="s">
        <v>548</v>
      </c>
      <c r="B56" s="547" t="s">
        <v>610</v>
      </c>
      <c r="C56" s="550" t="s">
        <v>553</v>
      </c>
      <c r="D56" s="588" t="s">
        <v>1015</v>
      </c>
      <c r="E56" s="550" t="s">
        <v>1024</v>
      </c>
      <c r="F56" s="588" t="s">
        <v>1025</v>
      </c>
      <c r="G56" s="550" t="s">
        <v>813</v>
      </c>
      <c r="H56" s="550" t="s">
        <v>814</v>
      </c>
      <c r="I56" s="567">
        <v>1322.5</v>
      </c>
      <c r="J56" s="567">
        <v>2</v>
      </c>
      <c r="K56" s="568">
        <v>2645</v>
      </c>
    </row>
    <row r="57" spans="1:11" ht="14.4" customHeight="1" x14ac:dyDescent="0.3">
      <c r="A57" s="546" t="s">
        <v>548</v>
      </c>
      <c r="B57" s="547" t="s">
        <v>610</v>
      </c>
      <c r="C57" s="550" t="s">
        <v>553</v>
      </c>
      <c r="D57" s="588" t="s">
        <v>1015</v>
      </c>
      <c r="E57" s="550" t="s">
        <v>1024</v>
      </c>
      <c r="F57" s="588" t="s">
        <v>1025</v>
      </c>
      <c r="G57" s="550" t="s">
        <v>815</v>
      </c>
      <c r="H57" s="550" t="s">
        <v>816</v>
      </c>
      <c r="I57" s="567">
        <v>4882.45</v>
      </c>
      <c r="J57" s="567">
        <v>6</v>
      </c>
      <c r="K57" s="568">
        <v>29294.7</v>
      </c>
    </row>
    <row r="58" spans="1:11" ht="14.4" customHeight="1" x14ac:dyDescent="0.3">
      <c r="A58" s="546" t="s">
        <v>548</v>
      </c>
      <c r="B58" s="547" t="s">
        <v>610</v>
      </c>
      <c r="C58" s="550" t="s">
        <v>553</v>
      </c>
      <c r="D58" s="588" t="s">
        <v>1015</v>
      </c>
      <c r="E58" s="550" t="s">
        <v>1024</v>
      </c>
      <c r="F58" s="588" t="s">
        <v>1025</v>
      </c>
      <c r="G58" s="550" t="s">
        <v>817</v>
      </c>
      <c r="H58" s="550" t="s">
        <v>818</v>
      </c>
      <c r="I58" s="567">
        <v>6253.33</v>
      </c>
      <c r="J58" s="567">
        <v>3</v>
      </c>
      <c r="K58" s="568">
        <v>18759.989999999998</v>
      </c>
    </row>
    <row r="59" spans="1:11" ht="14.4" customHeight="1" x14ac:dyDescent="0.3">
      <c r="A59" s="546" t="s">
        <v>548</v>
      </c>
      <c r="B59" s="547" t="s">
        <v>610</v>
      </c>
      <c r="C59" s="550" t="s">
        <v>553</v>
      </c>
      <c r="D59" s="588" t="s">
        <v>1015</v>
      </c>
      <c r="E59" s="550" t="s">
        <v>1024</v>
      </c>
      <c r="F59" s="588" t="s">
        <v>1025</v>
      </c>
      <c r="G59" s="550" t="s">
        <v>819</v>
      </c>
      <c r="H59" s="550" t="s">
        <v>820</v>
      </c>
      <c r="I59" s="567">
        <v>8971.9850000000006</v>
      </c>
      <c r="J59" s="567">
        <v>4</v>
      </c>
      <c r="K59" s="568">
        <v>35887.93</v>
      </c>
    </row>
    <row r="60" spans="1:11" ht="14.4" customHeight="1" x14ac:dyDescent="0.3">
      <c r="A60" s="546" t="s">
        <v>548</v>
      </c>
      <c r="B60" s="547" t="s">
        <v>610</v>
      </c>
      <c r="C60" s="550" t="s">
        <v>553</v>
      </c>
      <c r="D60" s="588" t="s">
        <v>1015</v>
      </c>
      <c r="E60" s="550" t="s">
        <v>1024</v>
      </c>
      <c r="F60" s="588" t="s">
        <v>1025</v>
      </c>
      <c r="G60" s="550" t="s">
        <v>821</v>
      </c>
      <c r="H60" s="550" t="s">
        <v>822</v>
      </c>
      <c r="I60" s="567">
        <v>264.39999999999998</v>
      </c>
      <c r="J60" s="567">
        <v>20</v>
      </c>
      <c r="K60" s="568">
        <v>5288</v>
      </c>
    </row>
    <row r="61" spans="1:11" ht="14.4" customHeight="1" x14ac:dyDescent="0.3">
      <c r="A61" s="546" t="s">
        <v>548</v>
      </c>
      <c r="B61" s="547" t="s">
        <v>610</v>
      </c>
      <c r="C61" s="550" t="s">
        <v>553</v>
      </c>
      <c r="D61" s="588" t="s">
        <v>1015</v>
      </c>
      <c r="E61" s="550" t="s">
        <v>1024</v>
      </c>
      <c r="F61" s="588" t="s">
        <v>1025</v>
      </c>
      <c r="G61" s="550" t="s">
        <v>823</v>
      </c>
      <c r="H61" s="550" t="s">
        <v>824</v>
      </c>
      <c r="I61" s="567">
        <v>2271.17</v>
      </c>
      <c r="J61" s="567">
        <v>10</v>
      </c>
      <c r="K61" s="568">
        <v>22711.67</v>
      </c>
    </row>
    <row r="62" spans="1:11" ht="14.4" customHeight="1" x14ac:dyDescent="0.3">
      <c r="A62" s="546" t="s">
        <v>548</v>
      </c>
      <c r="B62" s="547" t="s">
        <v>610</v>
      </c>
      <c r="C62" s="550" t="s">
        <v>553</v>
      </c>
      <c r="D62" s="588" t="s">
        <v>1015</v>
      </c>
      <c r="E62" s="550" t="s">
        <v>1024</v>
      </c>
      <c r="F62" s="588" t="s">
        <v>1025</v>
      </c>
      <c r="G62" s="550" t="s">
        <v>825</v>
      </c>
      <c r="H62" s="550" t="s">
        <v>826</v>
      </c>
      <c r="I62" s="567">
        <v>901.6</v>
      </c>
      <c r="J62" s="567">
        <v>20</v>
      </c>
      <c r="K62" s="568">
        <v>18032</v>
      </c>
    </row>
    <row r="63" spans="1:11" ht="14.4" customHeight="1" x14ac:dyDescent="0.3">
      <c r="A63" s="546" t="s">
        <v>548</v>
      </c>
      <c r="B63" s="547" t="s">
        <v>610</v>
      </c>
      <c r="C63" s="550" t="s">
        <v>553</v>
      </c>
      <c r="D63" s="588" t="s">
        <v>1015</v>
      </c>
      <c r="E63" s="550" t="s">
        <v>1024</v>
      </c>
      <c r="F63" s="588" t="s">
        <v>1025</v>
      </c>
      <c r="G63" s="550" t="s">
        <v>827</v>
      </c>
      <c r="H63" s="550" t="s">
        <v>828</v>
      </c>
      <c r="I63" s="567">
        <v>1454.52</v>
      </c>
      <c r="J63" s="567">
        <v>25</v>
      </c>
      <c r="K63" s="568">
        <v>36363</v>
      </c>
    </row>
    <row r="64" spans="1:11" ht="14.4" customHeight="1" x14ac:dyDescent="0.3">
      <c r="A64" s="546" t="s">
        <v>548</v>
      </c>
      <c r="B64" s="547" t="s">
        <v>610</v>
      </c>
      <c r="C64" s="550" t="s">
        <v>553</v>
      </c>
      <c r="D64" s="588" t="s">
        <v>1015</v>
      </c>
      <c r="E64" s="550" t="s">
        <v>1024</v>
      </c>
      <c r="F64" s="588" t="s">
        <v>1025</v>
      </c>
      <c r="G64" s="550" t="s">
        <v>829</v>
      </c>
      <c r="H64" s="550" t="s">
        <v>830</v>
      </c>
      <c r="I64" s="567">
        <v>1254.53</v>
      </c>
      <c r="J64" s="567">
        <v>50</v>
      </c>
      <c r="K64" s="568">
        <v>62726.400000000001</v>
      </c>
    </row>
    <row r="65" spans="1:11" ht="14.4" customHeight="1" x14ac:dyDescent="0.3">
      <c r="A65" s="546" t="s">
        <v>548</v>
      </c>
      <c r="B65" s="547" t="s">
        <v>610</v>
      </c>
      <c r="C65" s="550" t="s">
        <v>553</v>
      </c>
      <c r="D65" s="588" t="s">
        <v>1015</v>
      </c>
      <c r="E65" s="550" t="s">
        <v>1024</v>
      </c>
      <c r="F65" s="588" t="s">
        <v>1025</v>
      </c>
      <c r="G65" s="550" t="s">
        <v>831</v>
      </c>
      <c r="H65" s="550" t="s">
        <v>832</v>
      </c>
      <c r="I65" s="567">
        <v>1352.4</v>
      </c>
      <c r="J65" s="567">
        <v>22</v>
      </c>
      <c r="K65" s="568">
        <v>29752.799999999999</v>
      </c>
    </row>
    <row r="66" spans="1:11" ht="14.4" customHeight="1" x14ac:dyDescent="0.3">
      <c r="A66" s="546" t="s">
        <v>548</v>
      </c>
      <c r="B66" s="547" t="s">
        <v>610</v>
      </c>
      <c r="C66" s="550" t="s">
        <v>553</v>
      </c>
      <c r="D66" s="588" t="s">
        <v>1015</v>
      </c>
      <c r="E66" s="550" t="s">
        <v>1024</v>
      </c>
      <c r="F66" s="588" t="s">
        <v>1025</v>
      </c>
      <c r="G66" s="550" t="s">
        <v>833</v>
      </c>
      <c r="H66" s="550" t="s">
        <v>834</v>
      </c>
      <c r="I66" s="567">
        <v>126428.81</v>
      </c>
      <c r="J66" s="567">
        <v>1</v>
      </c>
      <c r="K66" s="568">
        <v>126428.81</v>
      </c>
    </row>
    <row r="67" spans="1:11" ht="14.4" customHeight="1" x14ac:dyDescent="0.3">
      <c r="A67" s="546" t="s">
        <v>548</v>
      </c>
      <c r="B67" s="547" t="s">
        <v>610</v>
      </c>
      <c r="C67" s="550" t="s">
        <v>553</v>
      </c>
      <c r="D67" s="588" t="s">
        <v>1015</v>
      </c>
      <c r="E67" s="550" t="s">
        <v>1024</v>
      </c>
      <c r="F67" s="588" t="s">
        <v>1025</v>
      </c>
      <c r="G67" s="550" t="s">
        <v>835</v>
      </c>
      <c r="H67" s="550" t="s">
        <v>836</v>
      </c>
      <c r="I67" s="567">
        <v>1876.8</v>
      </c>
      <c r="J67" s="567">
        <v>1</v>
      </c>
      <c r="K67" s="568">
        <v>1876.8</v>
      </c>
    </row>
    <row r="68" spans="1:11" ht="14.4" customHeight="1" x14ac:dyDescent="0.3">
      <c r="A68" s="546" t="s">
        <v>548</v>
      </c>
      <c r="B68" s="547" t="s">
        <v>610</v>
      </c>
      <c r="C68" s="550" t="s">
        <v>553</v>
      </c>
      <c r="D68" s="588" t="s">
        <v>1015</v>
      </c>
      <c r="E68" s="550" t="s">
        <v>1024</v>
      </c>
      <c r="F68" s="588" t="s">
        <v>1025</v>
      </c>
      <c r="G68" s="550" t="s">
        <v>837</v>
      </c>
      <c r="H68" s="550" t="s">
        <v>838</v>
      </c>
      <c r="I68" s="567">
        <v>1876.8</v>
      </c>
      <c r="J68" s="567">
        <v>2</v>
      </c>
      <c r="K68" s="568">
        <v>3753.6</v>
      </c>
    </row>
    <row r="69" spans="1:11" ht="14.4" customHeight="1" x14ac:dyDescent="0.3">
      <c r="A69" s="546" t="s">
        <v>548</v>
      </c>
      <c r="B69" s="547" t="s">
        <v>610</v>
      </c>
      <c r="C69" s="550" t="s">
        <v>553</v>
      </c>
      <c r="D69" s="588" t="s">
        <v>1015</v>
      </c>
      <c r="E69" s="550" t="s">
        <v>1024</v>
      </c>
      <c r="F69" s="588" t="s">
        <v>1025</v>
      </c>
      <c r="G69" s="550" t="s">
        <v>839</v>
      </c>
      <c r="H69" s="550" t="s">
        <v>840</v>
      </c>
      <c r="I69" s="567">
        <v>1138.5</v>
      </c>
      <c r="J69" s="567">
        <v>2</v>
      </c>
      <c r="K69" s="568">
        <v>2277</v>
      </c>
    </row>
    <row r="70" spans="1:11" ht="14.4" customHeight="1" x14ac:dyDescent="0.3">
      <c r="A70" s="546" t="s">
        <v>548</v>
      </c>
      <c r="B70" s="547" t="s">
        <v>610</v>
      </c>
      <c r="C70" s="550" t="s">
        <v>553</v>
      </c>
      <c r="D70" s="588" t="s">
        <v>1015</v>
      </c>
      <c r="E70" s="550" t="s">
        <v>1024</v>
      </c>
      <c r="F70" s="588" t="s">
        <v>1025</v>
      </c>
      <c r="G70" s="550" t="s">
        <v>841</v>
      </c>
      <c r="H70" s="550" t="s">
        <v>842</v>
      </c>
      <c r="I70" s="567">
        <v>4766.2199999999993</v>
      </c>
      <c r="J70" s="567">
        <v>5</v>
      </c>
      <c r="K70" s="568">
        <v>23831.19</v>
      </c>
    </row>
    <row r="71" spans="1:11" ht="14.4" customHeight="1" x14ac:dyDescent="0.3">
      <c r="A71" s="546" t="s">
        <v>548</v>
      </c>
      <c r="B71" s="547" t="s">
        <v>610</v>
      </c>
      <c r="C71" s="550" t="s">
        <v>553</v>
      </c>
      <c r="D71" s="588" t="s">
        <v>1015</v>
      </c>
      <c r="E71" s="550" t="s">
        <v>1024</v>
      </c>
      <c r="F71" s="588" t="s">
        <v>1025</v>
      </c>
      <c r="G71" s="550" t="s">
        <v>843</v>
      </c>
      <c r="H71" s="550" t="s">
        <v>844</v>
      </c>
      <c r="I71" s="567">
        <v>2875</v>
      </c>
      <c r="J71" s="567">
        <v>1</v>
      </c>
      <c r="K71" s="568">
        <v>2875</v>
      </c>
    </row>
    <row r="72" spans="1:11" ht="14.4" customHeight="1" x14ac:dyDescent="0.3">
      <c r="A72" s="546" t="s">
        <v>548</v>
      </c>
      <c r="B72" s="547" t="s">
        <v>610</v>
      </c>
      <c r="C72" s="550" t="s">
        <v>553</v>
      </c>
      <c r="D72" s="588" t="s">
        <v>1015</v>
      </c>
      <c r="E72" s="550" t="s">
        <v>1024</v>
      </c>
      <c r="F72" s="588" t="s">
        <v>1025</v>
      </c>
      <c r="G72" s="550" t="s">
        <v>845</v>
      </c>
      <c r="H72" s="550" t="s">
        <v>846</v>
      </c>
      <c r="I72" s="567">
        <v>2028.15</v>
      </c>
      <c r="J72" s="567">
        <v>1</v>
      </c>
      <c r="K72" s="568">
        <v>2028.15</v>
      </c>
    </row>
    <row r="73" spans="1:11" ht="14.4" customHeight="1" x14ac:dyDescent="0.3">
      <c r="A73" s="546" t="s">
        <v>548</v>
      </c>
      <c r="B73" s="547" t="s">
        <v>610</v>
      </c>
      <c r="C73" s="550" t="s">
        <v>553</v>
      </c>
      <c r="D73" s="588" t="s">
        <v>1015</v>
      </c>
      <c r="E73" s="550" t="s">
        <v>1024</v>
      </c>
      <c r="F73" s="588" t="s">
        <v>1025</v>
      </c>
      <c r="G73" s="550" t="s">
        <v>847</v>
      </c>
      <c r="H73" s="550" t="s">
        <v>848</v>
      </c>
      <c r="I73" s="567">
        <v>20849.5</v>
      </c>
      <c r="J73" s="567">
        <v>1</v>
      </c>
      <c r="K73" s="568">
        <v>20849.5</v>
      </c>
    </row>
    <row r="74" spans="1:11" ht="14.4" customHeight="1" x14ac:dyDescent="0.3">
      <c r="A74" s="546" t="s">
        <v>548</v>
      </c>
      <c r="B74" s="547" t="s">
        <v>610</v>
      </c>
      <c r="C74" s="550" t="s">
        <v>553</v>
      </c>
      <c r="D74" s="588" t="s">
        <v>1015</v>
      </c>
      <c r="E74" s="550" t="s">
        <v>1024</v>
      </c>
      <c r="F74" s="588" t="s">
        <v>1025</v>
      </c>
      <c r="G74" s="550" t="s">
        <v>849</v>
      </c>
      <c r="H74" s="550" t="s">
        <v>850</v>
      </c>
      <c r="I74" s="567">
        <v>343.85</v>
      </c>
      <c r="J74" s="567">
        <v>5</v>
      </c>
      <c r="K74" s="568">
        <v>1719.25</v>
      </c>
    </row>
    <row r="75" spans="1:11" ht="14.4" customHeight="1" x14ac:dyDescent="0.3">
      <c r="A75" s="546" t="s">
        <v>548</v>
      </c>
      <c r="B75" s="547" t="s">
        <v>610</v>
      </c>
      <c r="C75" s="550" t="s">
        <v>553</v>
      </c>
      <c r="D75" s="588" t="s">
        <v>1015</v>
      </c>
      <c r="E75" s="550" t="s">
        <v>1024</v>
      </c>
      <c r="F75" s="588" t="s">
        <v>1025</v>
      </c>
      <c r="G75" s="550" t="s">
        <v>851</v>
      </c>
      <c r="H75" s="550" t="s">
        <v>852</v>
      </c>
      <c r="I75" s="567">
        <v>1437.5</v>
      </c>
      <c r="J75" s="567">
        <v>1</v>
      </c>
      <c r="K75" s="568">
        <v>1437.5</v>
      </c>
    </row>
    <row r="76" spans="1:11" ht="14.4" customHeight="1" x14ac:dyDescent="0.3">
      <c r="A76" s="546" t="s">
        <v>548</v>
      </c>
      <c r="B76" s="547" t="s">
        <v>610</v>
      </c>
      <c r="C76" s="550" t="s">
        <v>553</v>
      </c>
      <c r="D76" s="588" t="s">
        <v>1015</v>
      </c>
      <c r="E76" s="550" t="s">
        <v>1024</v>
      </c>
      <c r="F76" s="588" t="s">
        <v>1025</v>
      </c>
      <c r="G76" s="550" t="s">
        <v>853</v>
      </c>
      <c r="H76" s="550" t="s">
        <v>854</v>
      </c>
      <c r="I76" s="567">
        <v>2123.5500000000002</v>
      </c>
      <c r="J76" s="567">
        <v>1</v>
      </c>
      <c r="K76" s="568">
        <v>2123.5500000000002</v>
      </c>
    </row>
    <row r="77" spans="1:11" ht="14.4" customHeight="1" x14ac:dyDescent="0.3">
      <c r="A77" s="546" t="s">
        <v>548</v>
      </c>
      <c r="B77" s="547" t="s">
        <v>610</v>
      </c>
      <c r="C77" s="550" t="s">
        <v>553</v>
      </c>
      <c r="D77" s="588" t="s">
        <v>1015</v>
      </c>
      <c r="E77" s="550" t="s">
        <v>1024</v>
      </c>
      <c r="F77" s="588" t="s">
        <v>1025</v>
      </c>
      <c r="G77" s="550" t="s">
        <v>855</v>
      </c>
      <c r="H77" s="550" t="s">
        <v>856</v>
      </c>
      <c r="I77" s="567">
        <v>16031</v>
      </c>
      <c r="J77" s="567">
        <v>1</v>
      </c>
      <c r="K77" s="568">
        <v>16031</v>
      </c>
    </row>
    <row r="78" spans="1:11" ht="14.4" customHeight="1" x14ac:dyDescent="0.3">
      <c r="A78" s="546" t="s">
        <v>548</v>
      </c>
      <c r="B78" s="547" t="s">
        <v>610</v>
      </c>
      <c r="C78" s="550" t="s">
        <v>553</v>
      </c>
      <c r="D78" s="588" t="s">
        <v>1015</v>
      </c>
      <c r="E78" s="550" t="s">
        <v>1024</v>
      </c>
      <c r="F78" s="588" t="s">
        <v>1025</v>
      </c>
      <c r="G78" s="550" t="s">
        <v>857</v>
      </c>
      <c r="H78" s="550" t="s">
        <v>858</v>
      </c>
      <c r="I78" s="567">
        <v>2474.4499999999998</v>
      </c>
      <c r="J78" s="567">
        <v>2</v>
      </c>
      <c r="K78" s="568">
        <v>4948.8999999999996</v>
      </c>
    </row>
    <row r="79" spans="1:11" ht="14.4" customHeight="1" x14ac:dyDescent="0.3">
      <c r="A79" s="546" t="s">
        <v>548</v>
      </c>
      <c r="B79" s="547" t="s">
        <v>610</v>
      </c>
      <c r="C79" s="550" t="s">
        <v>553</v>
      </c>
      <c r="D79" s="588" t="s">
        <v>1015</v>
      </c>
      <c r="E79" s="550" t="s">
        <v>1024</v>
      </c>
      <c r="F79" s="588" t="s">
        <v>1025</v>
      </c>
      <c r="G79" s="550" t="s">
        <v>859</v>
      </c>
      <c r="H79" s="550" t="s">
        <v>860</v>
      </c>
      <c r="I79" s="567">
        <v>793.5</v>
      </c>
      <c r="J79" s="567">
        <v>1</v>
      </c>
      <c r="K79" s="568">
        <v>793.5</v>
      </c>
    </row>
    <row r="80" spans="1:11" ht="14.4" customHeight="1" x14ac:dyDescent="0.3">
      <c r="A80" s="546" t="s">
        <v>548</v>
      </c>
      <c r="B80" s="547" t="s">
        <v>610</v>
      </c>
      <c r="C80" s="550" t="s">
        <v>553</v>
      </c>
      <c r="D80" s="588" t="s">
        <v>1015</v>
      </c>
      <c r="E80" s="550" t="s">
        <v>1024</v>
      </c>
      <c r="F80" s="588" t="s">
        <v>1025</v>
      </c>
      <c r="G80" s="550" t="s">
        <v>861</v>
      </c>
      <c r="H80" s="550" t="s">
        <v>862</v>
      </c>
      <c r="I80" s="567">
        <v>229.9</v>
      </c>
      <c r="J80" s="567">
        <v>4</v>
      </c>
      <c r="K80" s="568">
        <v>919.6</v>
      </c>
    </row>
    <row r="81" spans="1:11" ht="14.4" customHeight="1" x14ac:dyDescent="0.3">
      <c r="A81" s="546" t="s">
        <v>548</v>
      </c>
      <c r="B81" s="547" t="s">
        <v>610</v>
      </c>
      <c r="C81" s="550" t="s">
        <v>558</v>
      </c>
      <c r="D81" s="588" t="s">
        <v>611</v>
      </c>
      <c r="E81" s="550" t="s">
        <v>1016</v>
      </c>
      <c r="F81" s="588" t="s">
        <v>1017</v>
      </c>
      <c r="G81" s="550" t="s">
        <v>863</v>
      </c>
      <c r="H81" s="550" t="s">
        <v>864</v>
      </c>
      <c r="I81" s="567">
        <v>42.442499999999995</v>
      </c>
      <c r="J81" s="567">
        <v>828</v>
      </c>
      <c r="K81" s="568">
        <v>35145.47</v>
      </c>
    </row>
    <row r="82" spans="1:11" ht="14.4" customHeight="1" x14ac:dyDescent="0.3">
      <c r="A82" s="546" t="s">
        <v>548</v>
      </c>
      <c r="B82" s="547" t="s">
        <v>610</v>
      </c>
      <c r="C82" s="550" t="s">
        <v>558</v>
      </c>
      <c r="D82" s="588" t="s">
        <v>611</v>
      </c>
      <c r="E82" s="550" t="s">
        <v>1016</v>
      </c>
      <c r="F82" s="588" t="s">
        <v>1017</v>
      </c>
      <c r="G82" s="550" t="s">
        <v>865</v>
      </c>
      <c r="H82" s="550" t="s">
        <v>866</v>
      </c>
      <c r="I82" s="567">
        <v>3.26</v>
      </c>
      <c r="J82" s="567">
        <v>120</v>
      </c>
      <c r="K82" s="568">
        <v>391.2</v>
      </c>
    </row>
    <row r="83" spans="1:11" ht="14.4" customHeight="1" x14ac:dyDescent="0.3">
      <c r="A83" s="546" t="s">
        <v>548</v>
      </c>
      <c r="B83" s="547" t="s">
        <v>610</v>
      </c>
      <c r="C83" s="550" t="s">
        <v>558</v>
      </c>
      <c r="D83" s="588" t="s">
        <v>611</v>
      </c>
      <c r="E83" s="550" t="s">
        <v>1016</v>
      </c>
      <c r="F83" s="588" t="s">
        <v>1017</v>
      </c>
      <c r="G83" s="550" t="s">
        <v>867</v>
      </c>
      <c r="H83" s="550" t="s">
        <v>868</v>
      </c>
      <c r="I83" s="567">
        <v>0.42</v>
      </c>
      <c r="J83" s="567">
        <v>5000</v>
      </c>
      <c r="K83" s="568">
        <v>2100</v>
      </c>
    </row>
    <row r="84" spans="1:11" ht="14.4" customHeight="1" x14ac:dyDescent="0.3">
      <c r="A84" s="546" t="s">
        <v>548</v>
      </c>
      <c r="B84" s="547" t="s">
        <v>610</v>
      </c>
      <c r="C84" s="550" t="s">
        <v>558</v>
      </c>
      <c r="D84" s="588" t="s">
        <v>611</v>
      </c>
      <c r="E84" s="550" t="s">
        <v>1016</v>
      </c>
      <c r="F84" s="588" t="s">
        <v>1017</v>
      </c>
      <c r="G84" s="550" t="s">
        <v>711</v>
      </c>
      <c r="H84" s="550" t="s">
        <v>712</v>
      </c>
      <c r="I84" s="567">
        <v>28.73</v>
      </c>
      <c r="J84" s="567">
        <v>2</v>
      </c>
      <c r="K84" s="568">
        <v>57.46</v>
      </c>
    </row>
    <row r="85" spans="1:11" ht="14.4" customHeight="1" x14ac:dyDescent="0.3">
      <c r="A85" s="546" t="s">
        <v>548</v>
      </c>
      <c r="B85" s="547" t="s">
        <v>610</v>
      </c>
      <c r="C85" s="550" t="s">
        <v>558</v>
      </c>
      <c r="D85" s="588" t="s">
        <v>611</v>
      </c>
      <c r="E85" s="550" t="s">
        <v>1016</v>
      </c>
      <c r="F85" s="588" t="s">
        <v>1017</v>
      </c>
      <c r="G85" s="550" t="s">
        <v>869</v>
      </c>
      <c r="H85" s="550" t="s">
        <v>870</v>
      </c>
      <c r="I85" s="567">
        <v>1.17</v>
      </c>
      <c r="J85" s="567">
        <v>3000</v>
      </c>
      <c r="K85" s="568">
        <v>3519</v>
      </c>
    </row>
    <row r="86" spans="1:11" ht="14.4" customHeight="1" x14ac:dyDescent="0.3">
      <c r="A86" s="546" t="s">
        <v>548</v>
      </c>
      <c r="B86" s="547" t="s">
        <v>610</v>
      </c>
      <c r="C86" s="550" t="s">
        <v>558</v>
      </c>
      <c r="D86" s="588" t="s">
        <v>611</v>
      </c>
      <c r="E86" s="550" t="s">
        <v>1016</v>
      </c>
      <c r="F86" s="588" t="s">
        <v>1017</v>
      </c>
      <c r="G86" s="550" t="s">
        <v>871</v>
      </c>
      <c r="H86" s="550" t="s">
        <v>872</v>
      </c>
      <c r="I86" s="567">
        <v>8.58</v>
      </c>
      <c r="J86" s="567">
        <v>12</v>
      </c>
      <c r="K86" s="568">
        <v>102.96</v>
      </c>
    </row>
    <row r="87" spans="1:11" ht="14.4" customHeight="1" x14ac:dyDescent="0.3">
      <c r="A87" s="546" t="s">
        <v>548</v>
      </c>
      <c r="B87" s="547" t="s">
        <v>610</v>
      </c>
      <c r="C87" s="550" t="s">
        <v>558</v>
      </c>
      <c r="D87" s="588" t="s">
        <v>611</v>
      </c>
      <c r="E87" s="550" t="s">
        <v>1016</v>
      </c>
      <c r="F87" s="588" t="s">
        <v>1017</v>
      </c>
      <c r="G87" s="550" t="s">
        <v>873</v>
      </c>
      <c r="H87" s="550" t="s">
        <v>874</v>
      </c>
      <c r="I87" s="567">
        <v>98.38</v>
      </c>
      <c r="J87" s="567">
        <v>10</v>
      </c>
      <c r="K87" s="568">
        <v>983.8</v>
      </c>
    </row>
    <row r="88" spans="1:11" ht="14.4" customHeight="1" x14ac:dyDescent="0.3">
      <c r="A88" s="546" t="s">
        <v>548</v>
      </c>
      <c r="B88" s="547" t="s">
        <v>610</v>
      </c>
      <c r="C88" s="550" t="s">
        <v>558</v>
      </c>
      <c r="D88" s="588" t="s">
        <v>611</v>
      </c>
      <c r="E88" s="550" t="s">
        <v>1018</v>
      </c>
      <c r="F88" s="588" t="s">
        <v>1019</v>
      </c>
      <c r="G88" s="550" t="s">
        <v>875</v>
      </c>
      <c r="H88" s="550" t="s">
        <v>876</v>
      </c>
      <c r="I88" s="567">
        <v>1.0900000000000001</v>
      </c>
      <c r="J88" s="567">
        <v>100</v>
      </c>
      <c r="K88" s="568">
        <v>109</v>
      </c>
    </row>
    <row r="89" spans="1:11" ht="14.4" customHeight="1" x14ac:dyDescent="0.3">
      <c r="A89" s="546" t="s">
        <v>548</v>
      </c>
      <c r="B89" s="547" t="s">
        <v>610</v>
      </c>
      <c r="C89" s="550" t="s">
        <v>558</v>
      </c>
      <c r="D89" s="588" t="s">
        <v>611</v>
      </c>
      <c r="E89" s="550" t="s">
        <v>1018</v>
      </c>
      <c r="F89" s="588" t="s">
        <v>1019</v>
      </c>
      <c r="G89" s="550" t="s">
        <v>877</v>
      </c>
      <c r="H89" s="550" t="s">
        <v>878</v>
      </c>
      <c r="I89" s="567">
        <v>0.67</v>
      </c>
      <c r="J89" s="567">
        <v>400</v>
      </c>
      <c r="K89" s="568">
        <v>268</v>
      </c>
    </row>
    <row r="90" spans="1:11" ht="14.4" customHeight="1" x14ac:dyDescent="0.3">
      <c r="A90" s="546" t="s">
        <v>548</v>
      </c>
      <c r="B90" s="547" t="s">
        <v>610</v>
      </c>
      <c r="C90" s="550" t="s">
        <v>558</v>
      </c>
      <c r="D90" s="588" t="s">
        <v>611</v>
      </c>
      <c r="E90" s="550" t="s">
        <v>1018</v>
      </c>
      <c r="F90" s="588" t="s">
        <v>1019</v>
      </c>
      <c r="G90" s="550" t="s">
        <v>713</v>
      </c>
      <c r="H90" s="550" t="s">
        <v>714</v>
      </c>
      <c r="I90" s="567">
        <v>0.62</v>
      </c>
      <c r="J90" s="567">
        <v>2000</v>
      </c>
      <c r="K90" s="568">
        <v>1240</v>
      </c>
    </row>
    <row r="91" spans="1:11" ht="14.4" customHeight="1" x14ac:dyDescent="0.3">
      <c r="A91" s="546" t="s">
        <v>548</v>
      </c>
      <c r="B91" s="547" t="s">
        <v>610</v>
      </c>
      <c r="C91" s="550" t="s">
        <v>558</v>
      </c>
      <c r="D91" s="588" t="s">
        <v>611</v>
      </c>
      <c r="E91" s="550" t="s">
        <v>1018</v>
      </c>
      <c r="F91" s="588" t="s">
        <v>1019</v>
      </c>
      <c r="G91" s="550" t="s">
        <v>879</v>
      </c>
      <c r="H91" s="550" t="s">
        <v>880</v>
      </c>
      <c r="I91" s="567">
        <v>1.99</v>
      </c>
      <c r="J91" s="567">
        <v>3600</v>
      </c>
      <c r="K91" s="568">
        <v>7164</v>
      </c>
    </row>
    <row r="92" spans="1:11" ht="14.4" customHeight="1" x14ac:dyDescent="0.3">
      <c r="A92" s="546" t="s">
        <v>548</v>
      </c>
      <c r="B92" s="547" t="s">
        <v>610</v>
      </c>
      <c r="C92" s="550" t="s">
        <v>558</v>
      </c>
      <c r="D92" s="588" t="s">
        <v>611</v>
      </c>
      <c r="E92" s="550" t="s">
        <v>1018</v>
      </c>
      <c r="F92" s="588" t="s">
        <v>1019</v>
      </c>
      <c r="G92" s="550" t="s">
        <v>881</v>
      </c>
      <c r="H92" s="550" t="s">
        <v>882</v>
      </c>
      <c r="I92" s="567">
        <v>2.0460000000000003</v>
      </c>
      <c r="J92" s="567">
        <v>18000</v>
      </c>
      <c r="K92" s="568">
        <v>36806.9</v>
      </c>
    </row>
    <row r="93" spans="1:11" ht="14.4" customHeight="1" x14ac:dyDescent="0.3">
      <c r="A93" s="546" t="s">
        <v>548</v>
      </c>
      <c r="B93" s="547" t="s">
        <v>610</v>
      </c>
      <c r="C93" s="550" t="s">
        <v>558</v>
      </c>
      <c r="D93" s="588" t="s">
        <v>611</v>
      </c>
      <c r="E93" s="550" t="s">
        <v>1018</v>
      </c>
      <c r="F93" s="588" t="s">
        <v>1019</v>
      </c>
      <c r="G93" s="550" t="s">
        <v>883</v>
      </c>
      <c r="H93" s="550" t="s">
        <v>884</v>
      </c>
      <c r="I93" s="567">
        <v>1.93</v>
      </c>
      <c r="J93" s="567">
        <v>0</v>
      </c>
      <c r="K93" s="568">
        <v>0</v>
      </c>
    </row>
    <row r="94" spans="1:11" ht="14.4" customHeight="1" x14ac:dyDescent="0.3">
      <c r="A94" s="546" t="s">
        <v>548</v>
      </c>
      <c r="B94" s="547" t="s">
        <v>610</v>
      </c>
      <c r="C94" s="550" t="s">
        <v>558</v>
      </c>
      <c r="D94" s="588" t="s">
        <v>611</v>
      </c>
      <c r="E94" s="550" t="s">
        <v>1018</v>
      </c>
      <c r="F94" s="588" t="s">
        <v>1019</v>
      </c>
      <c r="G94" s="550" t="s">
        <v>885</v>
      </c>
      <c r="H94" s="550" t="s">
        <v>886</v>
      </c>
      <c r="I94" s="567">
        <v>1.93</v>
      </c>
      <c r="J94" s="567">
        <v>300</v>
      </c>
      <c r="K94" s="568">
        <v>579</v>
      </c>
    </row>
    <row r="95" spans="1:11" ht="14.4" customHeight="1" x14ac:dyDescent="0.3">
      <c r="A95" s="546" t="s">
        <v>548</v>
      </c>
      <c r="B95" s="547" t="s">
        <v>610</v>
      </c>
      <c r="C95" s="550" t="s">
        <v>558</v>
      </c>
      <c r="D95" s="588" t="s">
        <v>611</v>
      </c>
      <c r="E95" s="550" t="s">
        <v>1018</v>
      </c>
      <c r="F95" s="588" t="s">
        <v>1019</v>
      </c>
      <c r="G95" s="550" t="s">
        <v>887</v>
      </c>
      <c r="H95" s="550" t="s">
        <v>888</v>
      </c>
      <c r="I95" s="567">
        <v>0.01</v>
      </c>
      <c r="J95" s="567">
        <v>4800</v>
      </c>
      <c r="K95" s="568">
        <v>48</v>
      </c>
    </row>
    <row r="96" spans="1:11" ht="14.4" customHeight="1" x14ac:dyDescent="0.3">
      <c r="A96" s="546" t="s">
        <v>548</v>
      </c>
      <c r="B96" s="547" t="s">
        <v>610</v>
      </c>
      <c r="C96" s="550" t="s">
        <v>558</v>
      </c>
      <c r="D96" s="588" t="s">
        <v>611</v>
      </c>
      <c r="E96" s="550" t="s">
        <v>1018</v>
      </c>
      <c r="F96" s="588" t="s">
        <v>1019</v>
      </c>
      <c r="G96" s="550" t="s">
        <v>889</v>
      </c>
      <c r="H96" s="550" t="s">
        <v>890</v>
      </c>
      <c r="I96" s="567">
        <v>2.7</v>
      </c>
      <c r="J96" s="567">
        <v>1200</v>
      </c>
      <c r="K96" s="568">
        <v>3240</v>
      </c>
    </row>
    <row r="97" spans="1:11" ht="14.4" customHeight="1" x14ac:dyDescent="0.3">
      <c r="A97" s="546" t="s">
        <v>548</v>
      </c>
      <c r="B97" s="547" t="s">
        <v>610</v>
      </c>
      <c r="C97" s="550" t="s">
        <v>558</v>
      </c>
      <c r="D97" s="588" t="s">
        <v>611</v>
      </c>
      <c r="E97" s="550" t="s">
        <v>1018</v>
      </c>
      <c r="F97" s="588" t="s">
        <v>1019</v>
      </c>
      <c r="G97" s="550" t="s">
        <v>891</v>
      </c>
      <c r="H97" s="550" t="s">
        <v>892</v>
      </c>
      <c r="I97" s="567">
        <v>46.03</v>
      </c>
      <c r="J97" s="567">
        <v>400</v>
      </c>
      <c r="K97" s="568">
        <v>18411.36</v>
      </c>
    </row>
    <row r="98" spans="1:11" ht="14.4" customHeight="1" x14ac:dyDescent="0.3">
      <c r="A98" s="546" t="s">
        <v>548</v>
      </c>
      <c r="B98" s="547" t="s">
        <v>610</v>
      </c>
      <c r="C98" s="550" t="s">
        <v>558</v>
      </c>
      <c r="D98" s="588" t="s">
        <v>611</v>
      </c>
      <c r="E98" s="550" t="s">
        <v>1018</v>
      </c>
      <c r="F98" s="588" t="s">
        <v>1019</v>
      </c>
      <c r="G98" s="550" t="s">
        <v>893</v>
      </c>
      <c r="H98" s="550" t="s">
        <v>894</v>
      </c>
      <c r="I98" s="567">
        <v>25.53</v>
      </c>
      <c r="J98" s="567">
        <v>210</v>
      </c>
      <c r="K98" s="568">
        <v>5361.3</v>
      </c>
    </row>
    <row r="99" spans="1:11" ht="14.4" customHeight="1" x14ac:dyDescent="0.3">
      <c r="A99" s="546" t="s">
        <v>548</v>
      </c>
      <c r="B99" s="547" t="s">
        <v>610</v>
      </c>
      <c r="C99" s="550" t="s">
        <v>558</v>
      </c>
      <c r="D99" s="588" t="s">
        <v>611</v>
      </c>
      <c r="E99" s="550" t="s">
        <v>1018</v>
      </c>
      <c r="F99" s="588" t="s">
        <v>1019</v>
      </c>
      <c r="G99" s="550" t="s">
        <v>895</v>
      </c>
      <c r="H99" s="550" t="s">
        <v>896</v>
      </c>
      <c r="I99" s="567">
        <v>0.63</v>
      </c>
      <c r="J99" s="567">
        <v>4000</v>
      </c>
      <c r="K99" s="568">
        <v>2516.8000000000002</v>
      </c>
    </row>
    <row r="100" spans="1:11" ht="14.4" customHeight="1" x14ac:dyDescent="0.3">
      <c r="A100" s="546" t="s">
        <v>548</v>
      </c>
      <c r="B100" s="547" t="s">
        <v>610</v>
      </c>
      <c r="C100" s="550" t="s">
        <v>558</v>
      </c>
      <c r="D100" s="588" t="s">
        <v>611</v>
      </c>
      <c r="E100" s="550" t="s">
        <v>1018</v>
      </c>
      <c r="F100" s="588" t="s">
        <v>1019</v>
      </c>
      <c r="G100" s="550" t="s">
        <v>897</v>
      </c>
      <c r="H100" s="550" t="s">
        <v>898</v>
      </c>
      <c r="I100" s="567">
        <v>3.79</v>
      </c>
      <c r="J100" s="567">
        <v>400</v>
      </c>
      <c r="K100" s="568">
        <v>1514.92</v>
      </c>
    </row>
    <row r="101" spans="1:11" ht="14.4" customHeight="1" x14ac:dyDescent="0.3">
      <c r="A101" s="546" t="s">
        <v>548</v>
      </c>
      <c r="B101" s="547" t="s">
        <v>610</v>
      </c>
      <c r="C101" s="550" t="s">
        <v>558</v>
      </c>
      <c r="D101" s="588" t="s">
        <v>611</v>
      </c>
      <c r="E101" s="550" t="s">
        <v>1018</v>
      </c>
      <c r="F101" s="588" t="s">
        <v>1019</v>
      </c>
      <c r="G101" s="550" t="s">
        <v>899</v>
      </c>
      <c r="H101" s="550" t="s">
        <v>900</v>
      </c>
      <c r="I101" s="567">
        <v>1.07</v>
      </c>
      <c r="J101" s="567">
        <v>1000</v>
      </c>
      <c r="K101" s="568">
        <v>1066.1400000000001</v>
      </c>
    </row>
    <row r="102" spans="1:11" ht="14.4" customHeight="1" x14ac:dyDescent="0.3">
      <c r="A102" s="546" t="s">
        <v>548</v>
      </c>
      <c r="B102" s="547" t="s">
        <v>610</v>
      </c>
      <c r="C102" s="550" t="s">
        <v>558</v>
      </c>
      <c r="D102" s="588" t="s">
        <v>611</v>
      </c>
      <c r="E102" s="550" t="s">
        <v>1020</v>
      </c>
      <c r="F102" s="588" t="s">
        <v>1021</v>
      </c>
      <c r="G102" s="550" t="s">
        <v>901</v>
      </c>
      <c r="H102" s="550" t="s">
        <v>902</v>
      </c>
      <c r="I102" s="567">
        <v>1.27</v>
      </c>
      <c r="J102" s="567">
        <v>60000</v>
      </c>
      <c r="K102" s="568">
        <v>76048.5</v>
      </c>
    </row>
    <row r="103" spans="1:11" ht="14.4" customHeight="1" x14ac:dyDescent="0.3">
      <c r="A103" s="546" t="s">
        <v>548</v>
      </c>
      <c r="B103" s="547" t="s">
        <v>610</v>
      </c>
      <c r="C103" s="550" t="s">
        <v>558</v>
      </c>
      <c r="D103" s="588" t="s">
        <v>611</v>
      </c>
      <c r="E103" s="550" t="s">
        <v>1026</v>
      </c>
      <c r="F103" s="588" t="s">
        <v>1027</v>
      </c>
      <c r="G103" s="550" t="s">
        <v>903</v>
      </c>
      <c r="H103" s="550" t="s">
        <v>904</v>
      </c>
      <c r="I103" s="567">
        <v>598.95000000000005</v>
      </c>
      <c r="J103" s="567">
        <v>1056</v>
      </c>
      <c r="K103" s="568">
        <v>632491.19999999995</v>
      </c>
    </row>
    <row r="104" spans="1:11" ht="14.4" customHeight="1" x14ac:dyDescent="0.3">
      <c r="A104" s="546" t="s">
        <v>548</v>
      </c>
      <c r="B104" s="547" t="s">
        <v>610</v>
      </c>
      <c r="C104" s="550" t="s">
        <v>558</v>
      </c>
      <c r="D104" s="588" t="s">
        <v>611</v>
      </c>
      <c r="E104" s="550" t="s">
        <v>1026</v>
      </c>
      <c r="F104" s="588" t="s">
        <v>1027</v>
      </c>
      <c r="G104" s="550" t="s">
        <v>905</v>
      </c>
      <c r="H104" s="550" t="s">
        <v>906</v>
      </c>
      <c r="I104" s="567">
        <v>121</v>
      </c>
      <c r="J104" s="567">
        <v>168</v>
      </c>
      <c r="K104" s="568">
        <v>20328</v>
      </c>
    </row>
    <row r="105" spans="1:11" ht="14.4" customHeight="1" x14ac:dyDescent="0.3">
      <c r="A105" s="546" t="s">
        <v>548</v>
      </c>
      <c r="B105" s="547" t="s">
        <v>610</v>
      </c>
      <c r="C105" s="550" t="s">
        <v>558</v>
      </c>
      <c r="D105" s="588" t="s">
        <v>611</v>
      </c>
      <c r="E105" s="550" t="s">
        <v>1026</v>
      </c>
      <c r="F105" s="588" t="s">
        <v>1027</v>
      </c>
      <c r="G105" s="550" t="s">
        <v>907</v>
      </c>
      <c r="H105" s="550" t="s">
        <v>908</v>
      </c>
      <c r="I105" s="567">
        <v>60.5</v>
      </c>
      <c r="J105" s="567">
        <v>1200</v>
      </c>
      <c r="K105" s="568">
        <v>72600</v>
      </c>
    </row>
    <row r="106" spans="1:11" ht="14.4" customHeight="1" x14ac:dyDescent="0.3">
      <c r="A106" s="546" t="s">
        <v>548</v>
      </c>
      <c r="B106" s="547" t="s">
        <v>610</v>
      </c>
      <c r="C106" s="550" t="s">
        <v>558</v>
      </c>
      <c r="D106" s="588" t="s">
        <v>611</v>
      </c>
      <c r="E106" s="550" t="s">
        <v>1026</v>
      </c>
      <c r="F106" s="588" t="s">
        <v>1027</v>
      </c>
      <c r="G106" s="550" t="s">
        <v>909</v>
      </c>
      <c r="H106" s="550" t="s">
        <v>910</v>
      </c>
      <c r="I106" s="567">
        <v>5445</v>
      </c>
      <c r="J106" s="567">
        <v>12</v>
      </c>
      <c r="K106" s="568">
        <v>65340</v>
      </c>
    </row>
    <row r="107" spans="1:11" ht="14.4" customHeight="1" x14ac:dyDescent="0.3">
      <c r="A107" s="546" t="s">
        <v>548</v>
      </c>
      <c r="B107" s="547" t="s">
        <v>610</v>
      </c>
      <c r="C107" s="550" t="s">
        <v>558</v>
      </c>
      <c r="D107" s="588" t="s">
        <v>611</v>
      </c>
      <c r="E107" s="550" t="s">
        <v>1026</v>
      </c>
      <c r="F107" s="588" t="s">
        <v>1027</v>
      </c>
      <c r="G107" s="550" t="s">
        <v>911</v>
      </c>
      <c r="H107" s="550" t="s">
        <v>912</v>
      </c>
      <c r="I107" s="567">
        <v>26.92</v>
      </c>
      <c r="J107" s="567">
        <v>2000</v>
      </c>
      <c r="K107" s="568">
        <v>53845</v>
      </c>
    </row>
    <row r="108" spans="1:11" ht="14.4" customHeight="1" x14ac:dyDescent="0.3">
      <c r="A108" s="546" t="s">
        <v>548</v>
      </c>
      <c r="B108" s="547" t="s">
        <v>610</v>
      </c>
      <c r="C108" s="550" t="s">
        <v>558</v>
      </c>
      <c r="D108" s="588" t="s">
        <v>611</v>
      </c>
      <c r="E108" s="550" t="s">
        <v>1026</v>
      </c>
      <c r="F108" s="588" t="s">
        <v>1027</v>
      </c>
      <c r="G108" s="550" t="s">
        <v>913</v>
      </c>
      <c r="H108" s="550" t="s">
        <v>914</v>
      </c>
      <c r="I108" s="567">
        <v>102.85</v>
      </c>
      <c r="J108" s="567">
        <v>1200</v>
      </c>
      <c r="K108" s="568">
        <v>123420</v>
      </c>
    </row>
    <row r="109" spans="1:11" ht="14.4" customHeight="1" x14ac:dyDescent="0.3">
      <c r="A109" s="546" t="s">
        <v>548</v>
      </c>
      <c r="B109" s="547" t="s">
        <v>610</v>
      </c>
      <c r="C109" s="550" t="s">
        <v>558</v>
      </c>
      <c r="D109" s="588" t="s">
        <v>611</v>
      </c>
      <c r="E109" s="550" t="s">
        <v>1026</v>
      </c>
      <c r="F109" s="588" t="s">
        <v>1027</v>
      </c>
      <c r="G109" s="550" t="s">
        <v>915</v>
      </c>
      <c r="H109" s="550" t="s">
        <v>916</v>
      </c>
      <c r="I109" s="567">
        <v>272.25</v>
      </c>
      <c r="J109" s="567">
        <v>1200</v>
      </c>
      <c r="K109" s="568">
        <v>326700</v>
      </c>
    </row>
    <row r="110" spans="1:11" ht="14.4" customHeight="1" x14ac:dyDescent="0.3">
      <c r="A110" s="546" t="s">
        <v>548</v>
      </c>
      <c r="B110" s="547" t="s">
        <v>610</v>
      </c>
      <c r="C110" s="550" t="s">
        <v>558</v>
      </c>
      <c r="D110" s="588" t="s">
        <v>611</v>
      </c>
      <c r="E110" s="550" t="s">
        <v>1026</v>
      </c>
      <c r="F110" s="588" t="s">
        <v>1027</v>
      </c>
      <c r="G110" s="550" t="s">
        <v>917</v>
      </c>
      <c r="H110" s="550" t="s">
        <v>918</v>
      </c>
      <c r="I110" s="567">
        <v>5566</v>
      </c>
      <c r="J110" s="567">
        <v>66</v>
      </c>
      <c r="K110" s="568">
        <v>367356</v>
      </c>
    </row>
    <row r="111" spans="1:11" ht="14.4" customHeight="1" x14ac:dyDescent="0.3">
      <c r="A111" s="546" t="s">
        <v>548</v>
      </c>
      <c r="B111" s="547" t="s">
        <v>610</v>
      </c>
      <c r="C111" s="550" t="s">
        <v>558</v>
      </c>
      <c r="D111" s="588" t="s">
        <v>611</v>
      </c>
      <c r="E111" s="550" t="s">
        <v>1026</v>
      </c>
      <c r="F111" s="588" t="s">
        <v>1027</v>
      </c>
      <c r="G111" s="550" t="s">
        <v>919</v>
      </c>
      <c r="H111" s="550" t="s">
        <v>920</v>
      </c>
      <c r="I111" s="567">
        <v>290.39999999999998</v>
      </c>
      <c r="J111" s="567">
        <v>24</v>
      </c>
      <c r="K111" s="568">
        <v>6969.6</v>
      </c>
    </row>
    <row r="112" spans="1:11" ht="14.4" customHeight="1" x14ac:dyDescent="0.3">
      <c r="A112" s="546" t="s">
        <v>548</v>
      </c>
      <c r="B112" s="547" t="s">
        <v>610</v>
      </c>
      <c r="C112" s="550" t="s">
        <v>558</v>
      </c>
      <c r="D112" s="588" t="s">
        <v>611</v>
      </c>
      <c r="E112" s="550" t="s">
        <v>1026</v>
      </c>
      <c r="F112" s="588" t="s">
        <v>1027</v>
      </c>
      <c r="G112" s="550" t="s">
        <v>921</v>
      </c>
      <c r="H112" s="550" t="s">
        <v>922</v>
      </c>
      <c r="I112" s="567">
        <v>139.15</v>
      </c>
      <c r="J112" s="567">
        <v>1152</v>
      </c>
      <c r="K112" s="568">
        <v>160300.79999999999</v>
      </c>
    </row>
    <row r="113" spans="1:11" ht="14.4" customHeight="1" x14ac:dyDescent="0.3">
      <c r="A113" s="546" t="s">
        <v>548</v>
      </c>
      <c r="B113" s="547" t="s">
        <v>610</v>
      </c>
      <c r="C113" s="550" t="s">
        <v>558</v>
      </c>
      <c r="D113" s="588" t="s">
        <v>611</v>
      </c>
      <c r="E113" s="550" t="s">
        <v>1026</v>
      </c>
      <c r="F113" s="588" t="s">
        <v>1027</v>
      </c>
      <c r="G113" s="550" t="s">
        <v>923</v>
      </c>
      <c r="H113" s="550" t="s">
        <v>924</v>
      </c>
      <c r="I113" s="567">
        <v>1754.5</v>
      </c>
      <c r="J113" s="567">
        <v>32</v>
      </c>
      <c r="K113" s="568">
        <v>56144</v>
      </c>
    </row>
    <row r="114" spans="1:11" ht="14.4" customHeight="1" x14ac:dyDescent="0.3">
      <c r="A114" s="546" t="s">
        <v>548</v>
      </c>
      <c r="B114" s="547" t="s">
        <v>610</v>
      </c>
      <c r="C114" s="550" t="s">
        <v>558</v>
      </c>
      <c r="D114" s="588" t="s">
        <v>611</v>
      </c>
      <c r="E114" s="550" t="s">
        <v>1026</v>
      </c>
      <c r="F114" s="588" t="s">
        <v>1027</v>
      </c>
      <c r="G114" s="550" t="s">
        <v>925</v>
      </c>
      <c r="H114" s="550" t="s">
        <v>926</v>
      </c>
      <c r="I114" s="567">
        <v>145.19999999999999</v>
      </c>
      <c r="J114" s="567">
        <v>40</v>
      </c>
      <c r="K114" s="568">
        <v>5808</v>
      </c>
    </row>
    <row r="115" spans="1:11" ht="14.4" customHeight="1" x14ac:dyDescent="0.3">
      <c r="A115" s="546" t="s">
        <v>548</v>
      </c>
      <c r="B115" s="547" t="s">
        <v>610</v>
      </c>
      <c r="C115" s="550" t="s">
        <v>558</v>
      </c>
      <c r="D115" s="588" t="s">
        <v>611</v>
      </c>
      <c r="E115" s="550" t="s">
        <v>1026</v>
      </c>
      <c r="F115" s="588" t="s">
        <v>1027</v>
      </c>
      <c r="G115" s="550" t="s">
        <v>927</v>
      </c>
      <c r="H115" s="550" t="s">
        <v>928</v>
      </c>
      <c r="I115" s="567">
        <v>84.7</v>
      </c>
      <c r="J115" s="567">
        <v>50</v>
      </c>
      <c r="K115" s="568">
        <v>4235</v>
      </c>
    </row>
    <row r="116" spans="1:11" ht="14.4" customHeight="1" x14ac:dyDescent="0.3">
      <c r="A116" s="546" t="s">
        <v>548</v>
      </c>
      <c r="B116" s="547" t="s">
        <v>610</v>
      </c>
      <c r="C116" s="550" t="s">
        <v>558</v>
      </c>
      <c r="D116" s="588" t="s">
        <v>611</v>
      </c>
      <c r="E116" s="550" t="s">
        <v>1026</v>
      </c>
      <c r="F116" s="588" t="s">
        <v>1027</v>
      </c>
      <c r="G116" s="550" t="s">
        <v>929</v>
      </c>
      <c r="H116" s="550" t="s">
        <v>930</v>
      </c>
      <c r="I116" s="567">
        <v>136.72999999999999</v>
      </c>
      <c r="J116" s="567">
        <v>1000</v>
      </c>
      <c r="K116" s="568">
        <v>136730</v>
      </c>
    </row>
    <row r="117" spans="1:11" ht="14.4" customHeight="1" x14ac:dyDescent="0.3">
      <c r="A117" s="546" t="s">
        <v>548</v>
      </c>
      <c r="B117" s="547" t="s">
        <v>610</v>
      </c>
      <c r="C117" s="550" t="s">
        <v>558</v>
      </c>
      <c r="D117" s="588" t="s">
        <v>611</v>
      </c>
      <c r="E117" s="550" t="s">
        <v>1026</v>
      </c>
      <c r="F117" s="588" t="s">
        <v>1027</v>
      </c>
      <c r="G117" s="550" t="s">
        <v>931</v>
      </c>
      <c r="H117" s="550" t="s">
        <v>932</v>
      </c>
      <c r="I117" s="567">
        <v>726</v>
      </c>
      <c r="J117" s="567">
        <v>120</v>
      </c>
      <c r="K117" s="568">
        <v>87120</v>
      </c>
    </row>
    <row r="118" spans="1:11" ht="14.4" customHeight="1" x14ac:dyDescent="0.3">
      <c r="A118" s="546" t="s">
        <v>548</v>
      </c>
      <c r="B118" s="547" t="s">
        <v>610</v>
      </c>
      <c r="C118" s="550" t="s">
        <v>558</v>
      </c>
      <c r="D118" s="588" t="s">
        <v>611</v>
      </c>
      <c r="E118" s="550" t="s">
        <v>1026</v>
      </c>
      <c r="F118" s="588" t="s">
        <v>1027</v>
      </c>
      <c r="G118" s="550" t="s">
        <v>933</v>
      </c>
      <c r="H118" s="550" t="s">
        <v>934</v>
      </c>
      <c r="I118" s="567">
        <v>20.9</v>
      </c>
      <c r="J118" s="567">
        <v>2500</v>
      </c>
      <c r="K118" s="568">
        <v>52250</v>
      </c>
    </row>
    <row r="119" spans="1:11" ht="14.4" customHeight="1" x14ac:dyDescent="0.3">
      <c r="A119" s="546" t="s">
        <v>548</v>
      </c>
      <c r="B119" s="547" t="s">
        <v>610</v>
      </c>
      <c r="C119" s="550" t="s">
        <v>558</v>
      </c>
      <c r="D119" s="588" t="s">
        <v>611</v>
      </c>
      <c r="E119" s="550" t="s">
        <v>1026</v>
      </c>
      <c r="F119" s="588" t="s">
        <v>1027</v>
      </c>
      <c r="G119" s="550" t="s">
        <v>935</v>
      </c>
      <c r="H119" s="550" t="s">
        <v>936</v>
      </c>
      <c r="I119" s="567">
        <v>4235</v>
      </c>
      <c r="J119" s="567">
        <v>24</v>
      </c>
      <c r="K119" s="568">
        <v>101640</v>
      </c>
    </row>
    <row r="120" spans="1:11" ht="14.4" customHeight="1" x14ac:dyDescent="0.3">
      <c r="A120" s="546" t="s">
        <v>548</v>
      </c>
      <c r="B120" s="547" t="s">
        <v>610</v>
      </c>
      <c r="C120" s="550" t="s">
        <v>558</v>
      </c>
      <c r="D120" s="588" t="s">
        <v>611</v>
      </c>
      <c r="E120" s="550" t="s">
        <v>1026</v>
      </c>
      <c r="F120" s="588" t="s">
        <v>1027</v>
      </c>
      <c r="G120" s="550" t="s">
        <v>937</v>
      </c>
      <c r="H120" s="550" t="s">
        <v>938</v>
      </c>
      <c r="I120" s="567">
        <v>226.27</v>
      </c>
      <c r="J120" s="567">
        <v>80</v>
      </c>
      <c r="K120" s="568">
        <v>18101.599999999999</v>
      </c>
    </row>
    <row r="121" spans="1:11" ht="14.4" customHeight="1" x14ac:dyDescent="0.3">
      <c r="A121" s="546" t="s">
        <v>548</v>
      </c>
      <c r="B121" s="547" t="s">
        <v>610</v>
      </c>
      <c r="C121" s="550" t="s">
        <v>558</v>
      </c>
      <c r="D121" s="588" t="s">
        <v>611</v>
      </c>
      <c r="E121" s="550" t="s">
        <v>1026</v>
      </c>
      <c r="F121" s="588" t="s">
        <v>1027</v>
      </c>
      <c r="G121" s="550" t="s">
        <v>939</v>
      </c>
      <c r="H121" s="550" t="s">
        <v>940</v>
      </c>
      <c r="I121" s="567">
        <v>919.6</v>
      </c>
      <c r="J121" s="567">
        <v>96</v>
      </c>
      <c r="K121" s="568">
        <v>88281.600000000006</v>
      </c>
    </row>
    <row r="122" spans="1:11" ht="14.4" customHeight="1" x14ac:dyDescent="0.3">
      <c r="A122" s="546" t="s">
        <v>548</v>
      </c>
      <c r="B122" s="547" t="s">
        <v>610</v>
      </c>
      <c r="C122" s="550" t="s">
        <v>558</v>
      </c>
      <c r="D122" s="588" t="s">
        <v>611</v>
      </c>
      <c r="E122" s="550" t="s">
        <v>1026</v>
      </c>
      <c r="F122" s="588" t="s">
        <v>1027</v>
      </c>
      <c r="G122" s="550" t="s">
        <v>941</v>
      </c>
      <c r="H122" s="550" t="s">
        <v>942</v>
      </c>
      <c r="I122" s="567">
        <v>3388</v>
      </c>
      <c r="J122" s="567">
        <v>32</v>
      </c>
      <c r="K122" s="568">
        <v>108416</v>
      </c>
    </row>
    <row r="123" spans="1:11" ht="14.4" customHeight="1" x14ac:dyDescent="0.3">
      <c r="A123" s="546" t="s">
        <v>548</v>
      </c>
      <c r="B123" s="547" t="s">
        <v>610</v>
      </c>
      <c r="C123" s="550" t="s">
        <v>558</v>
      </c>
      <c r="D123" s="588" t="s">
        <v>611</v>
      </c>
      <c r="E123" s="550" t="s">
        <v>1026</v>
      </c>
      <c r="F123" s="588" t="s">
        <v>1027</v>
      </c>
      <c r="G123" s="550" t="s">
        <v>943</v>
      </c>
      <c r="H123" s="550" t="s">
        <v>944</v>
      </c>
      <c r="I123" s="567">
        <v>722.04</v>
      </c>
      <c r="J123" s="567">
        <v>40</v>
      </c>
      <c r="K123" s="568">
        <v>28881.73</v>
      </c>
    </row>
    <row r="124" spans="1:11" ht="14.4" customHeight="1" x14ac:dyDescent="0.3">
      <c r="A124" s="546" t="s">
        <v>548</v>
      </c>
      <c r="B124" s="547" t="s">
        <v>610</v>
      </c>
      <c r="C124" s="550" t="s">
        <v>558</v>
      </c>
      <c r="D124" s="588" t="s">
        <v>611</v>
      </c>
      <c r="E124" s="550" t="s">
        <v>1026</v>
      </c>
      <c r="F124" s="588" t="s">
        <v>1027</v>
      </c>
      <c r="G124" s="550" t="s">
        <v>945</v>
      </c>
      <c r="H124" s="550" t="s">
        <v>946</v>
      </c>
      <c r="I124" s="567">
        <v>68.97</v>
      </c>
      <c r="J124" s="567">
        <v>1260</v>
      </c>
      <c r="K124" s="568">
        <v>86902.2</v>
      </c>
    </row>
    <row r="125" spans="1:11" ht="14.4" customHeight="1" x14ac:dyDescent="0.3">
      <c r="A125" s="546" t="s">
        <v>548</v>
      </c>
      <c r="B125" s="547" t="s">
        <v>610</v>
      </c>
      <c r="C125" s="550" t="s">
        <v>558</v>
      </c>
      <c r="D125" s="588" t="s">
        <v>611</v>
      </c>
      <c r="E125" s="550" t="s">
        <v>1026</v>
      </c>
      <c r="F125" s="588" t="s">
        <v>1027</v>
      </c>
      <c r="G125" s="550" t="s">
        <v>947</v>
      </c>
      <c r="H125" s="550" t="s">
        <v>948</v>
      </c>
      <c r="I125" s="567">
        <v>56.87</v>
      </c>
      <c r="J125" s="567">
        <v>300</v>
      </c>
      <c r="K125" s="568">
        <v>17061</v>
      </c>
    </row>
    <row r="126" spans="1:11" ht="14.4" customHeight="1" x14ac:dyDescent="0.3">
      <c r="A126" s="546" t="s">
        <v>548</v>
      </c>
      <c r="B126" s="547" t="s">
        <v>610</v>
      </c>
      <c r="C126" s="550" t="s">
        <v>558</v>
      </c>
      <c r="D126" s="588" t="s">
        <v>611</v>
      </c>
      <c r="E126" s="550" t="s">
        <v>1026</v>
      </c>
      <c r="F126" s="588" t="s">
        <v>1027</v>
      </c>
      <c r="G126" s="550" t="s">
        <v>949</v>
      </c>
      <c r="H126" s="550" t="s">
        <v>950</v>
      </c>
      <c r="I126" s="567">
        <v>102.85</v>
      </c>
      <c r="J126" s="567">
        <v>1300</v>
      </c>
      <c r="K126" s="568">
        <v>133705</v>
      </c>
    </row>
    <row r="127" spans="1:11" ht="14.4" customHeight="1" x14ac:dyDescent="0.3">
      <c r="A127" s="546" t="s">
        <v>548</v>
      </c>
      <c r="B127" s="547" t="s">
        <v>610</v>
      </c>
      <c r="C127" s="550" t="s">
        <v>558</v>
      </c>
      <c r="D127" s="588" t="s">
        <v>611</v>
      </c>
      <c r="E127" s="550" t="s">
        <v>1026</v>
      </c>
      <c r="F127" s="588" t="s">
        <v>1027</v>
      </c>
      <c r="G127" s="550" t="s">
        <v>951</v>
      </c>
      <c r="H127" s="550" t="s">
        <v>952</v>
      </c>
      <c r="I127" s="567">
        <v>248.05</v>
      </c>
      <c r="J127" s="567">
        <v>1200</v>
      </c>
      <c r="K127" s="568">
        <v>297660</v>
      </c>
    </row>
    <row r="128" spans="1:11" ht="14.4" customHeight="1" x14ac:dyDescent="0.3">
      <c r="A128" s="546" t="s">
        <v>548</v>
      </c>
      <c r="B128" s="547" t="s">
        <v>610</v>
      </c>
      <c r="C128" s="550" t="s">
        <v>558</v>
      </c>
      <c r="D128" s="588" t="s">
        <v>611</v>
      </c>
      <c r="E128" s="550" t="s">
        <v>1026</v>
      </c>
      <c r="F128" s="588" t="s">
        <v>1027</v>
      </c>
      <c r="G128" s="550" t="s">
        <v>953</v>
      </c>
      <c r="H128" s="550" t="s">
        <v>954</v>
      </c>
      <c r="I128" s="567">
        <v>133.1</v>
      </c>
      <c r="J128" s="567">
        <v>1248</v>
      </c>
      <c r="K128" s="568">
        <v>166108.79999999999</v>
      </c>
    </row>
    <row r="129" spans="1:11" ht="14.4" customHeight="1" x14ac:dyDescent="0.3">
      <c r="A129" s="546" t="s">
        <v>548</v>
      </c>
      <c r="B129" s="547" t="s">
        <v>610</v>
      </c>
      <c r="C129" s="550" t="s">
        <v>558</v>
      </c>
      <c r="D129" s="588" t="s">
        <v>611</v>
      </c>
      <c r="E129" s="550" t="s">
        <v>1026</v>
      </c>
      <c r="F129" s="588" t="s">
        <v>1027</v>
      </c>
      <c r="G129" s="550" t="s">
        <v>955</v>
      </c>
      <c r="H129" s="550" t="s">
        <v>956</v>
      </c>
      <c r="I129" s="567">
        <v>217.8</v>
      </c>
      <c r="J129" s="567">
        <v>40</v>
      </c>
      <c r="K129" s="568">
        <v>8712</v>
      </c>
    </row>
    <row r="130" spans="1:11" ht="14.4" customHeight="1" x14ac:dyDescent="0.3">
      <c r="A130" s="546" t="s">
        <v>548</v>
      </c>
      <c r="B130" s="547" t="s">
        <v>610</v>
      </c>
      <c r="C130" s="550" t="s">
        <v>558</v>
      </c>
      <c r="D130" s="588" t="s">
        <v>611</v>
      </c>
      <c r="E130" s="550" t="s">
        <v>1026</v>
      </c>
      <c r="F130" s="588" t="s">
        <v>1027</v>
      </c>
      <c r="G130" s="550" t="s">
        <v>957</v>
      </c>
      <c r="H130" s="550" t="s">
        <v>958</v>
      </c>
      <c r="I130" s="567">
        <v>330.33</v>
      </c>
      <c r="J130" s="567">
        <v>45</v>
      </c>
      <c r="K130" s="568">
        <v>14864.849999999999</v>
      </c>
    </row>
    <row r="131" spans="1:11" ht="14.4" customHeight="1" x14ac:dyDescent="0.3">
      <c r="A131" s="546" t="s">
        <v>548</v>
      </c>
      <c r="B131" s="547" t="s">
        <v>610</v>
      </c>
      <c r="C131" s="550" t="s">
        <v>558</v>
      </c>
      <c r="D131" s="588" t="s">
        <v>611</v>
      </c>
      <c r="E131" s="550" t="s">
        <v>1026</v>
      </c>
      <c r="F131" s="588" t="s">
        <v>1027</v>
      </c>
      <c r="G131" s="550" t="s">
        <v>959</v>
      </c>
      <c r="H131" s="550" t="s">
        <v>960</v>
      </c>
      <c r="I131" s="567">
        <v>157.30000000000001</v>
      </c>
      <c r="J131" s="567">
        <v>36</v>
      </c>
      <c r="K131" s="568">
        <v>5662.8</v>
      </c>
    </row>
    <row r="132" spans="1:11" ht="14.4" customHeight="1" x14ac:dyDescent="0.3">
      <c r="A132" s="546" t="s">
        <v>548</v>
      </c>
      <c r="B132" s="547" t="s">
        <v>610</v>
      </c>
      <c r="C132" s="550" t="s">
        <v>558</v>
      </c>
      <c r="D132" s="588" t="s">
        <v>611</v>
      </c>
      <c r="E132" s="550" t="s">
        <v>1028</v>
      </c>
      <c r="F132" s="588" t="s">
        <v>1029</v>
      </c>
      <c r="G132" s="550" t="s">
        <v>961</v>
      </c>
      <c r="H132" s="550" t="s">
        <v>962</v>
      </c>
      <c r="I132" s="567">
        <v>0.3</v>
      </c>
      <c r="J132" s="567">
        <v>100</v>
      </c>
      <c r="K132" s="568">
        <v>30</v>
      </c>
    </row>
    <row r="133" spans="1:11" ht="14.4" customHeight="1" x14ac:dyDescent="0.3">
      <c r="A133" s="546" t="s">
        <v>548</v>
      </c>
      <c r="B133" s="547" t="s">
        <v>610</v>
      </c>
      <c r="C133" s="550" t="s">
        <v>558</v>
      </c>
      <c r="D133" s="588" t="s">
        <v>611</v>
      </c>
      <c r="E133" s="550" t="s">
        <v>1028</v>
      </c>
      <c r="F133" s="588" t="s">
        <v>1029</v>
      </c>
      <c r="G133" s="550" t="s">
        <v>963</v>
      </c>
      <c r="H133" s="550" t="s">
        <v>964</v>
      </c>
      <c r="I133" s="567">
        <v>1.8033333333333335</v>
      </c>
      <c r="J133" s="567">
        <v>4800</v>
      </c>
      <c r="K133" s="568">
        <v>8664</v>
      </c>
    </row>
    <row r="134" spans="1:11" ht="14.4" customHeight="1" x14ac:dyDescent="0.3">
      <c r="A134" s="546" t="s">
        <v>548</v>
      </c>
      <c r="B134" s="547" t="s">
        <v>610</v>
      </c>
      <c r="C134" s="550" t="s">
        <v>558</v>
      </c>
      <c r="D134" s="588" t="s">
        <v>611</v>
      </c>
      <c r="E134" s="550" t="s">
        <v>1022</v>
      </c>
      <c r="F134" s="588" t="s">
        <v>1023</v>
      </c>
      <c r="G134" s="550" t="s">
        <v>733</v>
      </c>
      <c r="H134" s="550" t="s">
        <v>734</v>
      </c>
      <c r="I134" s="567">
        <v>0.69</v>
      </c>
      <c r="J134" s="567">
        <v>30000</v>
      </c>
      <c r="K134" s="568">
        <v>20700</v>
      </c>
    </row>
    <row r="135" spans="1:11" ht="14.4" customHeight="1" x14ac:dyDescent="0.3">
      <c r="A135" s="546" t="s">
        <v>548</v>
      </c>
      <c r="B135" s="547" t="s">
        <v>610</v>
      </c>
      <c r="C135" s="550" t="s">
        <v>558</v>
      </c>
      <c r="D135" s="588" t="s">
        <v>611</v>
      </c>
      <c r="E135" s="550" t="s">
        <v>1022</v>
      </c>
      <c r="F135" s="588" t="s">
        <v>1023</v>
      </c>
      <c r="G135" s="550" t="s">
        <v>735</v>
      </c>
      <c r="H135" s="550" t="s">
        <v>736</v>
      </c>
      <c r="I135" s="567">
        <v>0.69</v>
      </c>
      <c r="J135" s="567">
        <v>2000</v>
      </c>
      <c r="K135" s="568">
        <v>1380</v>
      </c>
    </row>
    <row r="136" spans="1:11" ht="14.4" customHeight="1" x14ac:dyDescent="0.3">
      <c r="A136" s="546" t="s">
        <v>548</v>
      </c>
      <c r="B136" s="547" t="s">
        <v>610</v>
      </c>
      <c r="C136" s="550" t="s">
        <v>558</v>
      </c>
      <c r="D136" s="588" t="s">
        <v>611</v>
      </c>
      <c r="E136" s="550" t="s">
        <v>1022</v>
      </c>
      <c r="F136" s="588" t="s">
        <v>1023</v>
      </c>
      <c r="G136" s="550" t="s">
        <v>965</v>
      </c>
      <c r="H136" s="550" t="s">
        <v>966</v>
      </c>
      <c r="I136" s="567">
        <v>0.69</v>
      </c>
      <c r="J136" s="567">
        <v>2600</v>
      </c>
      <c r="K136" s="568">
        <v>1794</v>
      </c>
    </row>
    <row r="137" spans="1:11" ht="14.4" customHeight="1" x14ac:dyDescent="0.3">
      <c r="A137" s="546" t="s">
        <v>548</v>
      </c>
      <c r="B137" s="547" t="s">
        <v>610</v>
      </c>
      <c r="C137" s="550" t="s">
        <v>558</v>
      </c>
      <c r="D137" s="588" t="s">
        <v>611</v>
      </c>
      <c r="E137" s="550" t="s">
        <v>1024</v>
      </c>
      <c r="F137" s="588" t="s">
        <v>1025</v>
      </c>
      <c r="G137" s="550" t="s">
        <v>967</v>
      </c>
      <c r="H137" s="550" t="s">
        <v>968</v>
      </c>
      <c r="I137" s="567">
        <v>12.3</v>
      </c>
      <c r="J137" s="567">
        <v>40</v>
      </c>
      <c r="K137" s="568">
        <v>492</v>
      </c>
    </row>
    <row r="138" spans="1:11" ht="14.4" customHeight="1" x14ac:dyDescent="0.3">
      <c r="A138" s="546" t="s">
        <v>548</v>
      </c>
      <c r="B138" s="547" t="s">
        <v>610</v>
      </c>
      <c r="C138" s="550" t="s">
        <v>558</v>
      </c>
      <c r="D138" s="588" t="s">
        <v>611</v>
      </c>
      <c r="E138" s="550" t="s">
        <v>1024</v>
      </c>
      <c r="F138" s="588" t="s">
        <v>1025</v>
      </c>
      <c r="G138" s="550" t="s">
        <v>737</v>
      </c>
      <c r="H138" s="550" t="s">
        <v>738</v>
      </c>
      <c r="I138" s="567">
        <v>51425</v>
      </c>
      <c r="J138" s="567">
        <v>1</v>
      </c>
      <c r="K138" s="568">
        <v>51425</v>
      </c>
    </row>
    <row r="139" spans="1:11" ht="14.4" customHeight="1" x14ac:dyDescent="0.3">
      <c r="A139" s="546" t="s">
        <v>548</v>
      </c>
      <c r="B139" s="547" t="s">
        <v>610</v>
      </c>
      <c r="C139" s="550" t="s">
        <v>558</v>
      </c>
      <c r="D139" s="588" t="s">
        <v>611</v>
      </c>
      <c r="E139" s="550" t="s">
        <v>1024</v>
      </c>
      <c r="F139" s="588" t="s">
        <v>1025</v>
      </c>
      <c r="G139" s="550" t="s">
        <v>969</v>
      </c>
      <c r="H139" s="550" t="s">
        <v>970</v>
      </c>
      <c r="I139" s="567">
        <v>1988.03</v>
      </c>
      <c r="J139" s="567">
        <v>3</v>
      </c>
      <c r="K139" s="568">
        <v>5964.09</v>
      </c>
    </row>
    <row r="140" spans="1:11" ht="14.4" customHeight="1" x14ac:dyDescent="0.3">
      <c r="A140" s="546" t="s">
        <v>548</v>
      </c>
      <c r="B140" s="547" t="s">
        <v>610</v>
      </c>
      <c r="C140" s="550" t="s">
        <v>558</v>
      </c>
      <c r="D140" s="588" t="s">
        <v>611</v>
      </c>
      <c r="E140" s="550" t="s">
        <v>1024</v>
      </c>
      <c r="F140" s="588" t="s">
        <v>1025</v>
      </c>
      <c r="G140" s="550" t="s">
        <v>971</v>
      </c>
      <c r="H140" s="550" t="s">
        <v>972</v>
      </c>
      <c r="I140" s="567">
        <v>4247.1000000000004</v>
      </c>
      <c r="J140" s="567">
        <v>1</v>
      </c>
      <c r="K140" s="568">
        <v>4247.1000000000004</v>
      </c>
    </row>
    <row r="141" spans="1:11" ht="14.4" customHeight="1" x14ac:dyDescent="0.3">
      <c r="A141" s="546" t="s">
        <v>548</v>
      </c>
      <c r="B141" s="547" t="s">
        <v>610</v>
      </c>
      <c r="C141" s="550" t="s">
        <v>558</v>
      </c>
      <c r="D141" s="588" t="s">
        <v>611</v>
      </c>
      <c r="E141" s="550" t="s">
        <v>1024</v>
      </c>
      <c r="F141" s="588" t="s">
        <v>1025</v>
      </c>
      <c r="G141" s="550" t="s">
        <v>739</v>
      </c>
      <c r="H141" s="550" t="s">
        <v>740</v>
      </c>
      <c r="I141" s="567">
        <v>37824.6</v>
      </c>
      <c r="J141" s="567">
        <v>1</v>
      </c>
      <c r="K141" s="568">
        <v>37824.6</v>
      </c>
    </row>
    <row r="142" spans="1:11" ht="14.4" customHeight="1" x14ac:dyDescent="0.3">
      <c r="A142" s="546" t="s">
        <v>548</v>
      </c>
      <c r="B142" s="547" t="s">
        <v>610</v>
      </c>
      <c r="C142" s="550" t="s">
        <v>558</v>
      </c>
      <c r="D142" s="588" t="s">
        <v>611</v>
      </c>
      <c r="E142" s="550" t="s">
        <v>1024</v>
      </c>
      <c r="F142" s="588" t="s">
        <v>1025</v>
      </c>
      <c r="G142" s="550" t="s">
        <v>973</v>
      </c>
      <c r="H142" s="550" t="s">
        <v>974</v>
      </c>
      <c r="I142" s="567">
        <v>10.89</v>
      </c>
      <c r="J142" s="567">
        <v>150</v>
      </c>
      <c r="K142" s="568">
        <v>1633.66</v>
      </c>
    </row>
    <row r="143" spans="1:11" ht="14.4" customHeight="1" x14ac:dyDescent="0.3">
      <c r="A143" s="546" t="s">
        <v>548</v>
      </c>
      <c r="B143" s="547" t="s">
        <v>610</v>
      </c>
      <c r="C143" s="550" t="s">
        <v>558</v>
      </c>
      <c r="D143" s="588" t="s">
        <v>611</v>
      </c>
      <c r="E143" s="550" t="s">
        <v>1024</v>
      </c>
      <c r="F143" s="588" t="s">
        <v>1025</v>
      </c>
      <c r="G143" s="550" t="s">
        <v>975</v>
      </c>
      <c r="H143" s="550" t="s">
        <v>976</v>
      </c>
      <c r="I143" s="567">
        <v>9.08</v>
      </c>
      <c r="J143" s="567">
        <v>400</v>
      </c>
      <c r="K143" s="568">
        <v>3630.34</v>
      </c>
    </row>
    <row r="144" spans="1:11" ht="14.4" customHeight="1" x14ac:dyDescent="0.3">
      <c r="A144" s="546" t="s">
        <v>548</v>
      </c>
      <c r="B144" s="547" t="s">
        <v>610</v>
      </c>
      <c r="C144" s="550" t="s">
        <v>558</v>
      </c>
      <c r="D144" s="588" t="s">
        <v>611</v>
      </c>
      <c r="E144" s="550" t="s">
        <v>1024</v>
      </c>
      <c r="F144" s="588" t="s">
        <v>1025</v>
      </c>
      <c r="G144" s="550" t="s">
        <v>741</v>
      </c>
      <c r="H144" s="550" t="s">
        <v>742</v>
      </c>
      <c r="I144" s="567">
        <v>9952.25</v>
      </c>
      <c r="J144" s="567">
        <v>8</v>
      </c>
      <c r="K144" s="568">
        <v>79618</v>
      </c>
    </row>
    <row r="145" spans="1:11" ht="14.4" customHeight="1" x14ac:dyDescent="0.3">
      <c r="A145" s="546" t="s">
        <v>548</v>
      </c>
      <c r="B145" s="547" t="s">
        <v>610</v>
      </c>
      <c r="C145" s="550" t="s">
        <v>558</v>
      </c>
      <c r="D145" s="588" t="s">
        <v>611</v>
      </c>
      <c r="E145" s="550" t="s">
        <v>1024</v>
      </c>
      <c r="F145" s="588" t="s">
        <v>1025</v>
      </c>
      <c r="G145" s="550" t="s">
        <v>977</v>
      </c>
      <c r="H145" s="550" t="s">
        <v>978</v>
      </c>
      <c r="I145" s="567">
        <v>5754.76</v>
      </c>
      <c r="J145" s="567">
        <v>1</v>
      </c>
      <c r="K145" s="568">
        <v>5754.76</v>
      </c>
    </row>
    <row r="146" spans="1:11" ht="14.4" customHeight="1" x14ac:dyDescent="0.3">
      <c r="A146" s="546" t="s">
        <v>548</v>
      </c>
      <c r="B146" s="547" t="s">
        <v>610</v>
      </c>
      <c r="C146" s="550" t="s">
        <v>558</v>
      </c>
      <c r="D146" s="588" t="s">
        <v>611</v>
      </c>
      <c r="E146" s="550" t="s">
        <v>1024</v>
      </c>
      <c r="F146" s="588" t="s">
        <v>1025</v>
      </c>
      <c r="G146" s="550" t="s">
        <v>743</v>
      </c>
      <c r="H146" s="550" t="s">
        <v>744</v>
      </c>
      <c r="I146" s="567">
        <v>1161.5999999999999</v>
      </c>
      <c r="J146" s="567">
        <v>15</v>
      </c>
      <c r="K146" s="568">
        <v>17424</v>
      </c>
    </row>
    <row r="147" spans="1:11" ht="14.4" customHeight="1" x14ac:dyDescent="0.3">
      <c r="A147" s="546" t="s">
        <v>548</v>
      </c>
      <c r="B147" s="547" t="s">
        <v>610</v>
      </c>
      <c r="C147" s="550" t="s">
        <v>558</v>
      </c>
      <c r="D147" s="588" t="s">
        <v>611</v>
      </c>
      <c r="E147" s="550" t="s">
        <v>1024</v>
      </c>
      <c r="F147" s="588" t="s">
        <v>1025</v>
      </c>
      <c r="G147" s="550" t="s">
        <v>979</v>
      </c>
      <c r="H147" s="550" t="s">
        <v>980</v>
      </c>
      <c r="I147" s="567">
        <v>4904.13</v>
      </c>
      <c r="J147" s="567">
        <v>1</v>
      </c>
      <c r="K147" s="568">
        <v>4904.13</v>
      </c>
    </row>
    <row r="148" spans="1:11" ht="14.4" customHeight="1" x14ac:dyDescent="0.3">
      <c r="A148" s="546" t="s">
        <v>548</v>
      </c>
      <c r="B148" s="547" t="s">
        <v>610</v>
      </c>
      <c r="C148" s="550" t="s">
        <v>558</v>
      </c>
      <c r="D148" s="588" t="s">
        <v>611</v>
      </c>
      <c r="E148" s="550" t="s">
        <v>1024</v>
      </c>
      <c r="F148" s="588" t="s">
        <v>1025</v>
      </c>
      <c r="G148" s="550" t="s">
        <v>981</v>
      </c>
      <c r="H148" s="550" t="s">
        <v>982</v>
      </c>
      <c r="I148" s="567">
        <v>1724.25</v>
      </c>
      <c r="J148" s="567">
        <v>10</v>
      </c>
      <c r="K148" s="568">
        <v>17242.5</v>
      </c>
    </row>
    <row r="149" spans="1:11" ht="14.4" customHeight="1" x14ac:dyDescent="0.3">
      <c r="A149" s="546" t="s">
        <v>548</v>
      </c>
      <c r="B149" s="547" t="s">
        <v>610</v>
      </c>
      <c r="C149" s="550" t="s">
        <v>558</v>
      </c>
      <c r="D149" s="588" t="s">
        <v>611</v>
      </c>
      <c r="E149" s="550" t="s">
        <v>1024</v>
      </c>
      <c r="F149" s="588" t="s">
        <v>1025</v>
      </c>
      <c r="G149" s="550" t="s">
        <v>779</v>
      </c>
      <c r="H149" s="550" t="s">
        <v>780</v>
      </c>
      <c r="I149" s="567">
        <v>2288.96</v>
      </c>
      <c r="J149" s="567">
        <v>2</v>
      </c>
      <c r="K149" s="568">
        <v>4577.92</v>
      </c>
    </row>
    <row r="150" spans="1:11" ht="14.4" customHeight="1" x14ac:dyDescent="0.3">
      <c r="A150" s="546" t="s">
        <v>548</v>
      </c>
      <c r="B150" s="547" t="s">
        <v>610</v>
      </c>
      <c r="C150" s="550" t="s">
        <v>558</v>
      </c>
      <c r="D150" s="588" t="s">
        <v>611</v>
      </c>
      <c r="E150" s="550" t="s">
        <v>1024</v>
      </c>
      <c r="F150" s="588" t="s">
        <v>1025</v>
      </c>
      <c r="G150" s="550" t="s">
        <v>781</v>
      </c>
      <c r="H150" s="550" t="s">
        <v>782</v>
      </c>
      <c r="I150" s="567">
        <v>472.75</v>
      </c>
      <c r="J150" s="567">
        <v>4</v>
      </c>
      <c r="K150" s="568">
        <v>1890.99</v>
      </c>
    </row>
    <row r="151" spans="1:11" ht="14.4" customHeight="1" x14ac:dyDescent="0.3">
      <c r="A151" s="546" t="s">
        <v>548</v>
      </c>
      <c r="B151" s="547" t="s">
        <v>610</v>
      </c>
      <c r="C151" s="550" t="s">
        <v>558</v>
      </c>
      <c r="D151" s="588" t="s">
        <v>611</v>
      </c>
      <c r="E151" s="550" t="s">
        <v>1024</v>
      </c>
      <c r="F151" s="588" t="s">
        <v>1025</v>
      </c>
      <c r="G151" s="550" t="s">
        <v>983</v>
      </c>
      <c r="H151" s="550" t="s">
        <v>984</v>
      </c>
      <c r="I151" s="567">
        <v>4719</v>
      </c>
      <c r="J151" s="567">
        <v>3</v>
      </c>
      <c r="K151" s="568">
        <v>14157</v>
      </c>
    </row>
    <row r="152" spans="1:11" ht="14.4" customHeight="1" x14ac:dyDescent="0.3">
      <c r="A152" s="546" t="s">
        <v>548</v>
      </c>
      <c r="B152" s="547" t="s">
        <v>610</v>
      </c>
      <c r="C152" s="550" t="s">
        <v>558</v>
      </c>
      <c r="D152" s="588" t="s">
        <v>611</v>
      </c>
      <c r="E152" s="550" t="s">
        <v>1024</v>
      </c>
      <c r="F152" s="588" t="s">
        <v>1025</v>
      </c>
      <c r="G152" s="550" t="s">
        <v>985</v>
      </c>
      <c r="H152" s="550" t="s">
        <v>986</v>
      </c>
      <c r="I152" s="567">
        <v>6823.8</v>
      </c>
      <c r="J152" s="567">
        <v>4</v>
      </c>
      <c r="K152" s="568">
        <v>27295.18</v>
      </c>
    </row>
    <row r="153" spans="1:11" ht="14.4" customHeight="1" x14ac:dyDescent="0.3">
      <c r="A153" s="546" t="s">
        <v>548</v>
      </c>
      <c r="B153" s="547" t="s">
        <v>610</v>
      </c>
      <c r="C153" s="550" t="s">
        <v>558</v>
      </c>
      <c r="D153" s="588" t="s">
        <v>611</v>
      </c>
      <c r="E153" s="550" t="s">
        <v>1024</v>
      </c>
      <c r="F153" s="588" t="s">
        <v>1025</v>
      </c>
      <c r="G153" s="550" t="s">
        <v>783</v>
      </c>
      <c r="H153" s="550" t="s">
        <v>784</v>
      </c>
      <c r="I153" s="567">
        <v>3579.61</v>
      </c>
      <c r="J153" s="567">
        <v>6</v>
      </c>
      <c r="K153" s="568">
        <v>21477.64</v>
      </c>
    </row>
    <row r="154" spans="1:11" ht="14.4" customHeight="1" x14ac:dyDescent="0.3">
      <c r="A154" s="546" t="s">
        <v>548</v>
      </c>
      <c r="B154" s="547" t="s">
        <v>610</v>
      </c>
      <c r="C154" s="550" t="s">
        <v>558</v>
      </c>
      <c r="D154" s="588" t="s">
        <v>611</v>
      </c>
      <c r="E154" s="550" t="s">
        <v>1024</v>
      </c>
      <c r="F154" s="588" t="s">
        <v>1025</v>
      </c>
      <c r="G154" s="550" t="s">
        <v>789</v>
      </c>
      <c r="H154" s="550" t="s">
        <v>790</v>
      </c>
      <c r="I154" s="567">
        <v>1181.8599999999999</v>
      </c>
      <c r="J154" s="567">
        <v>21</v>
      </c>
      <c r="K154" s="568">
        <v>24818.959999999999</v>
      </c>
    </row>
    <row r="155" spans="1:11" ht="14.4" customHeight="1" x14ac:dyDescent="0.3">
      <c r="A155" s="546" t="s">
        <v>548</v>
      </c>
      <c r="B155" s="547" t="s">
        <v>610</v>
      </c>
      <c r="C155" s="550" t="s">
        <v>558</v>
      </c>
      <c r="D155" s="588" t="s">
        <v>611</v>
      </c>
      <c r="E155" s="550" t="s">
        <v>1024</v>
      </c>
      <c r="F155" s="588" t="s">
        <v>1025</v>
      </c>
      <c r="G155" s="550" t="s">
        <v>791</v>
      </c>
      <c r="H155" s="550" t="s">
        <v>792</v>
      </c>
      <c r="I155" s="567">
        <v>2288.96</v>
      </c>
      <c r="J155" s="567">
        <v>2</v>
      </c>
      <c r="K155" s="568">
        <v>4577.92</v>
      </c>
    </row>
    <row r="156" spans="1:11" ht="14.4" customHeight="1" x14ac:dyDescent="0.3">
      <c r="A156" s="546" t="s">
        <v>548</v>
      </c>
      <c r="B156" s="547" t="s">
        <v>610</v>
      </c>
      <c r="C156" s="550" t="s">
        <v>558</v>
      </c>
      <c r="D156" s="588" t="s">
        <v>611</v>
      </c>
      <c r="E156" s="550" t="s">
        <v>1024</v>
      </c>
      <c r="F156" s="588" t="s">
        <v>1025</v>
      </c>
      <c r="G156" s="550" t="s">
        <v>987</v>
      </c>
      <c r="H156" s="550" t="s">
        <v>988</v>
      </c>
      <c r="I156" s="567">
        <v>0.48</v>
      </c>
      <c r="J156" s="567">
        <v>3000</v>
      </c>
      <c r="K156" s="568">
        <v>1427</v>
      </c>
    </row>
    <row r="157" spans="1:11" ht="14.4" customHeight="1" x14ac:dyDescent="0.3">
      <c r="A157" s="546" t="s">
        <v>548</v>
      </c>
      <c r="B157" s="547" t="s">
        <v>610</v>
      </c>
      <c r="C157" s="550" t="s">
        <v>558</v>
      </c>
      <c r="D157" s="588" t="s">
        <v>611</v>
      </c>
      <c r="E157" s="550" t="s">
        <v>1024</v>
      </c>
      <c r="F157" s="588" t="s">
        <v>1025</v>
      </c>
      <c r="G157" s="550" t="s">
        <v>795</v>
      </c>
      <c r="H157" s="550" t="s">
        <v>796</v>
      </c>
      <c r="I157" s="567">
        <v>1202.44</v>
      </c>
      <c r="J157" s="567">
        <v>21</v>
      </c>
      <c r="K157" s="568">
        <v>25251.24</v>
      </c>
    </row>
    <row r="158" spans="1:11" ht="14.4" customHeight="1" x14ac:dyDescent="0.3">
      <c r="A158" s="546" t="s">
        <v>548</v>
      </c>
      <c r="B158" s="547" t="s">
        <v>610</v>
      </c>
      <c r="C158" s="550" t="s">
        <v>558</v>
      </c>
      <c r="D158" s="588" t="s">
        <v>611</v>
      </c>
      <c r="E158" s="550" t="s">
        <v>1024</v>
      </c>
      <c r="F158" s="588" t="s">
        <v>1025</v>
      </c>
      <c r="G158" s="550" t="s">
        <v>989</v>
      </c>
      <c r="H158" s="550" t="s">
        <v>990</v>
      </c>
      <c r="I158" s="567">
        <v>934.65666666666675</v>
      </c>
      <c r="J158" s="567">
        <v>14</v>
      </c>
      <c r="K158" s="568">
        <v>14763.79</v>
      </c>
    </row>
    <row r="159" spans="1:11" ht="14.4" customHeight="1" x14ac:dyDescent="0.3">
      <c r="A159" s="546" t="s">
        <v>548</v>
      </c>
      <c r="B159" s="547" t="s">
        <v>610</v>
      </c>
      <c r="C159" s="550" t="s">
        <v>558</v>
      </c>
      <c r="D159" s="588" t="s">
        <v>611</v>
      </c>
      <c r="E159" s="550" t="s">
        <v>1024</v>
      </c>
      <c r="F159" s="588" t="s">
        <v>1025</v>
      </c>
      <c r="G159" s="550" t="s">
        <v>991</v>
      </c>
      <c r="H159" s="550" t="s">
        <v>992</v>
      </c>
      <c r="I159" s="567">
        <v>344.08</v>
      </c>
      <c r="J159" s="567">
        <v>24</v>
      </c>
      <c r="K159" s="568">
        <v>8257.92</v>
      </c>
    </row>
    <row r="160" spans="1:11" ht="14.4" customHeight="1" x14ac:dyDescent="0.3">
      <c r="A160" s="546" t="s">
        <v>548</v>
      </c>
      <c r="B160" s="547" t="s">
        <v>610</v>
      </c>
      <c r="C160" s="550" t="s">
        <v>558</v>
      </c>
      <c r="D160" s="588" t="s">
        <v>611</v>
      </c>
      <c r="E160" s="550" t="s">
        <v>1024</v>
      </c>
      <c r="F160" s="588" t="s">
        <v>1025</v>
      </c>
      <c r="G160" s="550" t="s">
        <v>993</v>
      </c>
      <c r="H160" s="550" t="s">
        <v>994</v>
      </c>
      <c r="I160" s="567">
        <v>4643.9799999999996</v>
      </c>
      <c r="J160" s="567">
        <v>1</v>
      </c>
      <c r="K160" s="568">
        <v>4643.9799999999996</v>
      </c>
    </row>
    <row r="161" spans="1:11" ht="14.4" customHeight="1" x14ac:dyDescent="0.3">
      <c r="A161" s="546" t="s">
        <v>548</v>
      </c>
      <c r="B161" s="547" t="s">
        <v>610</v>
      </c>
      <c r="C161" s="550" t="s">
        <v>558</v>
      </c>
      <c r="D161" s="588" t="s">
        <v>611</v>
      </c>
      <c r="E161" s="550" t="s">
        <v>1024</v>
      </c>
      <c r="F161" s="588" t="s">
        <v>1025</v>
      </c>
      <c r="G161" s="550" t="s">
        <v>995</v>
      </c>
      <c r="H161" s="550" t="s">
        <v>996</v>
      </c>
      <c r="I161" s="567">
        <v>7659.3</v>
      </c>
      <c r="J161" s="567">
        <v>1</v>
      </c>
      <c r="K161" s="568">
        <v>7659.3</v>
      </c>
    </row>
    <row r="162" spans="1:11" ht="14.4" customHeight="1" x14ac:dyDescent="0.3">
      <c r="A162" s="546" t="s">
        <v>548</v>
      </c>
      <c r="B162" s="547" t="s">
        <v>610</v>
      </c>
      <c r="C162" s="550" t="s">
        <v>558</v>
      </c>
      <c r="D162" s="588" t="s">
        <v>611</v>
      </c>
      <c r="E162" s="550" t="s">
        <v>1024</v>
      </c>
      <c r="F162" s="588" t="s">
        <v>1025</v>
      </c>
      <c r="G162" s="550" t="s">
        <v>997</v>
      </c>
      <c r="H162" s="550" t="s">
        <v>998</v>
      </c>
      <c r="I162" s="567">
        <v>23159.4</v>
      </c>
      <c r="J162" s="567">
        <v>7</v>
      </c>
      <c r="K162" s="568">
        <v>162115.79999999999</v>
      </c>
    </row>
    <row r="163" spans="1:11" ht="14.4" customHeight="1" x14ac:dyDescent="0.3">
      <c r="A163" s="546" t="s">
        <v>548</v>
      </c>
      <c r="B163" s="547" t="s">
        <v>610</v>
      </c>
      <c r="C163" s="550" t="s">
        <v>558</v>
      </c>
      <c r="D163" s="588" t="s">
        <v>611</v>
      </c>
      <c r="E163" s="550" t="s">
        <v>1024</v>
      </c>
      <c r="F163" s="588" t="s">
        <v>1025</v>
      </c>
      <c r="G163" s="550" t="s">
        <v>809</v>
      </c>
      <c r="H163" s="550" t="s">
        <v>810</v>
      </c>
      <c r="I163" s="567">
        <v>1254.53</v>
      </c>
      <c r="J163" s="567">
        <v>4</v>
      </c>
      <c r="K163" s="568">
        <v>5018.1099999999997</v>
      </c>
    </row>
    <row r="164" spans="1:11" ht="14.4" customHeight="1" x14ac:dyDescent="0.3">
      <c r="A164" s="546" t="s">
        <v>548</v>
      </c>
      <c r="B164" s="547" t="s">
        <v>610</v>
      </c>
      <c r="C164" s="550" t="s">
        <v>558</v>
      </c>
      <c r="D164" s="588" t="s">
        <v>611</v>
      </c>
      <c r="E164" s="550" t="s">
        <v>1024</v>
      </c>
      <c r="F164" s="588" t="s">
        <v>1025</v>
      </c>
      <c r="G164" s="550" t="s">
        <v>999</v>
      </c>
      <c r="H164" s="550" t="s">
        <v>1000</v>
      </c>
      <c r="I164" s="567">
        <v>157300</v>
      </c>
      <c r="J164" s="567">
        <v>3</v>
      </c>
      <c r="K164" s="568">
        <v>471900</v>
      </c>
    </row>
    <row r="165" spans="1:11" ht="14.4" customHeight="1" x14ac:dyDescent="0.3">
      <c r="A165" s="546" t="s">
        <v>548</v>
      </c>
      <c r="B165" s="547" t="s">
        <v>610</v>
      </c>
      <c r="C165" s="550" t="s">
        <v>558</v>
      </c>
      <c r="D165" s="588" t="s">
        <v>611</v>
      </c>
      <c r="E165" s="550" t="s">
        <v>1024</v>
      </c>
      <c r="F165" s="588" t="s">
        <v>1025</v>
      </c>
      <c r="G165" s="550" t="s">
        <v>833</v>
      </c>
      <c r="H165" s="550" t="s">
        <v>834</v>
      </c>
      <c r="I165" s="567">
        <v>126428.82</v>
      </c>
      <c r="J165" s="567">
        <v>1</v>
      </c>
      <c r="K165" s="568">
        <v>126428.82</v>
      </c>
    </row>
    <row r="166" spans="1:11" ht="14.4" customHeight="1" x14ac:dyDescent="0.3">
      <c r="A166" s="546" t="s">
        <v>548</v>
      </c>
      <c r="B166" s="547" t="s">
        <v>610</v>
      </c>
      <c r="C166" s="550" t="s">
        <v>558</v>
      </c>
      <c r="D166" s="588" t="s">
        <v>611</v>
      </c>
      <c r="E166" s="550" t="s">
        <v>1024</v>
      </c>
      <c r="F166" s="588" t="s">
        <v>1025</v>
      </c>
      <c r="G166" s="550" t="s">
        <v>1001</v>
      </c>
      <c r="H166" s="550" t="s">
        <v>1002</v>
      </c>
      <c r="I166" s="567">
        <v>4278.5600000000004</v>
      </c>
      <c r="J166" s="567">
        <v>1</v>
      </c>
      <c r="K166" s="568">
        <v>4278.5600000000004</v>
      </c>
    </row>
    <row r="167" spans="1:11" ht="14.4" customHeight="1" x14ac:dyDescent="0.3">
      <c r="A167" s="546" t="s">
        <v>548</v>
      </c>
      <c r="B167" s="547" t="s">
        <v>610</v>
      </c>
      <c r="C167" s="550" t="s">
        <v>558</v>
      </c>
      <c r="D167" s="588" t="s">
        <v>611</v>
      </c>
      <c r="E167" s="550" t="s">
        <v>1024</v>
      </c>
      <c r="F167" s="588" t="s">
        <v>1025</v>
      </c>
      <c r="G167" s="550" t="s">
        <v>1003</v>
      </c>
      <c r="H167" s="550" t="s">
        <v>1004</v>
      </c>
      <c r="I167" s="567">
        <v>251.3173649161547</v>
      </c>
      <c r="J167" s="567">
        <v>1</v>
      </c>
      <c r="K167" s="568">
        <v>251.3173649161547</v>
      </c>
    </row>
    <row r="168" spans="1:11" ht="14.4" customHeight="1" x14ac:dyDescent="0.3">
      <c r="A168" s="546" t="s">
        <v>548</v>
      </c>
      <c r="B168" s="547" t="s">
        <v>610</v>
      </c>
      <c r="C168" s="550" t="s">
        <v>558</v>
      </c>
      <c r="D168" s="588" t="s">
        <v>611</v>
      </c>
      <c r="E168" s="550" t="s">
        <v>1024</v>
      </c>
      <c r="F168" s="588" t="s">
        <v>1025</v>
      </c>
      <c r="G168" s="550" t="s">
        <v>849</v>
      </c>
      <c r="H168" s="550" t="s">
        <v>850</v>
      </c>
      <c r="I168" s="567">
        <v>343.85</v>
      </c>
      <c r="J168" s="567">
        <v>5</v>
      </c>
      <c r="K168" s="568">
        <v>1719.25</v>
      </c>
    </row>
    <row r="169" spans="1:11" ht="14.4" customHeight="1" x14ac:dyDescent="0.3">
      <c r="A169" s="546" t="s">
        <v>548</v>
      </c>
      <c r="B169" s="547" t="s">
        <v>610</v>
      </c>
      <c r="C169" s="550" t="s">
        <v>558</v>
      </c>
      <c r="D169" s="588" t="s">
        <v>611</v>
      </c>
      <c r="E169" s="550" t="s">
        <v>1024</v>
      </c>
      <c r="F169" s="588" t="s">
        <v>1025</v>
      </c>
      <c r="G169" s="550" t="s">
        <v>1005</v>
      </c>
      <c r="H169" s="550" t="s">
        <v>1006</v>
      </c>
      <c r="I169" s="567">
        <v>3712.28</v>
      </c>
      <c r="J169" s="567">
        <v>1</v>
      </c>
      <c r="K169" s="568">
        <v>3712.28</v>
      </c>
    </row>
    <row r="170" spans="1:11" ht="14.4" customHeight="1" x14ac:dyDescent="0.3">
      <c r="A170" s="546" t="s">
        <v>548</v>
      </c>
      <c r="B170" s="547" t="s">
        <v>610</v>
      </c>
      <c r="C170" s="550" t="s">
        <v>558</v>
      </c>
      <c r="D170" s="588" t="s">
        <v>611</v>
      </c>
      <c r="E170" s="550" t="s">
        <v>1024</v>
      </c>
      <c r="F170" s="588" t="s">
        <v>1025</v>
      </c>
      <c r="G170" s="550" t="s">
        <v>1007</v>
      </c>
      <c r="H170" s="550" t="s">
        <v>1008</v>
      </c>
      <c r="I170" s="567">
        <v>2994.75</v>
      </c>
      <c r="J170" s="567">
        <v>2</v>
      </c>
      <c r="K170" s="568">
        <v>5989.5</v>
      </c>
    </row>
    <row r="171" spans="1:11" ht="14.4" customHeight="1" x14ac:dyDescent="0.3">
      <c r="A171" s="546" t="s">
        <v>548</v>
      </c>
      <c r="B171" s="547" t="s">
        <v>610</v>
      </c>
      <c r="C171" s="550" t="s">
        <v>558</v>
      </c>
      <c r="D171" s="588" t="s">
        <v>611</v>
      </c>
      <c r="E171" s="550" t="s">
        <v>1024</v>
      </c>
      <c r="F171" s="588" t="s">
        <v>1025</v>
      </c>
      <c r="G171" s="550" t="s">
        <v>1009</v>
      </c>
      <c r="H171" s="550" t="s">
        <v>1010</v>
      </c>
      <c r="I171" s="567">
        <v>2227.61</v>
      </c>
      <c r="J171" s="567">
        <v>1</v>
      </c>
      <c r="K171" s="568">
        <v>2227.61</v>
      </c>
    </row>
    <row r="172" spans="1:11" ht="14.4" customHeight="1" x14ac:dyDescent="0.3">
      <c r="A172" s="546" t="s">
        <v>548</v>
      </c>
      <c r="B172" s="547" t="s">
        <v>610</v>
      </c>
      <c r="C172" s="550" t="s">
        <v>558</v>
      </c>
      <c r="D172" s="588" t="s">
        <v>611</v>
      </c>
      <c r="E172" s="550" t="s">
        <v>1024</v>
      </c>
      <c r="F172" s="588" t="s">
        <v>1025</v>
      </c>
      <c r="G172" s="550" t="s">
        <v>1011</v>
      </c>
      <c r="H172" s="550" t="s">
        <v>1012</v>
      </c>
      <c r="I172" s="567">
        <v>3285.15</v>
      </c>
      <c r="J172" s="567">
        <v>1</v>
      </c>
      <c r="K172" s="568">
        <v>3285.15</v>
      </c>
    </row>
    <row r="173" spans="1:11" ht="14.4" customHeight="1" thickBot="1" x14ac:dyDescent="0.35">
      <c r="A173" s="554" t="s">
        <v>548</v>
      </c>
      <c r="B173" s="555" t="s">
        <v>610</v>
      </c>
      <c r="C173" s="558" t="s">
        <v>558</v>
      </c>
      <c r="D173" s="589" t="s">
        <v>611</v>
      </c>
      <c r="E173" s="558" t="s">
        <v>1024</v>
      </c>
      <c r="F173" s="589" t="s">
        <v>1025</v>
      </c>
      <c r="G173" s="558" t="s">
        <v>1013</v>
      </c>
      <c r="H173" s="558" t="s">
        <v>1014</v>
      </c>
      <c r="I173" s="569">
        <v>102952.14</v>
      </c>
      <c r="J173" s="569">
        <v>1</v>
      </c>
      <c r="K173" s="570">
        <v>102952.14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6" width="13.109375" customWidth="1"/>
    <col min="7" max="7" width="13.109375" hidden="1" customWidth="1"/>
    <col min="8" max="8" width="13.109375" customWidth="1"/>
    <col min="9" max="12" width="13.109375" hidden="1" customWidth="1"/>
    <col min="13" max="15" width="13.109375" customWidth="1"/>
    <col min="16" max="18" width="13.109375" hidden="1" customWidth="1"/>
    <col min="19" max="19" width="13.109375" customWidth="1"/>
    <col min="20" max="33" width="13.109375" hidden="1" customWidth="1"/>
    <col min="34" max="34" width="13.109375" customWidth="1"/>
    <col min="35" max="36" width="13.109375" hidden="1" customWidth="1"/>
    <col min="37" max="37" width="13.109375" customWidth="1"/>
    <col min="38" max="38" width="13.109375" hidden="1" customWidth="1"/>
    <col min="39" max="39" width="13.109375" customWidth="1"/>
    <col min="40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416" t="s">
        <v>106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</row>
    <row r="2" spans="1:46" ht="15" thickBot="1" x14ac:dyDescent="0.35">
      <c r="A2" s="235" t="s">
        <v>291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</row>
    <row r="3" spans="1:46" x14ac:dyDescent="0.3">
      <c r="A3" s="254" t="s">
        <v>197</v>
      </c>
      <c r="B3" s="417" t="s">
        <v>176</v>
      </c>
      <c r="C3" s="237">
        <v>0</v>
      </c>
      <c r="D3" s="238">
        <v>25</v>
      </c>
      <c r="E3" s="238">
        <v>30</v>
      </c>
      <c r="F3" s="238">
        <v>99</v>
      </c>
      <c r="G3" s="257">
        <v>100</v>
      </c>
      <c r="H3" s="257">
        <v>101</v>
      </c>
      <c r="I3" s="257">
        <v>102</v>
      </c>
      <c r="J3" s="257">
        <v>103</v>
      </c>
      <c r="K3" s="257">
        <v>203</v>
      </c>
      <c r="L3" s="335">
        <v>302</v>
      </c>
      <c r="M3" s="257">
        <v>303</v>
      </c>
      <c r="N3" s="257">
        <v>304</v>
      </c>
      <c r="O3" s="257">
        <v>305</v>
      </c>
      <c r="P3" s="257">
        <v>306</v>
      </c>
      <c r="Q3" s="257">
        <v>407</v>
      </c>
      <c r="R3" s="257">
        <v>408</v>
      </c>
      <c r="S3" s="257">
        <v>409</v>
      </c>
      <c r="T3" s="257">
        <v>410</v>
      </c>
      <c r="U3" s="257">
        <v>415</v>
      </c>
      <c r="V3" s="257">
        <v>416</v>
      </c>
      <c r="W3" s="257">
        <v>418</v>
      </c>
      <c r="X3" s="257">
        <v>419</v>
      </c>
      <c r="Y3" s="257">
        <v>420</v>
      </c>
      <c r="Z3" s="257">
        <v>421</v>
      </c>
      <c r="AA3" s="257">
        <v>422</v>
      </c>
      <c r="AB3" s="257">
        <v>520</v>
      </c>
      <c r="AC3" s="257">
        <v>521</v>
      </c>
      <c r="AD3" s="257">
        <v>522</v>
      </c>
      <c r="AE3" s="257">
        <v>523</v>
      </c>
      <c r="AF3" s="257">
        <v>524</v>
      </c>
      <c r="AG3" s="257">
        <v>525</v>
      </c>
      <c r="AH3" s="257">
        <v>526</v>
      </c>
      <c r="AI3" s="238">
        <v>527</v>
      </c>
      <c r="AJ3" s="238">
        <v>528</v>
      </c>
      <c r="AK3" s="238">
        <v>629</v>
      </c>
      <c r="AL3" s="238">
        <v>630</v>
      </c>
      <c r="AM3" s="238">
        <v>636</v>
      </c>
      <c r="AN3" s="238">
        <v>637</v>
      </c>
      <c r="AO3" s="238">
        <v>640</v>
      </c>
      <c r="AP3" s="238">
        <v>642</v>
      </c>
      <c r="AQ3" s="238">
        <v>743</v>
      </c>
      <c r="AR3" s="238">
        <v>745</v>
      </c>
      <c r="AS3" s="603">
        <v>746</v>
      </c>
      <c r="AT3" s="618"/>
    </row>
    <row r="4" spans="1:46" ht="36.6" outlineLevel="1" thickBot="1" x14ac:dyDescent="0.35">
      <c r="A4" s="255">
        <v>2017</v>
      </c>
      <c r="B4" s="418"/>
      <c r="C4" s="239" t="s">
        <v>177</v>
      </c>
      <c r="D4" s="240" t="s">
        <v>181</v>
      </c>
      <c r="E4" s="240" t="s">
        <v>199</v>
      </c>
      <c r="F4" s="240" t="s">
        <v>178</v>
      </c>
      <c r="G4" s="258" t="s">
        <v>247</v>
      </c>
      <c r="H4" s="258" t="s">
        <v>248</v>
      </c>
      <c r="I4" s="258" t="s">
        <v>179</v>
      </c>
      <c r="J4" s="258" t="s">
        <v>249</v>
      </c>
      <c r="K4" s="258" t="s">
        <v>180</v>
      </c>
      <c r="L4" s="336" t="s">
        <v>250</v>
      </c>
      <c r="M4" s="258" t="s">
        <v>251</v>
      </c>
      <c r="N4" s="258" t="s">
        <v>252</v>
      </c>
      <c r="O4" s="258" t="s">
        <v>253</v>
      </c>
      <c r="P4" s="258" t="s">
        <v>205</v>
      </c>
      <c r="Q4" s="258" t="s">
        <v>245</v>
      </c>
      <c r="R4" s="258" t="s">
        <v>206</v>
      </c>
      <c r="S4" s="258" t="s">
        <v>207</v>
      </c>
      <c r="T4" s="258" t="s">
        <v>208</v>
      </c>
      <c r="U4" s="258" t="s">
        <v>209</v>
      </c>
      <c r="V4" s="258" t="s">
        <v>210</v>
      </c>
      <c r="W4" s="258" t="s">
        <v>211</v>
      </c>
      <c r="X4" s="258" t="s">
        <v>212</v>
      </c>
      <c r="Y4" s="258" t="s">
        <v>213</v>
      </c>
      <c r="Z4" s="258" t="s">
        <v>214</v>
      </c>
      <c r="AA4" s="258" t="s">
        <v>284</v>
      </c>
      <c r="AB4" s="258" t="s">
        <v>254</v>
      </c>
      <c r="AC4" s="258" t="s">
        <v>255</v>
      </c>
      <c r="AD4" s="258" t="s">
        <v>256</v>
      </c>
      <c r="AE4" s="258" t="s">
        <v>215</v>
      </c>
      <c r="AF4" s="258" t="s">
        <v>216</v>
      </c>
      <c r="AG4" s="258" t="s">
        <v>217</v>
      </c>
      <c r="AH4" s="258" t="s">
        <v>218</v>
      </c>
      <c r="AI4" s="240" t="s">
        <v>219</v>
      </c>
      <c r="AJ4" s="240" t="s">
        <v>228</v>
      </c>
      <c r="AK4" s="240" t="s">
        <v>220</v>
      </c>
      <c r="AL4" s="240" t="s">
        <v>229</v>
      </c>
      <c r="AM4" s="240" t="s">
        <v>221</v>
      </c>
      <c r="AN4" s="323" t="s">
        <v>222</v>
      </c>
      <c r="AO4" s="240" t="s">
        <v>223</v>
      </c>
      <c r="AP4" s="240" t="s">
        <v>224</v>
      </c>
      <c r="AQ4" s="240" t="s">
        <v>225</v>
      </c>
      <c r="AR4" s="240" t="s">
        <v>226</v>
      </c>
      <c r="AS4" s="604" t="s">
        <v>227</v>
      </c>
      <c r="AT4" s="618"/>
    </row>
    <row r="5" spans="1:46" x14ac:dyDescent="0.3">
      <c r="A5" s="241" t="s">
        <v>182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324"/>
      <c r="AO5" s="281"/>
      <c r="AP5" s="281"/>
      <c r="AQ5" s="281"/>
      <c r="AR5" s="281"/>
      <c r="AS5" s="605"/>
      <c r="AT5" s="618"/>
    </row>
    <row r="6" spans="1:46" ht="15" collapsed="1" thickBot="1" x14ac:dyDescent="0.35">
      <c r="A6" s="242" t="s">
        <v>73</v>
      </c>
      <c r="B6" s="282">
        <f xml:space="preserve">
TRUNC(IF($A$4&lt;=12,SUMIFS('ON Data'!F:F,'ON Data'!$D:$D,$A$4,'ON Data'!$E:$E,1),SUMIFS('ON Data'!F:F,'ON Data'!$E:$E,1)/'ON Data'!$D$3),1)</f>
        <v>71</v>
      </c>
      <c r="C6" s="283">
        <f xml:space="preserve">
TRUNC(IF($A$4&lt;=12,SUMIFS('ON Data'!G:G,'ON Data'!$D:$D,$A$4,'ON Data'!$E:$E,1),SUMIFS('ON Data'!G:G,'ON Data'!$E:$E,1)/'ON Data'!$D$3),1)</f>
        <v>0</v>
      </c>
      <c r="D6" s="284">
        <f xml:space="preserve">
TRUNC(IF($A$4&lt;=12,SUMIFS('ON Data'!H:H,'ON Data'!$D:$D,$A$4,'ON Data'!$E:$E,1),SUMIFS('ON Data'!H:H,'ON Data'!$E:$E,1)/'ON Data'!$D$3),1)</f>
        <v>3</v>
      </c>
      <c r="E6" s="284">
        <f xml:space="preserve">
TRUNC(IF($A$4&lt;=12,SUMIFS('ON Data'!I:I,'ON Data'!$D:$D,$A$4,'ON Data'!$E:$E,1),SUMIFS('ON Data'!I:I,'ON Data'!$E:$E,1)/'ON Data'!$D$3),1)</f>
        <v>5</v>
      </c>
      <c r="F6" s="284">
        <f xml:space="preserve">
TRUNC(IF($A$4&lt;=12,SUMIFS('ON Data'!J:J,'ON Data'!$D:$D,$A$4,'ON Data'!$E:$E,1),SUMIFS('ON Data'!J:J,'ON Data'!$E:$E,1)/'ON Data'!$D$3),1)</f>
        <v>1.3</v>
      </c>
      <c r="G6" s="284">
        <f xml:space="preserve">
TRUNC(IF($A$4&lt;=12,SUMIFS('ON Data'!K:K,'ON Data'!$D:$D,$A$4,'ON Data'!$E:$E,1),SUMIFS('ON Data'!K:K,'ON Data'!$E:$E,1)/'ON Data'!$D$3),1)</f>
        <v>0</v>
      </c>
      <c r="H6" s="284">
        <f xml:space="preserve">
TRUNC(IF($A$4&lt;=12,SUMIFS('ON Data'!L:L,'ON Data'!$D:$D,$A$4,'ON Data'!$E:$E,1),SUMIFS('ON Data'!L:L,'ON Data'!$E:$E,1)/'ON Data'!$D$3),1)</f>
        <v>5</v>
      </c>
      <c r="I6" s="284">
        <f xml:space="preserve">
TRUNC(IF($A$4&lt;=12,SUMIFS('ON Data'!M:M,'ON Data'!$D:$D,$A$4,'ON Data'!$E:$E,1),SUMIFS('ON Data'!M:M,'ON Data'!$E:$E,1)/'ON Data'!$D$3),1)</f>
        <v>0</v>
      </c>
      <c r="J6" s="284">
        <f xml:space="preserve">
TRUNC(IF($A$4&lt;=12,SUMIFS('ON Data'!N:N,'ON Data'!$D:$D,$A$4,'ON Data'!$E:$E,1),SUMIFS('ON Data'!N:N,'ON Data'!$E:$E,1)/'ON Data'!$D$3),1)</f>
        <v>0</v>
      </c>
      <c r="K6" s="284">
        <f xml:space="preserve">
TRUNC(IF($A$4&lt;=12,SUMIFS('ON Data'!O:O,'ON Data'!$D:$D,$A$4,'ON Data'!$E:$E,1),SUMIFS('ON Data'!O:O,'ON Data'!$E:$E,1)/'ON Data'!$D$3),1)</f>
        <v>0</v>
      </c>
      <c r="L6" s="284">
        <f xml:space="preserve">
TRUNC(IF($A$4&lt;=12,SUMIFS('ON Data'!P:P,'ON Data'!$D:$D,$A$4,'ON Data'!$E:$E,1),SUMIFS('ON Data'!P:P,'ON Data'!$E:$E,1)/'ON Data'!$D$3),1)</f>
        <v>0</v>
      </c>
      <c r="M6" s="284">
        <f xml:space="preserve">
TRUNC(IF($A$4&lt;=12,SUMIFS('ON Data'!Q:Q,'ON Data'!$D:$D,$A$4,'ON Data'!$E:$E,1),SUMIFS('ON Data'!Q:Q,'ON Data'!$E:$E,1)/'ON Data'!$D$3),1)</f>
        <v>11.5</v>
      </c>
      <c r="N6" s="284">
        <f xml:space="preserve">
TRUNC(IF($A$4&lt;=12,SUMIFS('ON Data'!R:R,'ON Data'!$D:$D,$A$4,'ON Data'!$E:$E,1),SUMIFS('ON Data'!R:R,'ON Data'!$E:$E,1)/'ON Data'!$D$3),1)</f>
        <v>7</v>
      </c>
      <c r="O6" s="284">
        <f xml:space="preserve">
TRUNC(IF($A$4&lt;=12,SUMIFS('ON Data'!S:S,'ON Data'!$D:$D,$A$4,'ON Data'!$E:$E,1),SUMIFS('ON Data'!S:S,'ON Data'!$E:$E,1)/'ON Data'!$D$3),1)</f>
        <v>4</v>
      </c>
      <c r="P6" s="284">
        <f xml:space="preserve">
TRUNC(IF($A$4&lt;=12,SUMIFS('ON Data'!T:T,'ON Data'!$D:$D,$A$4,'ON Data'!$E:$E,1),SUMIFS('ON Data'!T:T,'ON Data'!$E:$E,1)/'ON Data'!$D$3),1)</f>
        <v>0</v>
      </c>
      <c r="Q6" s="284">
        <f xml:space="preserve">
TRUNC(IF($A$4&lt;=12,SUMIFS('ON Data'!U:U,'ON Data'!$D:$D,$A$4,'ON Data'!$E:$E,1),SUMIFS('ON Data'!U:U,'ON Data'!$E:$E,1)/'ON Data'!$D$3),1)</f>
        <v>0</v>
      </c>
      <c r="R6" s="284">
        <f xml:space="preserve">
TRUNC(IF($A$4&lt;=12,SUMIFS('ON Data'!V:V,'ON Data'!$D:$D,$A$4,'ON Data'!$E:$E,1),SUMIFS('ON Data'!V:V,'ON Data'!$E:$E,1)/'ON Data'!$D$3),1)</f>
        <v>0</v>
      </c>
      <c r="S6" s="284">
        <f xml:space="preserve">
TRUNC(IF($A$4&lt;=12,SUMIFS('ON Data'!W:W,'ON Data'!$D:$D,$A$4,'ON Data'!$E:$E,1),SUMIFS('ON Data'!W:W,'ON Data'!$E:$E,1)/'ON Data'!$D$3),1)</f>
        <v>21</v>
      </c>
      <c r="T6" s="284">
        <f xml:space="preserve">
TRUNC(IF($A$4&lt;=12,SUMIFS('ON Data'!X:X,'ON Data'!$D:$D,$A$4,'ON Data'!$E:$E,1),SUMIFS('ON Data'!X:X,'ON Data'!$E:$E,1)/'ON Data'!$D$3),1)</f>
        <v>0</v>
      </c>
      <c r="U6" s="284">
        <f xml:space="preserve">
TRUNC(IF($A$4&lt;=12,SUMIFS('ON Data'!Y:Y,'ON Data'!$D:$D,$A$4,'ON Data'!$E:$E,1),SUMIFS('ON Data'!Y:Y,'ON Data'!$E:$E,1)/'ON Data'!$D$3),1)</f>
        <v>0</v>
      </c>
      <c r="V6" s="284">
        <f xml:space="preserve">
TRUNC(IF($A$4&lt;=12,SUMIFS('ON Data'!Z:Z,'ON Data'!$D:$D,$A$4,'ON Data'!$E:$E,1),SUMIFS('ON Data'!Z:Z,'ON Data'!$E:$E,1)/'ON Data'!$D$3),1)</f>
        <v>0</v>
      </c>
      <c r="W6" s="284">
        <f xml:space="preserve">
TRUNC(IF($A$4&lt;=12,SUMIFS('ON Data'!AA:AA,'ON Data'!$D:$D,$A$4,'ON Data'!$E:$E,1),SUMIFS('ON Data'!AA:AA,'ON Data'!$E:$E,1)/'ON Data'!$D$3),1)</f>
        <v>0</v>
      </c>
      <c r="X6" s="284">
        <f xml:space="preserve">
TRUNC(IF($A$4&lt;=12,SUMIFS('ON Data'!AB:AB,'ON Data'!$D:$D,$A$4,'ON Data'!$E:$E,1),SUMIFS('ON Data'!AB:AB,'ON Data'!$E:$E,1)/'ON Data'!$D$3),1)</f>
        <v>0</v>
      </c>
      <c r="Y6" s="284">
        <f xml:space="preserve">
TRUNC(IF($A$4&lt;=12,SUMIFS('ON Data'!AC:AC,'ON Data'!$D:$D,$A$4,'ON Data'!$E:$E,1),SUMIFS('ON Data'!AC:AC,'ON Data'!$E:$E,1)/'ON Data'!$D$3),1)</f>
        <v>0</v>
      </c>
      <c r="Z6" s="284">
        <f xml:space="preserve">
TRUNC(IF($A$4&lt;=12,SUMIFS('ON Data'!AD:AD,'ON Data'!$D:$D,$A$4,'ON Data'!$E:$E,1),SUMIFS('ON Data'!AD:AD,'ON Data'!$E:$E,1)/'ON Data'!$D$3),1)</f>
        <v>0</v>
      </c>
      <c r="AA6" s="284">
        <f xml:space="preserve">
TRUNC(IF($A$4&lt;=12,SUMIFS('ON Data'!AE:AE,'ON Data'!$D:$D,$A$4,'ON Data'!$E:$E,1),SUMIFS('ON Data'!AE:AE,'ON Data'!$E:$E,1)/'ON Data'!$D$3),1)</f>
        <v>0</v>
      </c>
      <c r="AB6" s="284">
        <f xml:space="preserve">
TRUNC(IF($A$4&lt;=12,SUMIFS('ON Data'!AF:AF,'ON Data'!$D:$D,$A$4,'ON Data'!$E:$E,1),SUMIFS('ON Data'!AF:AF,'ON Data'!$E:$E,1)/'ON Data'!$D$3),1)</f>
        <v>0</v>
      </c>
      <c r="AC6" s="284">
        <f xml:space="preserve">
TRUNC(IF($A$4&lt;=12,SUMIFS('ON Data'!AG:AG,'ON Data'!$D:$D,$A$4,'ON Data'!$E:$E,1),SUMIFS('ON Data'!AG:AG,'ON Data'!$E:$E,1)/'ON Data'!$D$3),1)</f>
        <v>0</v>
      </c>
      <c r="AD6" s="284">
        <f xml:space="preserve">
TRUNC(IF($A$4&lt;=12,SUMIFS('ON Data'!AH:AH,'ON Data'!$D:$D,$A$4,'ON Data'!$E:$E,1),SUMIFS('ON Data'!AH:AH,'ON Data'!$E:$E,1)/'ON Data'!$D$3),1)</f>
        <v>0</v>
      </c>
      <c r="AE6" s="284">
        <f xml:space="preserve">
TRUNC(IF($A$4&lt;=12,SUMIFS('ON Data'!AI:AI,'ON Data'!$D:$D,$A$4,'ON Data'!$E:$E,1),SUMIFS('ON Data'!AI:AI,'ON Data'!$E:$E,1)/'ON Data'!$D$3),1)</f>
        <v>0</v>
      </c>
      <c r="AF6" s="284">
        <f xml:space="preserve">
TRUNC(IF($A$4&lt;=12,SUMIFS('ON Data'!AJ:AJ,'ON Data'!$D:$D,$A$4,'ON Data'!$E:$E,1),SUMIFS('ON Data'!AJ:AJ,'ON Data'!$E:$E,1)/'ON Data'!$D$3),1)</f>
        <v>0</v>
      </c>
      <c r="AG6" s="284">
        <f xml:space="preserve">
TRUNC(IF($A$4&lt;=12,SUMIFS('ON Data'!AK:AK,'ON Data'!$D:$D,$A$4,'ON Data'!$E:$E,1),SUMIFS('ON Data'!AK:AK,'ON Data'!$E:$E,1)/'ON Data'!$D$3),1)</f>
        <v>0</v>
      </c>
      <c r="AH6" s="284">
        <f xml:space="preserve">
TRUNC(IF($A$4&lt;=12,SUMIFS('ON Data'!AL:AL,'ON Data'!$D:$D,$A$4,'ON Data'!$E:$E,1),SUMIFS('ON Data'!AL:AL,'ON Data'!$E:$E,1)/'ON Data'!$D$3),1)</f>
        <v>4</v>
      </c>
      <c r="AI6" s="284">
        <f xml:space="preserve">
TRUNC(IF($A$4&lt;=12,SUMIFS('ON Data'!AM:AM,'ON Data'!$D:$D,$A$4,'ON Data'!$E:$E,1),SUMIFS('ON Data'!AM:AM,'ON Data'!$E:$E,1)/'ON Data'!$D$3),1)</f>
        <v>0</v>
      </c>
      <c r="AJ6" s="284">
        <f xml:space="preserve">
TRUNC(IF($A$4&lt;=12,SUMIFS('ON Data'!AN:AN,'ON Data'!$D:$D,$A$4,'ON Data'!$E:$E,1),SUMIFS('ON Data'!AN:AN,'ON Data'!$E:$E,1)/'ON Data'!$D$3),1)</f>
        <v>0</v>
      </c>
      <c r="AK6" s="284">
        <f xml:space="preserve">
TRUNC(IF($A$4&lt;=12,SUMIFS('ON Data'!AO:AO,'ON Data'!$D:$D,$A$4,'ON Data'!$E:$E,1),SUMIFS('ON Data'!AO:AO,'ON Data'!$E:$E,1)/'ON Data'!$D$3),1)</f>
        <v>1.7</v>
      </c>
      <c r="AL6" s="284">
        <f xml:space="preserve">
TRUNC(IF($A$4&lt;=12,SUMIFS('ON Data'!AP:AP,'ON Data'!$D:$D,$A$4,'ON Data'!$E:$E,1),SUMIFS('ON Data'!AP:AP,'ON Data'!$E:$E,1)/'ON Data'!$D$3),1)</f>
        <v>0</v>
      </c>
      <c r="AM6" s="284">
        <f xml:space="preserve">
TRUNC(IF($A$4&lt;=12,SUMIFS('ON Data'!AQ:AQ,'ON Data'!$D:$D,$A$4,'ON Data'!$E:$E,1),SUMIFS('ON Data'!AQ:AQ,'ON Data'!$E:$E,1)/'ON Data'!$D$3),1)</f>
        <v>1</v>
      </c>
      <c r="AN6" s="284">
        <f xml:space="preserve">
TRUNC(IF($A$4&lt;=12,SUMIFS('ON Data'!AR:AR,'ON Data'!$D:$D,$A$4,'ON Data'!$E:$E,1),SUMIFS('ON Data'!AR:AR,'ON Data'!$E:$E,1)/'ON Data'!$D$3),1)</f>
        <v>0</v>
      </c>
      <c r="AO6" s="284">
        <f xml:space="preserve">
TRUNC(IF($A$4&lt;=12,SUMIFS('ON Data'!AS:AS,'ON Data'!$D:$D,$A$4,'ON Data'!$E:$E,1),SUMIFS('ON Data'!AS:AS,'ON Data'!$E:$E,1)/'ON Data'!$D$3),1)</f>
        <v>0</v>
      </c>
      <c r="AP6" s="284">
        <f xml:space="preserve">
TRUNC(IF($A$4&lt;=12,SUMIFS('ON Data'!AT:AT,'ON Data'!$D:$D,$A$4,'ON Data'!$E:$E,1),SUMIFS('ON Data'!AT:AT,'ON Data'!$E:$E,1)/'ON Data'!$D$3),1)</f>
        <v>6.5</v>
      </c>
      <c r="AQ6" s="284">
        <f xml:space="preserve">
TRUNC(IF($A$4&lt;=12,SUMIFS('ON Data'!AU:AU,'ON Data'!$D:$D,$A$4,'ON Data'!$E:$E,1),SUMIFS('ON Data'!AU:AU,'ON Data'!$E:$E,1)/'ON Data'!$D$3),1)</f>
        <v>0</v>
      </c>
      <c r="AR6" s="284">
        <f xml:space="preserve">
TRUNC(IF($A$4&lt;=12,SUMIFS('ON Data'!AV:AV,'ON Data'!$D:$D,$A$4,'ON Data'!$E:$E,1),SUMIFS('ON Data'!AV:AV,'ON Data'!$E:$E,1)/'ON Data'!$D$3),1)</f>
        <v>0</v>
      </c>
      <c r="AS6" s="606">
        <f xml:space="preserve">
TRUNC(IF($A$4&lt;=12,SUMIFS('ON Data'!AW:AW,'ON Data'!$D:$D,$A$4,'ON Data'!$E:$E,1),SUMIFS('ON Data'!AW:AW,'ON Data'!$E:$E,1)/'ON Data'!$D$3),1)</f>
        <v>0</v>
      </c>
      <c r="AT6" s="618"/>
    </row>
    <row r="7" spans="1:46" ht="15" hidden="1" outlineLevel="1" thickBot="1" x14ac:dyDescent="0.35">
      <c r="A7" s="242" t="s">
        <v>107</v>
      </c>
      <c r="B7" s="282"/>
      <c r="C7" s="285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5"/>
      <c r="AO7" s="284"/>
      <c r="AP7" s="284"/>
      <c r="AQ7" s="284"/>
      <c r="AR7" s="284"/>
      <c r="AS7" s="606"/>
      <c r="AT7" s="618"/>
    </row>
    <row r="8" spans="1:46" ht="15" hidden="1" outlineLevel="1" thickBot="1" x14ac:dyDescent="0.35">
      <c r="A8" s="242" t="s">
        <v>75</v>
      </c>
      <c r="B8" s="282"/>
      <c r="C8" s="285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5"/>
      <c r="AO8" s="284"/>
      <c r="AP8" s="284"/>
      <c r="AQ8" s="284"/>
      <c r="AR8" s="284"/>
      <c r="AS8" s="606"/>
      <c r="AT8" s="618"/>
    </row>
    <row r="9" spans="1:46" ht="15" hidden="1" outlineLevel="1" thickBot="1" x14ac:dyDescent="0.35">
      <c r="A9" s="243" t="s">
        <v>68</v>
      </c>
      <c r="B9" s="286"/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7"/>
      <c r="AO9" s="288"/>
      <c r="AP9" s="288"/>
      <c r="AQ9" s="288"/>
      <c r="AR9" s="288"/>
      <c r="AS9" s="607"/>
      <c r="AT9" s="618"/>
    </row>
    <row r="10" spans="1:46" x14ac:dyDescent="0.3">
      <c r="A10" s="244" t="s">
        <v>183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325"/>
      <c r="AO10" s="261"/>
      <c r="AP10" s="261"/>
      <c r="AQ10" s="261"/>
      <c r="AR10" s="261"/>
      <c r="AS10" s="608"/>
      <c r="AT10" s="618"/>
    </row>
    <row r="11" spans="1:46" x14ac:dyDescent="0.3">
      <c r="A11" s="245" t="s">
        <v>184</v>
      </c>
      <c r="B11" s="262">
        <f xml:space="preserve">
IF($A$4&lt;=12,SUMIFS('ON Data'!F:F,'ON Data'!$D:$D,$A$4,'ON Data'!$E:$E,2),SUMIFS('ON Data'!F:F,'ON Data'!$E:$E,2))</f>
        <v>21497.8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836</v>
      </c>
      <c r="E11" s="264"/>
      <c r="F11" s="264">
        <f xml:space="preserve">
IF($A$4&lt;=12,SUMIFS('ON Data'!J:J,'ON Data'!$D:$D,$A$4,'ON Data'!$E:$E,2),SUMIFS('ON Data'!J:J,'ON Data'!$E:$E,2))</f>
        <v>415.5</v>
      </c>
      <c r="G11" s="264">
        <f xml:space="preserve">
IF($A$4&lt;=12,SUMIFS('ON Data'!K:K,'ON Data'!$D:$D,$A$4,'ON Data'!$E:$E,2),SUMIFS('ON Data'!K:K,'ON Data'!$E:$E,2))</f>
        <v>0</v>
      </c>
      <c r="H11" s="264">
        <f xml:space="preserve">
IF($A$4&lt;=12,SUMIFS('ON Data'!L:L,'ON Data'!$D:$D,$A$4,'ON Data'!$E:$E,2),SUMIFS('ON Data'!L:L,'ON Data'!$E:$E,2))</f>
        <v>1559</v>
      </c>
      <c r="I11" s="264">
        <f xml:space="preserve">
IF($A$4&lt;=12,SUMIFS('ON Data'!M:M,'ON Data'!$D:$D,$A$4,'ON Data'!$E:$E,2),SUMIFS('ON Data'!M:M,'ON Data'!$E:$E,2))</f>
        <v>0</v>
      </c>
      <c r="J11" s="264">
        <f xml:space="preserve">
IF($A$4&lt;=12,SUMIFS('ON Data'!N:N,'ON Data'!$D:$D,$A$4,'ON Data'!$E:$E,2),SUMIFS('ON Data'!N:N,'ON Data'!$E:$E,2))</f>
        <v>0</v>
      </c>
      <c r="K11" s="264">
        <f xml:space="preserve">
IF($A$4&lt;=12,SUMIFS('ON Data'!O:O,'ON Data'!$D:$D,$A$4,'ON Data'!$E:$E,2),SUMIFS('ON Data'!O:O,'ON Data'!$E:$E,2))</f>
        <v>0</v>
      </c>
      <c r="L11" s="264">
        <f xml:space="preserve">
IF($A$4&lt;=12,SUMIFS('ON Data'!P:P,'ON Data'!$D:$D,$A$4,'ON Data'!$E:$E,2),SUMIFS('ON Data'!P:P,'ON Data'!$E:$E,2))</f>
        <v>0</v>
      </c>
      <c r="M11" s="264">
        <f xml:space="preserve">
IF($A$4&lt;=12,SUMIFS('ON Data'!Q:Q,'ON Data'!$D:$D,$A$4,'ON Data'!$E:$E,2),SUMIFS('ON Data'!Q:Q,'ON Data'!$E:$E,2))</f>
        <v>3559.3</v>
      </c>
      <c r="N11" s="264">
        <f xml:space="preserve">
IF($A$4&lt;=12,SUMIFS('ON Data'!R:R,'ON Data'!$D:$D,$A$4,'ON Data'!$E:$E,2),SUMIFS('ON Data'!R:R,'ON Data'!$E:$E,2))</f>
        <v>2236.75</v>
      </c>
      <c r="O11" s="264">
        <f xml:space="preserve">
IF($A$4&lt;=12,SUMIFS('ON Data'!S:S,'ON Data'!$D:$D,$A$4,'ON Data'!$E:$E,2),SUMIFS('ON Data'!S:S,'ON Data'!$E:$E,2))</f>
        <v>1218.75</v>
      </c>
      <c r="P11" s="264">
        <f xml:space="preserve">
IF($A$4&lt;=12,SUMIFS('ON Data'!T:T,'ON Data'!$D:$D,$A$4,'ON Data'!$E:$E,2),SUMIFS('ON Data'!T:T,'ON Data'!$E:$E,2))</f>
        <v>0</v>
      </c>
      <c r="Q11" s="264">
        <f xml:space="preserve">
IF($A$4&lt;=12,SUMIFS('ON Data'!U:U,'ON Data'!$D:$D,$A$4,'ON Data'!$E:$E,2),SUMIFS('ON Data'!U:U,'ON Data'!$E:$E,2))</f>
        <v>0</v>
      </c>
      <c r="R11" s="264">
        <f xml:space="preserve">
IF($A$4&lt;=12,SUMIFS('ON Data'!V:V,'ON Data'!$D:$D,$A$4,'ON Data'!$E:$E,2),SUMIFS('ON Data'!V:V,'ON Data'!$E:$E,2))</f>
        <v>0</v>
      </c>
      <c r="S11" s="264">
        <f xml:space="preserve">
IF($A$4&lt;=12,SUMIFS('ON Data'!W:W,'ON Data'!$D:$D,$A$4,'ON Data'!$E:$E,2),SUMIFS('ON Data'!W:W,'ON Data'!$E:$E,2))</f>
        <v>6012</v>
      </c>
      <c r="T11" s="264">
        <f xml:space="preserve">
IF($A$4&lt;=12,SUMIFS('ON Data'!X:X,'ON Data'!$D:$D,$A$4,'ON Data'!$E:$E,2),SUMIFS('ON Data'!X:X,'ON Data'!$E:$E,2))</f>
        <v>0</v>
      </c>
      <c r="U11" s="264">
        <f xml:space="preserve">
IF($A$4&lt;=12,SUMIFS('ON Data'!Y:Y,'ON Data'!$D:$D,$A$4,'ON Data'!$E:$E,2),SUMIFS('ON Data'!Y:Y,'ON Data'!$E:$E,2))</f>
        <v>0</v>
      </c>
      <c r="V11" s="264">
        <f xml:space="preserve">
IF($A$4&lt;=12,SUMIFS('ON Data'!Z:Z,'ON Data'!$D:$D,$A$4,'ON Data'!$E:$E,2),SUMIFS('ON Data'!Z:Z,'ON Data'!$E:$E,2))</f>
        <v>0</v>
      </c>
      <c r="W11" s="264">
        <f xml:space="preserve">
IF($A$4&lt;=12,SUMIFS('ON Data'!AA:AA,'ON Data'!$D:$D,$A$4,'ON Data'!$E:$E,2),SUMIFS('ON Data'!AA:AA,'ON Data'!$E:$E,2))</f>
        <v>0</v>
      </c>
      <c r="X11" s="264">
        <f xml:space="preserve">
IF($A$4&lt;=12,SUMIFS('ON Data'!AB:AB,'ON Data'!$D:$D,$A$4,'ON Data'!$E:$E,2),SUMIFS('ON Data'!AB:AB,'ON Data'!$E:$E,2))</f>
        <v>0</v>
      </c>
      <c r="Y11" s="264">
        <f xml:space="preserve">
IF($A$4&lt;=12,SUMIFS('ON Data'!AC:AC,'ON Data'!$D:$D,$A$4,'ON Data'!$E:$E,2),SUMIFS('ON Data'!AC:AC,'ON Data'!$E:$E,2))</f>
        <v>0</v>
      </c>
      <c r="Z11" s="264">
        <f xml:space="preserve">
IF($A$4&lt;=12,SUMIFS('ON Data'!AD:AD,'ON Data'!$D:$D,$A$4,'ON Data'!$E:$E,2),SUMIFS('ON Data'!AD:AD,'ON Data'!$E:$E,2))</f>
        <v>0</v>
      </c>
      <c r="AA11" s="264"/>
      <c r="AB11" s="264">
        <f xml:space="preserve">
IF($A$4&lt;=12,SUMIFS('ON Data'!AF:AF,'ON Data'!$D:$D,$A$4,'ON Data'!$E:$E,2),SUMIFS('ON Data'!AF:AF,'ON Data'!$E:$E,2))</f>
        <v>0</v>
      </c>
      <c r="AC11" s="264">
        <f xml:space="preserve">
IF($A$4&lt;=12,SUMIFS('ON Data'!AG:AG,'ON Data'!$D:$D,$A$4,'ON Data'!$E:$E,2),SUMIFS('ON Data'!AG:AG,'ON Data'!$E:$E,2))</f>
        <v>0</v>
      </c>
      <c r="AD11" s="264">
        <f xml:space="preserve">
IF($A$4&lt;=12,SUMIFS('ON Data'!AH:AH,'ON Data'!$D:$D,$A$4,'ON Data'!$E:$E,2),SUMIFS('ON Data'!AH:AH,'ON Data'!$E:$E,2))</f>
        <v>0</v>
      </c>
      <c r="AE11" s="264">
        <f xml:space="preserve">
IF($A$4&lt;=12,SUMIFS('ON Data'!AI:AI,'ON Data'!$D:$D,$A$4,'ON Data'!$E:$E,2),SUMIFS('ON Data'!AI:AI,'ON Data'!$E:$E,2))</f>
        <v>0</v>
      </c>
      <c r="AF11" s="264">
        <f xml:space="preserve">
IF($A$4&lt;=12,SUMIFS('ON Data'!AJ:AJ,'ON Data'!$D:$D,$A$4,'ON Data'!$E:$E,2),SUMIFS('ON Data'!AJ:AJ,'ON Data'!$E:$E,2))</f>
        <v>0</v>
      </c>
      <c r="AG11" s="264">
        <f xml:space="preserve">
IF($A$4&lt;=12,SUMIFS('ON Data'!AK:AK,'ON Data'!$D:$D,$A$4,'ON Data'!$E:$E,2),SUMIFS('ON Data'!AK:AK,'ON Data'!$E:$E,2))</f>
        <v>0</v>
      </c>
      <c r="AH11" s="264">
        <f xml:space="preserve">
IF($A$4&lt;=12,SUMIFS('ON Data'!AL:AL,'ON Data'!$D:$D,$A$4,'ON Data'!$E:$E,2),SUMIFS('ON Data'!AL:AL,'ON Data'!$E:$E,2))</f>
        <v>1288</v>
      </c>
      <c r="AI11" s="264">
        <f xml:space="preserve">
IF($A$4&lt;=12,SUMIFS('ON Data'!AM:AM,'ON Data'!$D:$D,$A$4,'ON Data'!$E:$E,2),SUMIFS('ON Data'!AM:AM,'ON Data'!$E:$E,2))</f>
        <v>0</v>
      </c>
      <c r="AJ11" s="264">
        <f xml:space="preserve">
IF($A$4&lt;=12,SUMIFS('ON Data'!AN:AN,'ON Data'!$D:$D,$A$4,'ON Data'!$E:$E,2),SUMIFS('ON Data'!AN:AN,'ON Data'!$E:$E,2))</f>
        <v>0</v>
      </c>
      <c r="AK11" s="264">
        <f xml:space="preserve">
IF($A$4&lt;=12,SUMIFS('ON Data'!AO:AO,'ON Data'!$D:$D,$A$4,'ON Data'!$E:$E,2),SUMIFS('ON Data'!AO:AO,'ON Data'!$E:$E,2))</f>
        <v>533</v>
      </c>
      <c r="AL11" s="264">
        <f xml:space="preserve">
IF($A$4&lt;=12,SUMIFS('ON Data'!AP:AP,'ON Data'!$D:$D,$A$4,'ON Data'!$E:$E,2),SUMIFS('ON Data'!AP:AP,'ON Data'!$E:$E,2))</f>
        <v>0</v>
      </c>
      <c r="AM11" s="264">
        <f xml:space="preserve">
IF($A$4&lt;=12,SUMIFS('ON Data'!AQ:AQ,'ON Data'!$D:$D,$A$4,'ON Data'!$E:$E,2),SUMIFS('ON Data'!AQ:AQ,'ON Data'!$E:$E,2))</f>
        <v>327.5</v>
      </c>
      <c r="AN11" s="263">
        <f xml:space="preserve">
IF($A$4&lt;=12,SUMIFS('ON Data'!AR:AR,'ON Data'!$D:$D,$A$4,'ON Data'!$E:$E,2),SUMIFS('ON Data'!AR:AR,'ON Data'!$E:$E,2))</f>
        <v>0</v>
      </c>
      <c r="AO11" s="264">
        <f xml:space="preserve">
IF($A$4&lt;=12,SUMIFS('ON Data'!AS:AS,'ON Data'!$D:$D,$A$4,'ON Data'!$E:$E,2),SUMIFS('ON Data'!AS:AS,'ON Data'!$E:$E,2))</f>
        <v>0</v>
      </c>
      <c r="AP11" s="264">
        <f xml:space="preserve">
IF($A$4&lt;=12,SUMIFS('ON Data'!AT:AT,'ON Data'!$D:$D,$A$4,'ON Data'!$E:$E,2),SUMIFS('ON Data'!AT:AT,'ON Data'!$E:$E,2))</f>
        <v>1988</v>
      </c>
      <c r="AQ11" s="264">
        <f xml:space="preserve">
IF($A$4&lt;=12,SUMIFS('ON Data'!AU:AU,'ON Data'!$D:$D,$A$4,'ON Data'!$E:$E,2),SUMIFS('ON Data'!AU:AU,'ON Data'!$E:$E,2))</f>
        <v>0</v>
      </c>
      <c r="AR11" s="264">
        <f xml:space="preserve">
IF($A$4&lt;=12,SUMIFS('ON Data'!AV:AV,'ON Data'!$D:$D,$A$4,'ON Data'!$E:$E,2),SUMIFS('ON Data'!AV:AV,'ON Data'!$E:$E,2))</f>
        <v>0</v>
      </c>
      <c r="AS11" s="609">
        <f xml:space="preserve">
IF($A$4&lt;=12,SUMIFS('ON Data'!AW:AW,'ON Data'!$D:$D,$A$4,'ON Data'!$E:$E,2),SUMIFS('ON Data'!AW:AW,'ON Data'!$E:$E,2))</f>
        <v>0</v>
      </c>
      <c r="AT11" s="618"/>
    </row>
    <row r="12" spans="1:46" x14ac:dyDescent="0.3">
      <c r="A12" s="245" t="s">
        <v>185</v>
      </c>
      <c r="B12" s="262">
        <f xml:space="preserve">
IF($A$4&lt;=12,SUMIFS('ON Data'!F:F,'ON Data'!$D:$D,$A$4,'ON Data'!$E:$E,3),SUMIFS('ON Data'!F:F,'ON Data'!$E:$E,3))</f>
        <v>12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/>
      <c r="F12" s="264">
        <f xml:space="preserve">
IF($A$4&lt;=12,SUMIFS('ON Data'!J:J,'ON Data'!$D:$D,$A$4,'ON Data'!$E:$E,3),SUMIFS('ON Data'!J:J,'ON Data'!$E:$E,3))</f>
        <v>12</v>
      </c>
      <c r="G12" s="264">
        <f xml:space="preserve">
IF($A$4&lt;=12,SUMIFS('ON Data'!K:K,'ON Data'!$D:$D,$A$4,'ON Data'!$E:$E,3),SUMIFS('ON Data'!K:K,'ON Data'!$E:$E,3))</f>
        <v>0</v>
      </c>
      <c r="H12" s="264">
        <f xml:space="preserve">
IF($A$4&lt;=12,SUMIFS('ON Data'!L:L,'ON Data'!$D:$D,$A$4,'ON Data'!$E:$E,3),SUMIFS('ON Data'!L:L,'ON Data'!$E:$E,3))</f>
        <v>0</v>
      </c>
      <c r="I12" s="264">
        <f xml:space="preserve">
IF($A$4&lt;=12,SUMIFS('ON Data'!M:M,'ON Data'!$D:$D,$A$4,'ON Data'!$E:$E,3),SUMIFS('ON Data'!M:M,'ON Data'!$E:$E,3))</f>
        <v>0</v>
      </c>
      <c r="J12" s="264">
        <f xml:space="preserve">
IF($A$4&lt;=12,SUMIFS('ON Data'!N:N,'ON Data'!$D:$D,$A$4,'ON Data'!$E:$E,3),SUMIFS('ON Data'!N:N,'ON Data'!$E:$E,3))</f>
        <v>0</v>
      </c>
      <c r="K12" s="264">
        <f xml:space="preserve">
IF($A$4&lt;=12,SUMIFS('ON Data'!O:O,'ON Data'!$D:$D,$A$4,'ON Data'!$E:$E,3),SUMIFS('ON Data'!O:O,'ON Data'!$E:$E,3))</f>
        <v>0</v>
      </c>
      <c r="L12" s="264">
        <f xml:space="preserve">
IF($A$4&lt;=12,SUMIFS('ON Data'!P:P,'ON Data'!$D:$D,$A$4,'ON Data'!$E:$E,3),SUMIFS('ON Data'!P:P,'ON Data'!$E:$E,3))</f>
        <v>0</v>
      </c>
      <c r="M12" s="264">
        <f xml:space="preserve">
IF($A$4&lt;=12,SUMIFS('ON Data'!Q:Q,'ON Data'!$D:$D,$A$4,'ON Data'!$E:$E,3),SUMIFS('ON Data'!Q:Q,'ON Data'!$E:$E,3))</f>
        <v>0</v>
      </c>
      <c r="N12" s="264">
        <f xml:space="preserve">
IF($A$4&lt;=12,SUMIFS('ON Data'!R:R,'ON Data'!$D:$D,$A$4,'ON Data'!$E:$E,3),SUMIFS('ON Data'!R:R,'ON Data'!$E:$E,3))</f>
        <v>0</v>
      </c>
      <c r="O12" s="264">
        <f xml:space="preserve">
IF($A$4&lt;=12,SUMIFS('ON Data'!S:S,'ON Data'!$D:$D,$A$4,'ON Data'!$E:$E,3),SUMIFS('ON Data'!S:S,'ON Data'!$E:$E,3))</f>
        <v>0</v>
      </c>
      <c r="P12" s="264">
        <f xml:space="preserve">
IF($A$4&lt;=12,SUMIFS('ON Data'!T:T,'ON Data'!$D:$D,$A$4,'ON Data'!$E:$E,3),SUMIFS('ON Data'!T:T,'ON Data'!$E:$E,3))</f>
        <v>0</v>
      </c>
      <c r="Q12" s="264">
        <f xml:space="preserve">
IF($A$4&lt;=12,SUMIFS('ON Data'!U:U,'ON Data'!$D:$D,$A$4,'ON Data'!$E:$E,3),SUMIFS('ON Data'!U:U,'ON Data'!$E:$E,3))</f>
        <v>0</v>
      </c>
      <c r="R12" s="264">
        <f xml:space="preserve">
IF($A$4&lt;=12,SUMIFS('ON Data'!V:V,'ON Data'!$D:$D,$A$4,'ON Data'!$E:$E,3),SUMIFS('ON Data'!V:V,'ON Data'!$E:$E,3))</f>
        <v>0</v>
      </c>
      <c r="S12" s="264">
        <f xml:space="preserve">
IF($A$4&lt;=12,SUMIFS('ON Data'!W:W,'ON Data'!$D:$D,$A$4,'ON Data'!$E:$E,3),SUMIFS('ON Data'!W:W,'ON Data'!$E:$E,3))</f>
        <v>0</v>
      </c>
      <c r="T12" s="264">
        <f xml:space="preserve">
IF($A$4&lt;=12,SUMIFS('ON Data'!X:X,'ON Data'!$D:$D,$A$4,'ON Data'!$E:$E,3),SUMIFS('ON Data'!X:X,'ON Data'!$E:$E,3))</f>
        <v>0</v>
      </c>
      <c r="U12" s="264">
        <f xml:space="preserve">
IF($A$4&lt;=12,SUMIFS('ON Data'!Y:Y,'ON Data'!$D:$D,$A$4,'ON Data'!$E:$E,3),SUMIFS('ON Data'!Y:Y,'ON Data'!$E:$E,3))</f>
        <v>0</v>
      </c>
      <c r="V12" s="264">
        <f xml:space="preserve">
IF($A$4&lt;=12,SUMIFS('ON Data'!Z:Z,'ON Data'!$D:$D,$A$4,'ON Data'!$E:$E,3),SUMIFS('ON Data'!Z:Z,'ON Data'!$E:$E,3))</f>
        <v>0</v>
      </c>
      <c r="W12" s="264">
        <f xml:space="preserve">
IF($A$4&lt;=12,SUMIFS('ON Data'!AA:AA,'ON Data'!$D:$D,$A$4,'ON Data'!$E:$E,3),SUMIFS('ON Data'!AA:AA,'ON Data'!$E:$E,3))</f>
        <v>0</v>
      </c>
      <c r="X12" s="264">
        <f xml:space="preserve">
IF($A$4&lt;=12,SUMIFS('ON Data'!AB:AB,'ON Data'!$D:$D,$A$4,'ON Data'!$E:$E,3),SUMIFS('ON Data'!AB:AB,'ON Data'!$E:$E,3))</f>
        <v>0</v>
      </c>
      <c r="Y12" s="264">
        <f xml:space="preserve">
IF($A$4&lt;=12,SUMIFS('ON Data'!AC:AC,'ON Data'!$D:$D,$A$4,'ON Data'!$E:$E,3),SUMIFS('ON Data'!AC:AC,'ON Data'!$E:$E,3))</f>
        <v>0</v>
      </c>
      <c r="Z12" s="264">
        <f xml:space="preserve">
IF($A$4&lt;=12,SUMIFS('ON Data'!AD:AD,'ON Data'!$D:$D,$A$4,'ON Data'!$E:$E,3),SUMIFS('ON Data'!AD:AD,'ON Data'!$E:$E,3))</f>
        <v>0</v>
      </c>
      <c r="AA12" s="264"/>
      <c r="AB12" s="264">
        <f xml:space="preserve">
IF($A$4&lt;=12,SUMIFS('ON Data'!AF:AF,'ON Data'!$D:$D,$A$4,'ON Data'!$E:$E,3),SUMIFS('ON Data'!AF:AF,'ON Data'!$E:$E,3))</f>
        <v>0</v>
      </c>
      <c r="AC12" s="264">
        <f xml:space="preserve">
IF($A$4&lt;=12,SUMIFS('ON Data'!AG:AG,'ON Data'!$D:$D,$A$4,'ON Data'!$E:$E,3),SUMIFS('ON Data'!AG:AG,'ON Data'!$E:$E,3))</f>
        <v>0</v>
      </c>
      <c r="AD12" s="264">
        <f xml:space="preserve">
IF($A$4&lt;=12,SUMIFS('ON Data'!AH:AH,'ON Data'!$D:$D,$A$4,'ON Data'!$E:$E,3),SUMIFS('ON Data'!AH:AH,'ON Data'!$E:$E,3))</f>
        <v>0</v>
      </c>
      <c r="AE12" s="264">
        <f xml:space="preserve">
IF($A$4&lt;=12,SUMIFS('ON Data'!AI:AI,'ON Data'!$D:$D,$A$4,'ON Data'!$E:$E,3),SUMIFS('ON Data'!AI:AI,'ON Data'!$E:$E,3))</f>
        <v>0</v>
      </c>
      <c r="AF12" s="264">
        <f xml:space="preserve">
IF($A$4&lt;=12,SUMIFS('ON Data'!AJ:AJ,'ON Data'!$D:$D,$A$4,'ON Data'!$E:$E,3),SUMIFS('ON Data'!AJ:AJ,'ON Data'!$E:$E,3))</f>
        <v>0</v>
      </c>
      <c r="AG12" s="264">
        <f xml:space="preserve">
IF($A$4&lt;=12,SUMIFS('ON Data'!AK:AK,'ON Data'!$D:$D,$A$4,'ON Data'!$E:$E,3),SUMIFS('ON Data'!AK:AK,'ON Data'!$E:$E,3))</f>
        <v>0</v>
      </c>
      <c r="AH12" s="264">
        <f xml:space="preserve">
IF($A$4&lt;=12,SUMIFS('ON Data'!AL:AL,'ON Data'!$D:$D,$A$4,'ON Data'!$E:$E,3),SUMIFS('ON Data'!AL:AL,'ON Data'!$E:$E,3))</f>
        <v>0</v>
      </c>
      <c r="AI12" s="264">
        <f xml:space="preserve">
IF($A$4&lt;=12,SUMIFS('ON Data'!AM:AM,'ON Data'!$D:$D,$A$4,'ON Data'!$E:$E,3),SUMIFS('ON Data'!AM:AM,'ON Data'!$E:$E,3))</f>
        <v>0</v>
      </c>
      <c r="AJ12" s="264">
        <f xml:space="preserve">
IF($A$4&lt;=12,SUMIFS('ON Data'!AN:AN,'ON Data'!$D:$D,$A$4,'ON Data'!$E:$E,3),SUMIFS('ON Data'!AN:AN,'ON Data'!$E:$E,3))</f>
        <v>0</v>
      </c>
      <c r="AK12" s="264">
        <f xml:space="preserve">
IF($A$4&lt;=12,SUMIFS('ON Data'!AO:AO,'ON Data'!$D:$D,$A$4,'ON Data'!$E:$E,3),SUMIFS('ON Data'!AO:AO,'ON Data'!$E:$E,3))</f>
        <v>0</v>
      </c>
      <c r="AL12" s="264">
        <f xml:space="preserve">
IF($A$4&lt;=12,SUMIFS('ON Data'!AP:AP,'ON Data'!$D:$D,$A$4,'ON Data'!$E:$E,3),SUMIFS('ON Data'!AP:AP,'ON Data'!$E:$E,3))</f>
        <v>0</v>
      </c>
      <c r="AM12" s="264">
        <f xml:space="preserve">
IF($A$4&lt;=12,SUMIFS('ON Data'!AQ:AQ,'ON Data'!$D:$D,$A$4,'ON Data'!$E:$E,3),SUMIFS('ON Data'!AQ:AQ,'ON Data'!$E:$E,3))</f>
        <v>0</v>
      </c>
      <c r="AN12" s="263">
        <f xml:space="preserve">
IF($A$4&lt;=12,SUMIFS('ON Data'!AR:AR,'ON Data'!$D:$D,$A$4,'ON Data'!$E:$E,3),SUMIFS('ON Data'!AR:AR,'ON Data'!$E:$E,3))</f>
        <v>0</v>
      </c>
      <c r="AO12" s="264">
        <f xml:space="preserve">
IF($A$4&lt;=12,SUMIFS('ON Data'!AS:AS,'ON Data'!$D:$D,$A$4,'ON Data'!$E:$E,3),SUMIFS('ON Data'!AS:AS,'ON Data'!$E:$E,3))</f>
        <v>0</v>
      </c>
      <c r="AP12" s="264">
        <f xml:space="preserve">
IF($A$4&lt;=12,SUMIFS('ON Data'!AT:AT,'ON Data'!$D:$D,$A$4,'ON Data'!$E:$E,3),SUMIFS('ON Data'!AT:AT,'ON Data'!$E:$E,3))</f>
        <v>0</v>
      </c>
      <c r="AQ12" s="264">
        <f xml:space="preserve">
IF($A$4&lt;=12,SUMIFS('ON Data'!AU:AU,'ON Data'!$D:$D,$A$4,'ON Data'!$E:$E,3),SUMIFS('ON Data'!AU:AU,'ON Data'!$E:$E,3))</f>
        <v>0</v>
      </c>
      <c r="AR12" s="264">
        <f xml:space="preserve">
IF($A$4&lt;=12,SUMIFS('ON Data'!AV:AV,'ON Data'!$D:$D,$A$4,'ON Data'!$E:$E,3),SUMIFS('ON Data'!AV:AV,'ON Data'!$E:$E,3))</f>
        <v>0</v>
      </c>
      <c r="AS12" s="609">
        <f xml:space="preserve">
IF($A$4&lt;=12,SUMIFS('ON Data'!AW:AW,'ON Data'!$D:$D,$A$4,'ON Data'!$E:$E,3),SUMIFS('ON Data'!AW:AW,'ON Data'!$E:$E,3))</f>
        <v>0</v>
      </c>
      <c r="AT12" s="618"/>
    </row>
    <row r="13" spans="1:46" x14ac:dyDescent="0.3">
      <c r="A13" s="245" t="s">
        <v>192</v>
      </c>
      <c r="B13" s="262">
        <f xml:space="preserve">
IF($A$4&lt;=12,SUMIFS('ON Data'!F:F,'ON Data'!$D:$D,$A$4,'ON Data'!$E:$E,4),SUMIFS('ON Data'!F:F,'ON Data'!$E:$E,4))</f>
        <v>841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/>
      <c r="F13" s="264">
        <f xml:space="preserve">
IF($A$4&lt;=12,SUMIFS('ON Data'!J:J,'ON Data'!$D:$D,$A$4,'ON Data'!$E:$E,4),SUMIFS('ON Data'!J:J,'ON Data'!$E:$E,4))</f>
        <v>0</v>
      </c>
      <c r="G13" s="264">
        <f xml:space="preserve">
IF($A$4&lt;=12,SUMIFS('ON Data'!K:K,'ON Data'!$D:$D,$A$4,'ON Data'!$E:$E,4),SUMIFS('ON Data'!K:K,'ON Data'!$E:$E,4))</f>
        <v>0</v>
      </c>
      <c r="H13" s="264">
        <f xml:space="preserve">
IF($A$4&lt;=12,SUMIFS('ON Data'!L:L,'ON Data'!$D:$D,$A$4,'ON Data'!$E:$E,4),SUMIFS('ON Data'!L:L,'ON Data'!$E:$E,4))</f>
        <v>119</v>
      </c>
      <c r="I13" s="264">
        <f xml:space="preserve">
IF($A$4&lt;=12,SUMIFS('ON Data'!M:M,'ON Data'!$D:$D,$A$4,'ON Data'!$E:$E,4),SUMIFS('ON Data'!M:M,'ON Data'!$E:$E,4))</f>
        <v>0</v>
      </c>
      <c r="J13" s="264">
        <f xml:space="preserve">
IF($A$4&lt;=12,SUMIFS('ON Data'!N:N,'ON Data'!$D:$D,$A$4,'ON Data'!$E:$E,4),SUMIFS('ON Data'!N:N,'ON Data'!$E:$E,4))</f>
        <v>0</v>
      </c>
      <c r="K13" s="264">
        <f xml:space="preserve">
IF($A$4&lt;=12,SUMIFS('ON Data'!O:O,'ON Data'!$D:$D,$A$4,'ON Data'!$E:$E,4),SUMIFS('ON Data'!O:O,'ON Data'!$E:$E,4))</f>
        <v>0</v>
      </c>
      <c r="L13" s="264">
        <f xml:space="preserve">
IF($A$4&lt;=12,SUMIFS('ON Data'!P:P,'ON Data'!$D:$D,$A$4,'ON Data'!$E:$E,4),SUMIFS('ON Data'!P:P,'ON Data'!$E:$E,4))</f>
        <v>0</v>
      </c>
      <c r="M13" s="264">
        <f xml:space="preserve">
IF($A$4&lt;=12,SUMIFS('ON Data'!Q:Q,'ON Data'!$D:$D,$A$4,'ON Data'!$E:$E,4),SUMIFS('ON Data'!Q:Q,'ON Data'!$E:$E,4))</f>
        <v>36</v>
      </c>
      <c r="N13" s="264">
        <f xml:space="preserve">
IF($A$4&lt;=12,SUMIFS('ON Data'!R:R,'ON Data'!$D:$D,$A$4,'ON Data'!$E:$E,4),SUMIFS('ON Data'!R:R,'ON Data'!$E:$E,4))</f>
        <v>27</v>
      </c>
      <c r="O13" s="264">
        <f xml:space="preserve">
IF($A$4&lt;=12,SUMIFS('ON Data'!S:S,'ON Data'!$D:$D,$A$4,'ON Data'!$E:$E,4),SUMIFS('ON Data'!S:S,'ON Data'!$E:$E,4))</f>
        <v>7</v>
      </c>
      <c r="P13" s="264">
        <f xml:space="preserve">
IF($A$4&lt;=12,SUMIFS('ON Data'!T:T,'ON Data'!$D:$D,$A$4,'ON Data'!$E:$E,4),SUMIFS('ON Data'!T:T,'ON Data'!$E:$E,4))</f>
        <v>0</v>
      </c>
      <c r="Q13" s="264">
        <f xml:space="preserve">
IF($A$4&lt;=12,SUMIFS('ON Data'!U:U,'ON Data'!$D:$D,$A$4,'ON Data'!$E:$E,4),SUMIFS('ON Data'!U:U,'ON Data'!$E:$E,4))</f>
        <v>0</v>
      </c>
      <c r="R13" s="264">
        <f xml:space="preserve">
IF($A$4&lt;=12,SUMIFS('ON Data'!V:V,'ON Data'!$D:$D,$A$4,'ON Data'!$E:$E,4),SUMIFS('ON Data'!V:V,'ON Data'!$E:$E,4))</f>
        <v>0</v>
      </c>
      <c r="S13" s="264">
        <f xml:space="preserve">
IF($A$4&lt;=12,SUMIFS('ON Data'!W:W,'ON Data'!$D:$D,$A$4,'ON Data'!$E:$E,4),SUMIFS('ON Data'!W:W,'ON Data'!$E:$E,4))</f>
        <v>612</v>
      </c>
      <c r="T13" s="264">
        <f xml:space="preserve">
IF($A$4&lt;=12,SUMIFS('ON Data'!X:X,'ON Data'!$D:$D,$A$4,'ON Data'!$E:$E,4),SUMIFS('ON Data'!X:X,'ON Data'!$E:$E,4))</f>
        <v>0</v>
      </c>
      <c r="U13" s="264">
        <f xml:space="preserve">
IF($A$4&lt;=12,SUMIFS('ON Data'!Y:Y,'ON Data'!$D:$D,$A$4,'ON Data'!$E:$E,4),SUMIFS('ON Data'!Y:Y,'ON Data'!$E:$E,4))</f>
        <v>0</v>
      </c>
      <c r="V13" s="264">
        <f xml:space="preserve">
IF($A$4&lt;=12,SUMIFS('ON Data'!Z:Z,'ON Data'!$D:$D,$A$4,'ON Data'!$E:$E,4),SUMIFS('ON Data'!Z:Z,'ON Data'!$E:$E,4))</f>
        <v>0</v>
      </c>
      <c r="W13" s="264">
        <f xml:space="preserve">
IF($A$4&lt;=12,SUMIFS('ON Data'!AA:AA,'ON Data'!$D:$D,$A$4,'ON Data'!$E:$E,4),SUMIFS('ON Data'!AA:AA,'ON Data'!$E:$E,4))</f>
        <v>0</v>
      </c>
      <c r="X13" s="264">
        <f xml:space="preserve">
IF($A$4&lt;=12,SUMIFS('ON Data'!AB:AB,'ON Data'!$D:$D,$A$4,'ON Data'!$E:$E,4),SUMIFS('ON Data'!AB:AB,'ON Data'!$E:$E,4))</f>
        <v>0</v>
      </c>
      <c r="Y13" s="264">
        <f xml:space="preserve">
IF($A$4&lt;=12,SUMIFS('ON Data'!AC:AC,'ON Data'!$D:$D,$A$4,'ON Data'!$E:$E,4),SUMIFS('ON Data'!AC:AC,'ON Data'!$E:$E,4))</f>
        <v>0</v>
      </c>
      <c r="Z13" s="264">
        <f xml:space="preserve">
IF($A$4&lt;=12,SUMIFS('ON Data'!AD:AD,'ON Data'!$D:$D,$A$4,'ON Data'!$E:$E,4),SUMIFS('ON Data'!AD:AD,'ON Data'!$E:$E,4))</f>
        <v>0</v>
      </c>
      <c r="AA13" s="264"/>
      <c r="AB13" s="264">
        <f xml:space="preserve">
IF($A$4&lt;=12,SUMIFS('ON Data'!AF:AF,'ON Data'!$D:$D,$A$4,'ON Data'!$E:$E,4),SUMIFS('ON Data'!AF:AF,'ON Data'!$E:$E,4))</f>
        <v>0</v>
      </c>
      <c r="AC13" s="264">
        <f xml:space="preserve">
IF($A$4&lt;=12,SUMIFS('ON Data'!AG:AG,'ON Data'!$D:$D,$A$4,'ON Data'!$E:$E,4),SUMIFS('ON Data'!AG:AG,'ON Data'!$E:$E,4))</f>
        <v>0</v>
      </c>
      <c r="AD13" s="264">
        <f xml:space="preserve">
IF($A$4&lt;=12,SUMIFS('ON Data'!AH:AH,'ON Data'!$D:$D,$A$4,'ON Data'!$E:$E,4),SUMIFS('ON Data'!AH:AH,'ON Data'!$E:$E,4))</f>
        <v>0</v>
      </c>
      <c r="AE13" s="264">
        <f xml:space="preserve">
IF($A$4&lt;=12,SUMIFS('ON Data'!AI:AI,'ON Data'!$D:$D,$A$4,'ON Data'!$E:$E,4),SUMIFS('ON Data'!AI:AI,'ON Data'!$E:$E,4))</f>
        <v>0</v>
      </c>
      <c r="AF13" s="264">
        <f xml:space="preserve">
IF($A$4&lt;=12,SUMIFS('ON Data'!AJ:AJ,'ON Data'!$D:$D,$A$4,'ON Data'!$E:$E,4),SUMIFS('ON Data'!AJ:AJ,'ON Data'!$E:$E,4))</f>
        <v>0</v>
      </c>
      <c r="AG13" s="264">
        <f xml:space="preserve">
IF($A$4&lt;=12,SUMIFS('ON Data'!AK:AK,'ON Data'!$D:$D,$A$4,'ON Data'!$E:$E,4),SUMIFS('ON Data'!AK:AK,'ON Data'!$E:$E,4))</f>
        <v>0</v>
      </c>
      <c r="AH13" s="264">
        <f xml:space="preserve">
IF($A$4&lt;=12,SUMIFS('ON Data'!AL:AL,'ON Data'!$D:$D,$A$4,'ON Data'!$E:$E,4),SUMIFS('ON Data'!AL:AL,'ON Data'!$E:$E,4))</f>
        <v>0</v>
      </c>
      <c r="AI13" s="264">
        <f xml:space="preserve">
IF($A$4&lt;=12,SUMIFS('ON Data'!AM:AM,'ON Data'!$D:$D,$A$4,'ON Data'!$E:$E,4),SUMIFS('ON Data'!AM:AM,'ON Data'!$E:$E,4))</f>
        <v>0</v>
      </c>
      <c r="AJ13" s="264">
        <f xml:space="preserve">
IF($A$4&lt;=12,SUMIFS('ON Data'!AN:AN,'ON Data'!$D:$D,$A$4,'ON Data'!$E:$E,4),SUMIFS('ON Data'!AN:AN,'ON Data'!$E:$E,4))</f>
        <v>0</v>
      </c>
      <c r="AK13" s="264">
        <f xml:space="preserve">
IF($A$4&lt;=12,SUMIFS('ON Data'!AO:AO,'ON Data'!$D:$D,$A$4,'ON Data'!$E:$E,4),SUMIFS('ON Data'!AO:AO,'ON Data'!$E:$E,4))</f>
        <v>0</v>
      </c>
      <c r="AL13" s="264">
        <f xml:space="preserve">
IF($A$4&lt;=12,SUMIFS('ON Data'!AP:AP,'ON Data'!$D:$D,$A$4,'ON Data'!$E:$E,4),SUMIFS('ON Data'!AP:AP,'ON Data'!$E:$E,4))</f>
        <v>0</v>
      </c>
      <c r="AM13" s="264">
        <f xml:space="preserve">
IF($A$4&lt;=12,SUMIFS('ON Data'!AQ:AQ,'ON Data'!$D:$D,$A$4,'ON Data'!$E:$E,4),SUMIFS('ON Data'!AQ:AQ,'ON Data'!$E:$E,4))</f>
        <v>0</v>
      </c>
      <c r="AN13" s="263">
        <f xml:space="preserve">
IF($A$4&lt;=12,SUMIFS('ON Data'!AR:AR,'ON Data'!$D:$D,$A$4,'ON Data'!$E:$E,4),SUMIFS('ON Data'!AR:AR,'ON Data'!$E:$E,4))</f>
        <v>0</v>
      </c>
      <c r="AO13" s="264">
        <f xml:space="preserve">
IF($A$4&lt;=12,SUMIFS('ON Data'!AS:AS,'ON Data'!$D:$D,$A$4,'ON Data'!$E:$E,4),SUMIFS('ON Data'!AS:AS,'ON Data'!$E:$E,4))</f>
        <v>0</v>
      </c>
      <c r="AP13" s="264">
        <f xml:space="preserve">
IF($A$4&lt;=12,SUMIFS('ON Data'!AT:AT,'ON Data'!$D:$D,$A$4,'ON Data'!$E:$E,4),SUMIFS('ON Data'!AT:AT,'ON Data'!$E:$E,4))</f>
        <v>0</v>
      </c>
      <c r="AQ13" s="264">
        <f xml:space="preserve">
IF($A$4&lt;=12,SUMIFS('ON Data'!AU:AU,'ON Data'!$D:$D,$A$4,'ON Data'!$E:$E,4),SUMIFS('ON Data'!AU:AU,'ON Data'!$E:$E,4))</f>
        <v>0</v>
      </c>
      <c r="AR13" s="264">
        <f xml:space="preserve">
IF($A$4&lt;=12,SUMIFS('ON Data'!AV:AV,'ON Data'!$D:$D,$A$4,'ON Data'!$E:$E,4),SUMIFS('ON Data'!AV:AV,'ON Data'!$E:$E,4))</f>
        <v>0</v>
      </c>
      <c r="AS13" s="609">
        <f xml:space="preserve">
IF($A$4&lt;=12,SUMIFS('ON Data'!AW:AW,'ON Data'!$D:$D,$A$4,'ON Data'!$E:$E,4),SUMIFS('ON Data'!AW:AW,'ON Data'!$E:$E,4))</f>
        <v>0</v>
      </c>
      <c r="AT13" s="618"/>
    </row>
    <row r="14" spans="1:46" ht="15" thickBot="1" x14ac:dyDescent="0.35">
      <c r="A14" s="246" t="s">
        <v>186</v>
      </c>
      <c r="B14" s="266">
        <f xml:space="preserve">
IF($A$4&lt;=12,SUMIFS('ON Data'!F:F,'ON Data'!$D:$D,$A$4,'ON Data'!$E:$E,5),SUMIFS('ON Data'!F:F,'ON Data'!$E:$E,5))</f>
        <v>15</v>
      </c>
      <c r="C14" s="267">
        <f xml:space="preserve">
IF($A$4&lt;=12,SUMIFS('ON Data'!G:G,'ON Data'!$D:$D,$A$4,'ON Data'!$E:$E,5),SUMIFS('ON Data'!G:G,'ON Data'!$E:$E,5))</f>
        <v>0</v>
      </c>
      <c r="D14" s="268">
        <f xml:space="preserve">
IF($A$4&lt;=12,SUMIFS('ON Data'!H:H,'ON Data'!$D:$D,$A$4,'ON Data'!$E:$E,5),SUMIFS('ON Data'!H:H,'ON Data'!$E:$E,5))</f>
        <v>0</v>
      </c>
      <c r="E14" s="268"/>
      <c r="F14" s="268">
        <f xml:space="preserve">
IF($A$4&lt;=12,SUMIFS('ON Data'!J:J,'ON Data'!$D:$D,$A$4,'ON Data'!$E:$E,5),SUMIFS('ON Data'!J:J,'ON Data'!$E:$E,5))</f>
        <v>0</v>
      </c>
      <c r="G14" s="268">
        <f xml:space="preserve">
IF($A$4&lt;=12,SUMIFS('ON Data'!K:K,'ON Data'!$D:$D,$A$4,'ON Data'!$E:$E,5),SUMIFS('ON Data'!K:K,'ON Data'!$E:$E,5))</f>
        <v>0</v>
      </c>
      <c r="H14" s="268">
        <f xml:space="preserve">
IF($A$4&lt;=12,SUMIFS('ON Data'!L:L,'ON Data'!$D:$D,$A$4,'ON Data'!$E:$E,5),SUMIFS('ON Data'!L:L,'ON Data'!$E:$E,5))</f>
        <v>0</v>
      </c>
      <c r="I14" s="268">
        <f xml:space="preserve">
IF($A$4&lt;=12,SUMIFS('ON Data'!M:M,'ON Data'!$D:$D,$A$4,'ON Data'!$E:$E,5),SUMIFS('ON Data'!M:M,'ON Data'!$E:$E,5))</f>
        <v>0</v>
      </c>
      <c r="J14" s="268">
        <f xml:space="preserve">
IF($A$4&lt;=12,SUMIFS('ON Data'!N:N,'ON Data'!$D:$D,$A$4,'ON Data'!$E:$E,5),SUMIFS('ON Data'!N:N,'ON Data'!$E:$E,5))</f>
        <v>0</v>
      </c>
      <c r="K14" s="268">
        <f xml:space="preserve">
IF($A$4&lt;=12,SUMIFS('ON Data'!O:O,'ON Data'!$D:$D,$A$4,'ON Data'!$E:$E,5),SUMIFS('ON Data'!O:O,'ON Data'!$E:$E,5))</f>
        <v>0</v>
      </c>
      <c r="L14" s="268">
        <f xml:space="preserve">
IF($A$4&lt;=12,SUMIFS('ON Data'!P:P,'ON Data'!$D:$D,$A$4,'ON Data'!$E:$E,5),SUMIFS('ON Data'!P:P,'ON Data'!$E:$E,5))</f>
        <v>0</v>
      </c>
      <c r="M14" s="268">
        <f xml:space="preserve">
IF($A$4&lt;=12,SUMIFS('ON Data'!Q:Q,'ON Data'!$D:$D,$A$4,'ON Data'!$E:$E,5),SUMIFS('ON Data'!Q:Q,'ON Data'!$E:$E,5))</f>
        <v>0</v>
      </c>
      <c r="N14" s="268">
        <f xml:space="preserve">
IF($A$4&lt;=12,SUMIFS('ON Data'!R:R,'ON Data'!$D:$D,$A$4,'ON Data'!$E:$E,5),SUMIFS('ON Data'!R:R,'ON Data'!$E:$E,5))</f>
        <v>0</v>
      </c>
      <c r="O14" s="268">
        <f xml:space="preserve">
IF($A$4&lt;=12,SUMIFS('ON Data'!S:S,'ON Data'!$D:$D,$A$4,'ON Data'!$E:$E,5),SUMIFS('ON Data'!S:S,'ON Data'!$E:$E,5))</f>
        <v>0</v>
      </c>
      <c r="P14" s="268">
        <f xml:space="preserve">
IF($A$4&lt;=12,SUMIFS('ON Data'!T:T,'ON Data'!$D:$D,$A$4,'ON Data'!$E:$E,5),SUMIFS('ON Data'!T:T,'ON Data'!$E:$E,5))</f>
        <v>0</v>
      </c>
      <c r="Q14" s="268">
        <f xml:space="preserve">
IF($A$4&lt;=12,SUMIFS('ON Data'!U:U,'ON Data'!$D:$D,$A$4,'ON Data'!$E:$E,5),SUMIFS('ON Data'!U:U,'ON Data'!$E:$E,5))</f>
        <v>0</v>
      </c>
      <c r="R14" s="268">
        <f xml:space="preserve">
IF($A$4&lt;=12,SUMIFS('ON Data'!V:V,'ON Data'!$D:$D,$A$4,'ON Data'!$E:$E,5),SUMIFS('ON Data'!V:V,'ON Data'!$E:$E,5))</f>
        <v>0</v>
      </c>
      <c r="S14" s="268">
        <f xml:space="preserve">
IF($A$4&lt;=12,SUMIFS('ON Data'!W:W,'ON Data'!$D:$D,$A$4,'ON Data'!$E:$E,5),SUMIFS('ON Data'!W:W,'ON Data'!$E:$E,5))</f>
        <v>6</v>
      </c>
      <c r="T14" s="268">
        <f xml:space="preserve">
IF($A$4&lt;=12,SUMIFS('ON Data'!X:X,'ON Data'!$D:$D,$A$4,'ON Data'!$E:$E,5),SUMIFS('ON Data'!X:X,'ON Data'!$E:$E,5))</f>
        <v>0</v>
      </c>
      <c r="U14" s="268">
        <f xml:space="preserve">
IF($A$4&lt;=12,SUMIFS('ON Data'!Y:Y,'ON Data'!$D:$D,$A$4,'ON Data'!$E:$E,5),SUMIFS('ON Data'!Y:Y,'ON Data'!$E:$E,5))</f>
        <v>0</v>
      </c>
      <c r="V14" s="268">
        <f xml:space="preserve">
IF($A$4&lt;=12,SUMIFS('ON Data'!Z:Z,'ON Data'!$D:$D,$A$4,'ON Data'!$E:$E,5),SUMIFS('ON Data'!Z:Z,'ON Data'!$E:$E,5))</f>
        <v>0</v>
      </c>
      <c r="W14" s="268">
        <f xml:space="preserve">
IF($A$4&lt;=12,SUMIFS('ON Data'!AA:AA,'ON Data'!$D:$D,$A$4,'ON Data'!$E:$E,5),SUMIFS('ON Data'!AA:AA,'ON Data'!$E:$E,5))</f>
        <v>0</v>
      </c>
      <c r="X14" s="268">
        <f xml:space="preserve">
IF($A$4&lt;=12,SUMIFS('ON Data'!AB:AB,'ON Data'!$D:$D,$A$4,'ON Data'!$E:$E,5),SUMIFS('ON Data'!AB:AB,'ON Data'!$E:$E,5))</f>
        <v>0</v>
      </c>
      <c r="Y14" s="268">
        <f xml:space="preserve">
IF($A$4&lt;=12,SUMIFS('ON Data'!AC:AC,'ON Data'!$D:$D,$A$4,'ON Data'!$E:$E,5),SUMIFS('ON Data'!AC:AC,'ON Data'!$E:$E,5))</f>
        <v>0</v>
      </c>
      <c r="Z14" s="268">
        <f xml:space="preserve">
IF($A$4&lt;=12,SUMIFS('ON Data'!AD:AD,'ON Data'!$D:$D,$A$4,'ON Data'!$E:$E,5),SUMIFS('ON Data'!AD:AD,'ON Data'!$E:$E,5))</f>
        <v>0</v>
      </c>
      <c r="AA14" s="268"/>
      <c r="AB14" s="268">
        <f xml:space="preserve">
IF($A$4&lt;=12,SUMIFS('ON Data'!AF:AF,'ON Data'!$D:$D,$A$4,'ON Data'!$E:$E,5),SUMIFS('ON Data'!AF:AF,'ON Data'!$E:$E,5))</f>
        <v>0</v>
      </c>
      <c r="AC14" s="268">
        <f xml:space="preserve">
IF($A$4&lt;=12,SUMIFS('ON Data'!AG:AG,'ON Data'!$D:$D,$A$4,'ON Data'!$E:$E,5),SUMIFS('ON Data'!AG:AG,'ON Data'!$E:$E,5))</f>
        <v>0</v>
      </c>
      <c r="AD14" s="268">
        <f xml:space="preserve">
IF($A$4&lt;=12,SUMIFS('ON Data'!AH:AH,'ON Data'!$D:$D,$A$4,'ON Data'!$E:$E,5),SUMIFS('ON Data'!AH:AH,'ON Data'!$E:$E,5))</f>
        <v>0</v>
      </c>
      <c r="AE14" s="268">
        <f xml:space="preserve">
IF($A$4&lt;=12,SUMIFS('ON Data'!AI:AI,'ON Data'!$D:$D,$A$4,'ON Data'!$E:$E,5),SUMIFS('ON Data'!AI:AI,'ON Data'!$E:$E,5))</f>
        <v>0</v>
      </c>
      <c r="AF14" s="268">
        <f xml:space="preserve">
IF($A$4&lt;=12,SUMIFS('ON Data'!AJ:AJ,'ON Data'!$D:$D,$A$4,'ON Data'!$E:$E,5),SUMIFS('ON Data'!AJ:AJ,'ON Data'!$E:$E,5))</f>
        <v>0</v>
      </c>
      <c r="AG14" s="268">
        <f xml:space="preserve">
IF($A$4&lt;=12,SUMIFS('ON Data'!AK:AK,'ON Data'!$D:$D,$A$4,'ON Data'!$E:$E,5),SUMIFS('ON Data'!AK:AK,'ON Data'!$E:$E,5))</f>
        <v>0</v>
      </c>
      <c r="AH14" s="268">
        <f xml:space="preserve">
IF($A$4&lt;=12,SUMIFS('ON Data'!AL:AL,'ON Data'!$D:$D,$A$4,'ON Data'!$E:$E,5),SUMIFS('ON Data'!AL:AL,'ON Data'!$E:$E,5))</f>
        <v>0</v>
      </c>
      <c r="AI14" s="268">
        <f xml:space="preserve">
IF($A$4&lt;=12,SUMIFS('ON Data'!AM:AM,'ON Data'!$D:$D,$A$4,'ON Data'!$E:$E,5),SUMIFS('ON Data'!AM:AM,'ON Data'!$E:$E,5))</f>
        <v>0</v>
      </c>
      <c r="AJ14" s="268">
        <f xml:space="preserve">
IF($A$4&lt;=12,SUMIFS('ON Data'!AN:AN,'ON Data'!$D:$D,$A$4,'ON Data'!$E:$E,5),SUMIFS('ON Data'!AN:AN,'ON Data'!$E:$E,5))</f>
        <v>0</v>
      </c>
      <c r="AK14" s="268">
        <f xml:space="preserve">
IF($A$4&lt;=12,SUMIFS('ON Data'!AO:AO,'ON Data'!$D:$D,$A$4,'ON Data'!$E:$E,5),SUMIFS('ON Data'!AO:AO,'ON Data'!$E:$E,5))</f>
        <v>0</v>
      </c>
      <c r="AL14" s="268">
        <f xml:space="preserve">
IF($A$4&lt;=12,SUMIFS('ON Data'!AP:AP,'ON Data'!$D:$D,$A$4,'ON Data'!$E:$E,5),SUMIFS('ON Data'!AP:AP,'ON Data'!$E:$E,5))</f>
        <v>0</v>
      </c>
      <c r="AM14" s="268">
        <f xml:space="preserve">
IF($A$4&lt;=12,SUMIFS('ON Data'!AQ:AQ,'ON Data'!$D:$D,$A$4,'ON Data'!$E:$E,5),SUMIFS('ON Data'!AQ:AQ,'ON Data'!$E:$E,5))</f>
        <v>0</v>
      </c>
      <c r="AN14" s="267">
        <f xml:space="preserve">
IF($A$4&lt;=12,SUMIFS('ON Data'!AR:AR,'ON Data'!$D:$D,$A$4,'ON Data'!$E:$E,5),SUMIFS('ON Data'!AR:AR,'ON Data'!$E:$E,5))</f>
        <v>0</v>
      </c>
      <c r="AO14" s="268">
        <f xml:space="preserve">
IF($A$4&lt;=12,SUMIFS('ON Data'!AS:AS,'ON Data'!$D:$D,$A$4,'ON Data'!$E:$E,5),SUMIFS('ON Data'!AS:AS,'ON Data'!$E:$E,5))</f>
        <v>0</v>
      </c>
      <c r="AP14" s="268">
        <f xml:space="preserve">
IF($A$4&lt;=12,SUMIFS('ON Data'!AT:AT,'ON Data'!$D:$D,$A$4,'ON Data'!$E:$E,5),SUMIFS('ON Data'!AT:AT,'ON Data'!$E:$E,5))</f>
        <v>0</v>
      </c>
      <c r="AQ14" s="268">
        <f xml:space="preserve">
IF($A$4&lt;=12,SUMIFS('ON Data'!AU:AU,'ON Data'!$D:$D,$A$4,'ON Data'!$E:$E,5),SUMIFS('ON Data'!AU:AU,'ON Data'!$E:$E,5))</f>
        <v>0</v>
      </c>
      <c r="AR14" s="268">
        <f xml:space="preserve">
IF($A$4&lt;=12,SUMIFS('ON Data'!AV:AV,'ON Data'!$D:$D,$A$4,'ON Data'!$E:$E,5),SUMIFS('ON Data'!AV:AV,'ON Data'!$E:$E,5))</f>
        <v>0</v>
      </c>
      <c r="AS14" s="610">
        <f xml:space="preserve">
IF($A$4&lt;=12,SUMIFS('ON Data'!AW:AW,'ON Data'!$D:$D,$A$4,'ON Data'!$E:$E,5),SUMIFS('ON Data'!AW:AW,'ON Data'!$E:$E,5))</f>
        <v>0</v>
      </c>
      <c r="AT14" s="618"/>
    </row>
    <row r="15" spans="1:46" x14ac:dyDescent="0.3">
      <c r="A15" s="162" t="s">
        <v>196</v>
      </c>
      <c r="B15" s="270"/>
      <c r="C15" s="271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326"/>
      <c r="AO15" s="272"/>
      <c r="AP15" s="272"/>
      <c r="AQ15" s="272"/>
      <c r="AR15" s="272"/>
      <c r="AS15" s="611"/>
      <c r="AT15" s="618"/>
    </row>
    <row r="16" spans="1:46" x14ac:dyDescent="0.3">
      <c r="A16" s="247" t="s">
        <v>187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/>
      <c r="F16" s="264">
        <f xml:space="preserve">
IF($A$4&lt;=12,SUMIFS('ON Data'!J:J,'ON Data'!$D:$D,$A$4,'ON Data'!$E:$E,7),SUMIFS('ON Data'!J:J,'ON Data'!$E:$E,7))</f>
        <v>0</v>
      </c>
      <c r="G16" s="264">
        <f xml:space="preserve">
IF($A$4&lt;=12,SUMIFS('ON Data'!K:K,'ON Data'!$D:$D,$A$4,'ON Data'!$E:$E,7),SUMIFS('ON Data'!K:K,'ON Data'!$E:$E,7))</f>
        <v>0</v>
      </c>
      <c r="H16" s="264">
        <f xml:space="preserve">
IF($A$4&lt;=12,SUMIFS('ON Data'!L:L,'ON Data'!$D:$D,$A$4,'ON Data'!$E:$E,7),SUMIFS('ON Data'!L:L,'ON Data'!$E:$E,7))</f>
        <v>0</v>
      </c>
      <c r="I16" s="264">
        <f xml:space="preserve">
IF($A$4&lt;=12,SUMIFS('ON Data'!M:M,'ON Data'!$D:$D,$A$4,'ON Data'!$E:$E,7),SUMIFS('ON Data'!M:M,'ON Data'!$E:$E,7))</f>
        <v>0</v>
      </c>
      <c r="J16" s="264">
        <f xml:space="preserve">
IF($A$4&lt;=12,SUMIFS('ON Data'!N:N,'ON Data'!$D:$D,$A$4,'ON Data'!$E:$E,7),SUMIFS('ON Data'!N:N,'ON Data'!$E:$E,7))</f>
        <v>0</v>
      </c>
      <c r="K16" s="264">
        <f xml:space="preserve">
IF($A$4&lt;=12,SUMIFS('ON Data'!O:O,'ON Data'!$D:$D,$A$4,'ON Data'!$E:$E,7),SUMIFS('ON Data'!O:O,'ON Data'!$E:$E,7))</f>
        <v>0</v>
      </c>
      <c r="L16" s="264">
        <f xml:space="preserve">
IF($A$4&lt;=12,SUMIFS('ON Data'!P:P,'ON Data'!$D:$D,$A$4,'ON Data'!$E:$E,7),SUMIFS('ON Data'!P:P,'ON Data'!$E:$E,7))</f>
        <v>0</v>
      </c>
      <c r="M16" s="264">
        <f xml:space="preserve">
IF($A$4&lt;=12,SUMIFS('ON Data'!Q:Q,'ON Data'!$D:$D,$A$4,'ON Data'!$E:$E,7),SUMIFS('ON Data'!Q:Q,'ON Data'!$E:$E,7))</f>
        <v>0</v>
      </c>
      <c r="N16" s="264">
        <f xml:space="preserve">
IF($A$4&lt;=12,SUMIFS('ON Data'!R:R,'ON Data'!$D:$D,$A$4,'ON Data'!$E:$E,7),SUMIFS('ON Data'!R:R,'ON Data'!$E:$E,7))</f>
        <v>0</v>
      </c>
      <c r="O16" s="264">
        <f xml:space="preserve">
IF($A$4&lt;=12,SUMIFS('ON Data'!S:S,'ON Data'!$D:$D,$A$4,'ON Data'!$E:$E,7),SUMIFS('ON Data'!S:S,'ON Data'!$E:$E,7))</f>
        <v>0</v>
      </c>
      <c r="P16" s="264">
        <f xml:space="preserve">
IF($A$4&lt;=12,SUMIFS('ON Data'!T:T,'ON Data'!$D:$D,$A$4,'ON Data'!$E:$E,7),SUMIFS('ON Data'!T:T,'ON Data'!$E:$E,7))</f>
        <v>0</v>
      </c>
      <c r="Q16" s="264">
        <f xml:space="preserve">
IF($A$4&lt;=12,SUMIFS('ON Data'!U:U,'ON Data'!$D:$D,$A$4,'ON Data'!$E:$E,7),SUMIFS('ON Data'!U:U,'ON Data'!$E:$E,7))</f>
        <v>0</v>
      </c>
      <c r="R16" s="264">
        <f xml:space="preserve">
IF($A$4&lt;=12,SUMIFS('ON Data'!V:V,'ON Data'!$D:$D,$A$4,'ON Data'!$E:$E,7),SUMIFS('ON Data'!V:V,'ON Data'!$E:$E,7))</f>
        <v>0</v>
      </c>
      <c r="S16" s="264">
        <f xml:space="preserve">
IF($A$4&lt;=12,SUMIFS('ON Data'!W:W,'ON Data'!$D:$D,$A$4,'ON Data'!$E:$E,7),SUMIFS('ON Data'!W:W,'ON Data'!$E:$E,7))</f>
        <v>0</v>
      </c>
      <c r="T16" s="264">
        <f xml:space="preserve">
IF($A$4&lt;=12,SUMIFS('ON Data'!X:X,'ON Data'!$D:$D,$A$4,'ON Data'!$E:$E,7),SUMIFS('ON Data'!X:X,'ON Data'!$E:$E,7))</f>
        <v>0</v>
      </c>
      <c r="U16" s="264">
        <f xml:space="preserve">
IF($A$4&lt;=12,SUMIFS('ON Data'!Y:Y,'ON Data'!$D:$D,$A$4,'ON Data'!$E:$E,7),SUMIFS('ON Data'!Y:Y,'ON Data'!$E:$E,7))</f>
        <v>0</v>
      </c>
      <c r="V16" s="264">
        <f xml:space="preserve">
IF($A$4&lt;=12,SUMIFS('ON Data'!Z:Z,'ON Data'!$D:$D,$A$4,'ON Data'!$E:$E,7),SUMIFS('ON Data'!Z:Z,'ON Data'!$E:$E,7))</f>
        <v>0</v>
      </c>
      <c r="W16" s="264">
        <f xml:space="preserve">
IF($A$4&lt;=12,SUMIFS('ON Data'!AA:AA,'ON Data'!$D:$D,$A$4,'ON Data'!$E:$E,7),SUMIFS('ON Data'!AA:AA,'ON Data'!$E:$E,7))</f>
        <v>0</v>
      </c>
      <c r="X16" s="264">
        <f xml:space="preserve">
IF($A$4&lt;=12,SUMIFS('ON Data'!AB:AB,'ON Data'!$D:$D,$A$4,'ON Data'!$E:$E,7),SUMIFS('ON Data'!AB:AB,'ON Data'!$E:$E,7))</f>
        <v>0</v>
      </c>
      <c r="Y16" s="264">
        <f xml:space="preserve">
IF($A$4&lt;=12,SUMIFS('ON Data'!AC:AC,'ON Data'!$D:$D,$A$4,'ON Data'!$E:$E,7),SUMIFS('ON Data'!AC:AC,'ON Data'!$E:$E,7))</f>
        <v>0</v>
      </c>
      <c r="Z16" s="264">
        <f xml:space="preserve">
IF($A$4&lt;=12,SUMIFS('ON Data'!AD:AD,'ON Data'!$D:$D,$A$4,'ON Data'!$E:$E,7),SUMIFS('ON Data'!AD:AD,'ON Data'!$E:$E,7))</f>
        <v>0</v>
      </c>
      <c r="AA16" s="264"/>
      <c r="AB16" s="264">
        <f xml:space="preserve">
IF($A$4&lt;=12,SUMIFS('ON Data'!AF:AF,'ON Data'!$D:$D,$A$4,'ON Data'!$E:$E,7),SUMIFS('ON Data'!AF:AF,'ON Data'!$E:$E,7))</f>
        <v>0</v>
      </c>
      <c r="AC16" s="264">
        <f xml:space="preserve">
IF($A$4&lt;=12,SUMIFS('ON Data'!AG:AG,'ON Data'!$D:$D,$A$4,'ON Data'!$E:$E,7),SUMIFS('ON Data'!AG:AG,'ON Data'!$E:$E,7))</f>
        <v>0</v>
      </c>
      <c r="AD16" s="264">
        <f xml:space="preserve">
IF($A$4&lt;=12,SUMIFS('ON Data'!AH:AH,'ON Data'!$D:$D,$A$4,'ON Data'!$E:$E,7),SUMIFS('ON Data'!AH:AH,'ON Data'!$E:$E,7))</f>
        <v>0</v>
      </c>
      <c r="AE16" s="264">
        <f xml:space="preserve">
IF($A$4&lt;=12,SUMIFS('ON Data'!AI:AI,'ON Data'!$D:$D,$A$4,'ON Data'!$E:$E,7),SUMIFS('ON Data'!AI:AI,'ON Data'!$E:$E,7))</f>
        <v>0</v>
      </c>
      <c r="AF16" s="264">
        <f xml:space="preserve">
IF($A$4&lt;=12,SUMIFS('ON Data'!AJ:AJ,'ON Data'!$D:$D,$A$4,'ON Data'!$E:$E,7),SUMIFS('ON Data'!AJ:AJ,'ON Data'!$E:$E,7))</f>
        <v>0</v>
      </c>
      <c r="AG16" s="264">
        <f xml:space="preserve">
IF($A$4&lt;=12,SUMIFS('ON Data'!AK:AK,'ON Data'!$D:$D,$A$4,'ON Data'!$E:$E,7),SUMIFS('ON Data'!AK:AK,'ON Data'!$E:$E,7))</f>
        <v>0</v>
      </c>
      <c r="AH16" s="264">
        <f xml:space="preserve">
IF($A$4&lt;=12,SUMIFS('ON Data'!AL:AL,'ON Data'!$D:$D,$A$4,'ON Data'!$E:$E,7),SUMIFS('ON Data'!AL:AL,'ON Data'!$E:$E,7))</f>
        <v>0</v>
      </c>
      <c r="AI16" s="264">
        <f xml:space="preserve">
IF($A$4&lt;=12,SUMIFS('ON Data'!AM:AM,'ON Data'!$D:$D,$A$4,'ON Data'!$E:$E,7),SUMIFS('ON Data'!AM:AM,'ON Data'!$E:$E,7))</f>
        <v>0</v>
      </c>
      <c r="AJ16" s="264">
        <f xml:space="preserve">
IF($A$4&lt;=12,SUMIFS('ON Data'!AN:AN,'ON Data'!$D:$D,$A$4,'ON Data'!$E:$E,7),SUMIFS('ON Data'!AN:AN,'ON Data'!$E:$E,7))</f>
        <v>0</v>
      </c>
      <c r="AK16" s="264">
        <f xml:space="preserve">
IF($A$4&lt;=12,SUMIFS('ON Data'!AO:AO,'ON Data'!$D:$D,$A$4,'ON Data'!$E:$E,7),SUMIFS('ON Data'!AO:AO,'ON Data'!$E:$E,7))</f>
        <v>0</v>
      </c>
      <c r="AL16" s="264">
        <f xml:space="preserve">
IF($A$4&lt;=12,SUMIFS('ON Data'!AP:AP,'ON Data'!$D:$D,$A$4,'ON Data'!$E:$E,7),SUMIFS('ON Data'!AP:AP,'ON Data'!$E:$E,7))</f>
        <v>0</v>
      </c>
      <c r="AM16" s="264">
        <f xml:space="preserve">
IF($A$4&lt;=12,SUMIFS('ON Data'!AQ:AQ,'ON Data'!$D:$D,$A$4,'ON Data'!$E:$E,7),SUMIFS('ON Data'!AQ:AQ,'ON Data'!$E:$E,7))</f>
        <v>0</v>
      </c>
      <c r="AN16" s="263">
        <f xml:space="preserve">
IF($A$4&lt;=12,SUMIFS('ON Data'!AR:AR,'ON Data'!$D:$D,$A$4,'ON Data'!$E:$E,7),SUMIFS('ON Data'!AR:AR,'ON Data'!$E:$E,7))</f>
        <v>0</v>
      </c>
      <c r="AO16" s="264">
        <f xml:space="preserve">
IF($A$4&lt;=12,SUMIFS('ON Data'!AS:AS,'ON Data'!$D:$D,$A$4,'ON Data'!$E:$E,7),SUMIFS('ON Data'!AS:AS,'ON Data'!$E:$E,7))</f>
        <v>0</v>
      </c>
      <c r="AP16" s="264">
        <f xml:space="preserve">
IF($A$4&lt;=12,SUMIFS('ON Data'!AT:AT,'ON Data'!$D:$D,$A$4,'ON Data'!$E:$E,7),SUMIFS('ON Data'!AT:AT,'ON Data'!$E:$E,7))</f>
        <v>0</v>
      </c>
      <c r="AQ16" s="264">
        <f xml:space="preserve">
IF($A$4&lt;=12,SUMIFS('ON Data'!AU:AU,'ON Data'!$D:$D,$A$4,'ON Data'!$E:$E,7),SUMIFS('ON Data'!AU:AU,'ON Data'!$E:$E,7))</f>
        <v>0</v>
      </c>
      <c r="AR16" s="264">
        <f xml:space="preserve">
IF($A$4&lt;=12,SUMIFS('ON Data'!AV:AV,'ON Data'!$D:$D,$A$4,'ON Data'!$E:$E,7),SUMIFS('ON Data'!AV:AV,'ON Data'!$E:$E,7))</f>
        <v>0</v>
      </c>
      <c r="AS16" s="609">
        <f xml:space="preserve">
IF($A$4&lt;=12,SUMIFS('ON Data'!AW:AW,'ON Data'!$D:$D,$A$4,'ON Data'!$E:$E,7),SUMIFS('ON Data'!AW:AW,'ON Data'!$E:$E,7))</f>
        <v>0</v>
      </c>
      <c r="AT16" s="618"/>
    </row>
    <row r="17" spans="1:46" x14ac:dyDescent="0.3">
      <c r="A17" s="247" t="s">
        <v>188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/>
      <c r="F17" s="264">
        <f xml:space="preserve">
IF($A$4&lt;=12,SUMIFS('ON Data'!J:J,'ON Data'!$D:$D,$A$4,'ON Data'!$E:$E,8),SUMIFS('ON Data'!J:J,'ON Data'!$E:$E,8))</f>
        <v>0</v>
      </c>
      <c r="G17" s="264">
        <f xml:space="preserve">
IF($A$4&lt;=12,SUMIFS('ON Data'!K:K,'ON Data'!$D:$D,$A$4,'ON Data'!$E:$E,8),SUMIFS('ON Data'!K:K,'ON Data'!$E:$E,8))</f>
        <v>0</v>
      </c>
      <c r="H17" s="264">
        <f xml:space="preserve">
IF($A$4&lt;=12,SUMIFS('ON Data'!L:L,'ON Data'!$D:$D,$A$4,'ON Data'!$E:$E,8),SUMIFS('ON Data'!L:L,'ON Data'!$E:$E,8))</f>
        <v>0</v>
      </c>
      <c r="I17" s="264">
        <f xml:space="preserve">
IF($A$4&lt;=12,SUMIFS('ON Data'!M:M,'ON Data'!$D:$D,$A$4,'ON Data'!$E:$E,8),SUMIFS('ON Data'!M:M,'ON Data'!$E:$E,8))</f>
        <v>0</v>
      </c>
      <c r="J17" s="264">
        <f xml:space="preserve">
IF($A$4&lt;=12,SUMIFS('ON Data'!N:N,'ON Data'!$D:$D,$A$4,'ON Data'!$E:$E,8),SUMIFS('ON Data'!N:N,'ON Data'!$E:$E,8))</f>
        <v>0</v>
      </c>
      <c r="K17" s="264">
        <f xml:space="preserve">
IF($A$4&lt;=12,SUMIFS('ON Data'!O:O,'ON Data'!$D:$D,$A$4,'ON Data'!$E:$E,8),SUMIFS('ON Data'!O:O,'ON Data'!$E:$E,8))</f>
        <v>0</v>
      </c>
      <c r="L17" s="264">
        <f xml:space="preserve">
IF($A$4&lt;=12,SUMIFS('ON Data'!P:P,'ON Data'!$D:$D,$A$4,'ON Data'!$E:$E,8),SUMIFS('ON Data'!P:P,'ON Data'!$E:$E,8))</f>
        <v>0</v>
      </c>
      <c r="M17" s="264">
        <f xml:space="preserve">
IF($A$4&lt;=12,SUMIFS('ON Data'!Q:Q,'ON Data'!$D:$D,$A$4,'ON Data'!$E:$E,8),SUMIFS('ON Data'!Q:Q,'ON Data'!$E:$E,8))</f>
        <v>0</v>
      </c>
      <c r="N17" s="264">
        <f xml:space="preserve">
IF($A$4&lt;=12,SUMIFS('ON Data'!R:R,'ON Data'!$D:$D,$A$4,'ON Data'!$E:$E,8),SUMIFS('ON Data'!R:R,'ON Data'!$E:$E,8))</f>
        <v>0</v>
      </c>
      <c r="O17" s="264">
        <f xml:space="preserve">
IF($A$4&lt;=12,SUMIFS('ON Data'!S:S,'ON Data'!$D:$D,$A$4,'ON Data'!$E:$E,8),SUMIFS('ON Data'!S:S,'ON Data'!$E:$E,8))</f>
        <v>0</v>
      </c>
      <c r="P17" s="264">
        <f xml:space="preserve">
IF($A$4&lt;=12,SUMIFS('ON Data'!T:T,'ON Data'!$D:$D,$A$4,'ON Data'!$E:$E,8),SUMIFS('ON Data'!T:T,'ON Data'!$E:$E,8))</f>
        <v>0</v>
      </c>
      <c r="Q17" s="264">
        <f xml:space="preserve">
IF($A$4&lt;=12,SUMIFS('ON Data'!U:U,'ON Data'!$D:$D,$A$4,'ON Data'!$E:$E,8),SUMIFS('ON Data'!U:U,'ON Data'!$E:$E,8))</f>
        <v>0</v>
      </c>
      <c r="R17" s="264">
        <f xml:space="preserve">
IF($A$4&lt;=12,SUMIFS('ON Data'!V:V,'ON Data'!$D:$D,$A$4,'ON Data'!$E:$E,8),SUMIFS('ON Data'!V:V,'ON Data'!$E:$E,8))</f>
        <v>0</v>
      </c>
      <c r="S17" s="264">
        <f xml:space="preserve">
IF($A$4&lt;=12,SUMIFS('ON Data'!W:W,'ON Data'!$D:$D,$A$4,'ON Data'!$E:$E,8),SUMIFS('ON Data'!W:W,'ON Data'!$E:$E,8))</f>
        <v>0</v>
      </c>
      <c r="T17" s="264">
        <f xml:space="preserve">
IF($A$4&lt;=12,SUMIFS('ON Data'!X:X,'ON Data'!$D:$D,$A$4,'ON Data'!$E:$E,8),SUMIFS('ON Data'!X:X,'ON Data'!$E:$E,8))</f>
        <v>0</v>
      </c>
      <c r="U17" s="264">
        <f xml:space="preserve">
IF($A$4&lt;=12,SUMIFS('ON Data'!Y:Y,'ON Data'!$D:$D,$A$4,'ON Data'!$E:$E,8),SUMIFS('ON Data'!Y:Y,'ON Data'!$E:$E,8))</f>
        <v>0</v>
      </c>
      <c r="V17" s="264">
        <f xml:space="preserve">
IF($A$4&lt;=12,SUMIFS('ON Data'!Z:Z,'ON Data'!$D:$D,$A$4,'ON Data'!$E:$E,8),SUMIFS('ON Data'!Z:Z,'ON Data'!$E:$E,8))</f>
        <v>0</v>
      </c>
      <c r="W17" s="264">
        <f xml:space="preserve">
IF($A$4&lt;=12,SUMIFS('ON Data'!AA:AA,'ON Data'!$D:$D,$A$4,'ON Data'!$E:$E,8),SUMIFS('ON Data'!AA:AA,'ON Data'!$E:$E,8))</f>
        <v>0</v>
      </c>
      <c r="X17" s="264">
        <f xml:space="preserve">
IF($A$4&lt;=12,SUMIFS('ON Data'!AB:AB,'ON Data'!$D:$D,$A$4,'ON Data'!$E:$E,8),SUMIFS('ON Data'!AB:AB,'ON Data'!$E:$E,8))</f>
        <v>0</v>
      </c>
      <c r="Y17" s="264">
        <f xml:space="preserve">
IF($A$4&lt;=12,SUMIFS('ON Data'!AC:AC,'ON Data'!$D:$D,$A$4,'ON Data'!$E:$E,8),SUMIFS('ON Data'!AC:AC,'ON Data'!$E:$E,8))</f>
        <v>0</v>
      </c>
      <c r="Z17" s="264">
        <f xml:space="preserve">
IF($A$4&lt;=12,SUMIFS('ON Data'!AD:AD,'ON Data'!$D:$D,$A$4,'ON Data'!$E:$E,8),SUMIFS('ON Data'!AD:AD,'ON Data'!$E:$E,8))</f>
        <v>0</v>
      </c>
      <c r="AA17" s="264"/>
      <c r="AB17" s="264">
        <f xml:space="preserve">
IF($A$4&lt;=12,SUMIFS('ON Data'!AF:AF,'ON Data'!$D:$D,$A$4,'ON Data'!$E:$E,8),SUMIFS('ON Data'!AF:AF,'ON Data'!$E:$E,8))</f>
        <v>0</v>
      </c>
      <c r="AC17" s="264">
        <f xml:space="preserve">
IF($A$4&lt;=12,SUMIFS('ON Data'!AG:AG,'ON Data'!$D:$D,$A$4,'ON Data'!$E:$E,8),SUMIFS('ON Data'!AG:AG,'ON Data'!$E:$E,8))</f>
        <v>0</v>
      </c>
      <c r="AD17" s="264">
        <f xml:space="preserve">
IF($A$4&lt;=12,SUMIFS('ON Data'!AH:AH,'ON Data'!$D:$D,$A$4,'ON Data'!$E:$E,8),SUMIFS('ON Data'!AH:AH,'ON Data'!$E:$E,8))</f>
        <v>0</v>
      </c>
      <c r="AE17" s="264">
        <f xml:space="preserve">
IF($A$4&lt;=12,SUMIFS('ON Data'!AI:AI,'ON Data'!$D:$D,$A$4,'ON Data'!$E:$E,8),SUMIFS('ON Data'!AI:AI,'ON Data'!$E:$E,8))</f>
        <v>0</v>
      </c>
      <c r="AF17" s="264">
        <f xml:space="preserve">
IF($A$4&lt;=12,SUMIFS('ON Data'!AJ:AJ,'ON Data'!$D:$D,$A$4,'ON Data'!$E:$E,8),SUMIFS('ON Data'!AJ:AJ,'ON Data'!$E:$E,8))</f>
        <v>0</v>
      </c>
      <c r="AG17" s="264">
        <f xml:space="preserve">
IF($A$4&lt;=12,SUMIFS('ON Data'!AK:AK,'ON Data'!$D:$D,$A$4,'ON Data'!$E:$E,8),SUMIFS('ON Data'!AK:AK,'ON Data'!$E:$E,8))</f>
        <v>0</v>
      </c>
      <c r="AH17" s="264">
        <f xml:space="preserve">
IF($A$4&lt;=12,SUMIFS('ON Data'!AL:AL,'ON Data'!$D:$D,$A$4,'ON Data'!$E:$E,8),SUMIFS('ON Data'!AL:AL,'ON Data'!$E:$E,8))</f>
        <v>0</v>
      </c>
      <c r="AI17" s="264">
        <f xml:space="preserve">
IF($A$4&lt;=12,SUMIFS('ON Data'!AM:AM,'ON Data'!$D:$D,$A$4,'ON Data'!$E:$E,8),SUMIFS('ON Data'!AM:AM,'ON Data'!$E:$E,8))</f>
        <v>0</v>
      </c>
      <c r="AJ17" s="264">
        <f xml:space="preserve">
IF($A$4&lt;=12,SUMIFS('ON Data'!AN:AN,'ON Data'!$D:$D,$A$4,'ON Data'!$E:$E,8),SUMIFS('ON Data'!AN:AN,'ON Data'!$E:$E,8))</f>
        <v>0</v>
      </c>
      <c r="AK17" s="264">
        <f xml:space="preserve">
IF($A$4&lt;=12,SUMIFS('ON Data'!AO:AO,'ON Data'!$D:$D,$A$4,'ON Data'!$E:$E,8),SUMIFS('ON Data'!AO:AO,'ON Data'!$E:$E,8))</f>
        <v>0</v>
      </c>
      <c r="AL17" s="264">
        <f xml:space="preserve">
IF($A$4&lt;=12,SUMIFS('ON Data'!AP:AP,'ON Data'!$D:$D,$A$4,'ON Data'!$E:$E,8),SUMIFS('ON Data'!AP:AP,'ON Data'!$E:$E,8))</f>
        <v>0</v>
      </c>
      <c r="AM17" s="264">
        <f xml:space="preserve">
IF($A$4&lt;=12,SUMIFS('ON Data'!AQ:AQ,'ON Data'!$D:$D,$A$4,'ON Data'!$E:$E,8),SUMIFS('ON Data'!AQ:AQ,'ON Data'!$E:$E,8))</f>
        <v>0</v>
      </c>
      <c r="AN17" s="263">
        <f xml:space="preserve">
IF($A$4&lt;=12,SUMIFS('ON Data'!AR:AR,'ON Data'!$D:$D,$A$4,'ON Data'!$E:$E,8),SUMIFS('ON Data'!AR:AR,'ON Data'!$E:$E,8))</f>
        <v>0</v>
      </c>
      <c r="AO17" s="264">
        <f xml:space="preserve">
IF($A$4&lt;=12,SUMIFS('ON Data'!AS:AS,'ON Data'!$D:$D,$A$4,'ON Data'!$E:$E,8),SUMIFS('ON Data'!AS:AS,'ON Data'!$E:$E,8))</f>
        <v>0</v>
      </c>
      <c r="AP17" s="264">
        <f xml:space="preserve">
IF($A$4&lt;=12,SUMIFS('ON Data'!AT:AT,'ON Data'!$D:$D,$A$4,'ON Data'!$E:$E,8),SUMIFS('ON Data'!AT:AT,'ON Data'!$E:$E,8))</f>
        <v>0</v>
      </c>
      <c r="AQ17" s="264">
        <f xml:space="preserve">
IF($A$4&lt;=12,SUMIFS('ON Data'!AU:AU,'ON Data'!$D:$D,$A$4,'ON Data'!$E:$E,8),SUMIFS('ON Data'!AU:AU,'ON Data'!$E:$E,8))</f>
        <v>0</v>
      </c>
      <c r="AR17" s="264">
        <f xml:space="preserve">
IF($A$4&lt;=12,SUMIFS('ON Data'!AV:AV,'ON Data'!$D:$D,$A$4,'ON Data'!$E:$E,8),SUMIFS('ON Data'!AV:AV,'ON Data'!$E:$E,8))</f>
        <v>0</v>
      </c>
      <c r="AS17" s="609">
        <f xml:space="preserve">
IF($A$4&lt;=12,SUMIFS('ON Data'!AW:AW,'ON Data'!$D:$D,$A$4,'ON Data'!$E:$E,8),SUMIFS('ON Data'!AW:AW,'ON Data'!$E:$E,8))</f>
        <v>0</v>
      </c>
      <c r="AT17" s="618"/>
    </row>
    <row r="18" spans="1:46" x14ac:dyDescent="0.3">
      <c r="A18" s="247" t="s">
        <v>189</v>
      </c>
      <c r="B18" s="262">
        <f xml:space="preserve">
B19-B16-B17</f>
        <v>30406</v>
      </c>
      <c r="C18" s="263">
        <f t="shared" ref="C18:I18" si="0" xml:space="preserve">
C19-C16-C17</f>
        <v>0</v>
      </c>
      <c r="D18" s="264">
        <f t="shared" si="0"/>
        <v>2500</v>
      </c>
      <c r="E18" s="264"/>
      <c r="F18" s="264">
        <f t="shared" si="0"/>
        <v>0</v>
      </c>
      <c r="G18" s="264">
        <f t="shared" si="0"/>
        <v>0</v>
      </c>
      <c r="H18" s="264">
        <f t="shared" si="0"/>
        <v>0</v>
      </c>
      <c r="I18" s="264">
        <f t="shared" si="0"/>
        <v>0</v>
      </c>
      <c r="J18" s="264">
        <f t="shared" ref="J18:AK18" si="1" xml:space="preserve">
J19-J16-J17</f>
        <v>0</v>
      </c>
      <c r="K18" s="264">
        <f t="shared" si="1"/>
        <v>0</v>
      </c>
      <c r="L18" s="264">
        <f t="shared" si="1"/>
        <v>0</v>
      </c>
      <c r="M18" s="264">
        <f t="shared" si="1"/>
        <v>2500</v>
      </c>
      <c r="N18" s="264">
        <f t="shared" si="1"/>
        <v>3000</v>
      </c>
      <c r="O18" s="264">
        <f t="shared" si="1"/>
        <v>500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11748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/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264">
        <f t="shared" si="1"/>
        <v>928</v>
      </c>
      <c r="AI18" s="264">
        <f t="shared" si="1"/>
        <v>0</v>
      </c>
      <c r="AJ18" s="264">
        <f t="shared" si="1"/>
        <v>0</v>
      </c>
      <c r="AK18" s="264">
        <f t="shared" si="1"/>
        <v>0</v>
      </c>
      <c r="AL18" s="264">
        <f t="shared" ref="AL18:AS18" si="2" xml:space="preserve">
AL19-AL16-AL17</f>
        <v>0</v>
      </c>
      <c r="AM18" s="264">
        <f t="shared" si="2"/>
        <v>1000</v>
      </c>
      <c r="AN18" s="263">
        <f t="shared" si="2"/>
        <v>0</v>
      </c>
      <c r="AO18" s="264">
        <f t="shared" si="2"/>
        <v>0</v>
      </c>
      <c r="AP18" s="264">
        <f t="shared" si="2"/>
        <v>8230</v>
      </c>
      <c r="AQ18" s="264">
        <f t="shared" si="2"/>
        <v>0</v>
      </c>
      <c r="AR18" s="264">
        <f t="shared" si="2"/>
        <v>0</v>
      </c>
      <c r="AS18" s="609">
        <f t="shared" si="2"/>
        <v>0</v>
      </c>
      <c r="AT18" s="618"/>
    </row>
    <row r="19" spans="1:46" ht="15" thickBot="1" x14ac:dyDescent="0.35">
      <c r="A19" s="248" t="s">
        <v>190</v>
      </c>
      <c r="B19" s="273">
        <f xml:space="preserve">
IF($A$4&lt;=12,SUMIFS('ON Data'!F:F,'ON Data'!$D:$D,$A$4,'ON Data'!$E:$E,9),SUMIFS('ON Data'!F:F,'ON Data'!$E:$E,9))</f>
        <v>30406</v>
      </c>
      <c r="C19" s="274">
        <f xml:space="preserve">
IF($A$4&lt;=12,SUMIFS('ON Data'!G:G,'ON Data'!$D:$D,$A$4,'ON Data'!$E:$E,9),SUMIFS('ON Data'!G:G,'ON Data'!$E:$E,9))</f>
        <v>0</v>
      </c>
      <c r="D19" s="275">
        <f xml:space="preserve">
IF($A$4&lt;=12,SUMIFS('ON Data'!H:H,'ON Data'!$D:$D,$A$4,'ON Data'!$E:$E,9),SUMIFS('ON Data'!H:H,'ON Data'!$E:$E,9))</f>
        <v>2500</v>
      </c>
      <c r="E19" s="275"/>
      <c r="F19" s="275">
        <f xml:space="preserve">
IF($A$4&lt;=12,SUMIFS('ON Data'!J:J,'ON Data'!$D:$D,$A$4,'ON Data'!$E:$E,9),SUMIFS('ON Data'!J:J,'ON Data'!$E:$E,9))</f>
        <v>0</v>
      </c>
      <c r="G19" s="275">
        <f xml:space="preserve">
IF($A$4&lt;=12,SUMIFS('ON Data'!K:K,'ON Data'!$D:$D,$A$4,'ON Data'!$E:$E,9),SUMIFS('ON Data'!K:K,'ON Data'!$E:$E,9))</f>
        <v>0</v>
      </c>
      <c r="H19" s="275">
        <f xml:space="preserve">
IF($A$4&lt;=12,SUMIFS('ON Data'!L:L,'ON Data'!$D:$D,$A$4,'ON Data'!$E:$E,9),SUMIFS('ON Data'!L:L,'ON Data'!$E:$E,9))</f>
        <v>0</v>
      </c>
      <c r="I19" s="275">
        <f xml:space="preserve">
IF($A$4&lt;=12,SUMIFS('ON Data'!M:M,'ON Data'!$D:$D,$A$4,'ON Data'!$E:$E,9),SUMIFS('ON Data'!M:M,'ON Data'!$E:$E,9))</f>
        <v>0</v>
      </c>
      <c r="J19" s="275">
        <f xml:space="preserve">
IF($A$4&lt;=12,SUMIFS('ON Data'!N:N,'ON Data'!$D:$D,$A$4,'ON Data'!$E:$E,9),SUMIFS('ON Data'!N:N,'ON Data'!$E:$E,9))</f>
        <v>0</v>
      </c>
      <c r="K19" s="275">
        <f xml:space="preserve">
IF($A$4&lt;=12,SUMIFS('ON Data'!O:O,'ON Data'!$D:$D,$A$4,'ON Data'!$E:$E,9),SUMIFS('ON Data'!O:O,'ON Data'!$E:$E,9))</f>
        <v>0</v>
      </c>
      <c r="L19" s="275">
        <f xml:space="preserve">
IF($A$4&lt;=12,SUMIFS('ON Data'!P:P,'ON Data'!$D:$D,$A$4,'ON Data'!$E:$E,9),SUMIFS('ON Data'!P:P,'ON Data'!$E:$E,9))</f>
        <v>0</v>
      </c>
      <c r="M19" s="275">
        <f xml:space="preserve">
IF($A$4&lt;=12,SUMIFS('ON Data'!Q:Q,'ON Data'!$D:$D,$A$4,'ON Data'!$E:$E,9),SUMIFS('ON Data'!Q:Q,'ON Data'!$E:$E,9))</f>
        <v>2500</v>
      </c>
      <c r="N19" s="275">
        <f xml:space="preserve">
IF($A$4&lt;=12,SUMIFS('ON Data'!R:R,'ON Data'!$D:$D,$A$4,'ON Data'!$E:$E,9),SUMIFS('ON Data'!R:R,'ON Data'!$E:$E,9))</f>
        <v>3000</v>
      </c>
      <c r="O19" s="275">
        <f xml:space="preserve">
IF($A$4&lt;=12,SUMIFS('ON Data'!S:S,'ON Data'!$D:$D,$A$4,'ON Data'!$E:$E,9),SUMIFS('ON Data'!S:S,'ON Data'!$E:$E,9))</f>
        <v>500</v>
      </c>
      <c r="P19" s="275">
        <f xml:space="preserve">
IF($A$4&lt;=12,SUMIFS('ON Data'!T:T,'ON Data'!$D:$D,$A$4,'ON Data'!$E:$E,9),SUMIFS('ON Data'!T:T,'ON Data'!$E:$E,9))</f>
        <v>0</v>
      </c>
      <c r="Q19" s="275">
        <f xml:space="preserve">
IF($A$4&lt;=12,SUMIFS('ON Data'!U:U,'ON Data'!$D:$D,$A$4,'ON Data'!$E:$E,9),SUMIFS('ON Data'!U:U,'ON Data'!$E:$E,9))</f>
        <v>0</v>
      </c>
      <c r="R19" s="275">
        <f xml:space="preserve">
IF($A$4&lt;=12,SUMIFS('ON Data'!V:V,'ON Data'!$D:$D,$A$4,'ON Data'!$E:$E,9),SUMIFS('ON Data'!V:V,'ON Data'!$E:$E,9))</f>
        <v>0</v>
      </c>
      <c r="S19" s="275">
        <f xml:space="preserve">
IF($A$4&lt;=12,SUMIFS('ON Data'!W:W,'ON Data'!$D:$D,$A$4,'ON Data'!$E:$E,9),SUMIFS('ON Data'!W:W,'ON Data'!$E:$E,9))</f>
        <v>11748</v>
      </c>
      <c r="T19" s="275">
        <f xml:space="preserve">
IF($A$4&lt;=12,SUMIFS('ON Data'!X:X,'ON Data'!$D:$D,$A$4,'ON Data'!$E:$E,9),SUMIFS('ON Data'!X:X,'ON Data'!$E:$E,9))</f>
        <v>0</v>
      </c>
      <c r="U19" s="275">
        <f xml:space="preserve">
IF($A$4&lt;=12,SUMIFS('ON Data'!Y:Y,'ON Data'!$D:$D,$A$4,'ON Data'!$E:$E,9),SUMIFS('ON Data'!Y:Y,'ON Data'!$E:$E,9))</f>
        <v>0</v>
      </c>
      <c r="V19" s="275">
        <f xml:space="preserve">
IF($A$4&lt;=12,SUMIFS('ON Data'!Z:Z,'ON Data'!$D:$D,$A$4,'ON Data'!$E:$E,9),SUMIFS('ON Data'!Z:Z,'ON Data'!$E:$E,9))</f>
        <v>0</v>
      </c>
      <c r="W19" s="275">
        <f xml:space="preserve">
IF($A$4&lt;=12,SUMIFS('ON Data'!AA:AA,'ON Data'!$D:$D,$A$4,'ON Data'!$E:$E,9),SUMIFS('ON Data'!AA:AA,'ON Data'!$E:$E,9))</f>
        <v>0</v>
      </c>
      <c r="X19" s="275">
        <f xml:space="preserve">
IF($A$4&lt;=12,SUMIFS('ON Data'!AB:AB,'ON Data'!$D:$D,$A$4,'ON Data'!$E:$E,9),SUMIFS('ON Data'!AB:AB,'ON Data'!$E:$E,9))</f>
        <v>0</v>
      </c>
      <c r="Y19" s="275">
        <f xml:space="preserve">
IF($A$4&lt;=12,SUMIFS('ON Data'!AC:AC,'ON Data'!$D:$D,$A$4,'ON Data'!$E:$E,9),SUMIFS('ON Data'!AC:AC,'ON Data'!$E:$E,9))</f>
        <v>0</v>
      </c>
      <c r="Z19" s="275">
        <f xml:space="preserve">
IF($A$4&lt;=12,SUMIFS('ON Data'!AD:AD,'ON Data'!$D:$D,$A$4,'ON Data'!$E:$E,9),SUMIFS('ON Data'!AD:AD,'ON Data'!$E:$E,9))</f>
        <v>0</v>
      </c>
      <c r="AA19" s="275"/>
      <c r="AB19" s="275">
        <f xml:space="preserve">
IF($A$4&lt;=12,SUMIFS('ON Data'!AF:AF,'ON Data'!$D:$D,$A$4,'ON Data'!$E:$E,9),SUMIFS('ON Data'!AF:AF,'ON Data'!$E:$E,9))</f>
        <v>0</v>
      </c>
      <c r="AC19" s="275">
        <f xml:space="preserve">
IF($A$4&lt;=12,SUMIFS('ON Data'!AG:AG,'ON Data'!$D:$D,$A$4,'ON Data'!$E:$E,9),SUMIFS('ON Data'!AG:AG,'ON Data'!$E:$E,9))</f>
        <v>0</v>
      </c>
      <c r="AD19" s="275">
        <f xml:space="preserve">
IF($A$4&lt;=12,SUMIFS('ON Data'!AH:AH,'ON Data'!$D:$D,$A$4,'ON Data'!$E:$E,9),SUMIFS('ON Data'!AH:AH,'ON Data'!$E:$E,9))</f>
        <v>0</v>
      </c>
      <c r="AE19" s="275">
        <f xml:space="preserve">
IF($A$4&lt;=12,SUMIFS('ON Data'!AI:AI,'ON Data'!$D:$D,$A$4,'ON Data'!$E:$E,9),SUMIFS('ON Data'!AI:AI,'ON Data'!$E:$E,9))</f>
        <v>0</v>
      </c>
      <c r="AF19" s="275">
        <f xml:space="preserve">
IF($A$4&lt;=12,SUMIFS('ON Data'!AJ:AJ,'ON Data'!$D:$D,$A$4,'ON Data'!$E:$E,9),SUMIFS('ON Data'!AJ:AJ,'ON Data'!$E:$E,9))</f>
        <v>0</v>
      </c>
      <c r="AG19" s="275">
        <f xml:space="preserve">
IF($A$4&lt;=12,SUMIFS('ON Data'!AK:AK,'ON Data'!$D:$D,$A$4,'ON Data'!$E:$E,9),SUMIFS('ON Data'!AK:AK,'ON Data'!$E:$E,9))</f>
        <v>0</v>
      </c>
      <c r="AH19" s="275">
        <f xml:space="preserve">
IF($A$4&lt;=12,SUMIFS('ON Data'!AL:AL,'ON Data'!$D:$D,$A$4,'ON Data'!$E:$E,9),SUMIFS('ON Data'!AL:AL,'ON Data'!$E:$E,9))</f>
        <v>928</v>
      </c>
      <c r="AI19" s="275">
        <f xml:space="preserve">
IF($A$4&lt;=12,SUMIFS('ON Data'!AM:AM,'ON Data'!$D:$D,$A$4,'ON Data'!$E:$E,9),SUMIFS('ON Data'!AM:AM,'ON Data'!$E:$E,9))</f>
        <v>0</v>
      </c>
      <c r="AJ19" s="275">
        <f xml:space="preserve">
IF($A$4&lt;=12,SUMIFS('ON Data'!AN:AN,'ON Data'!$D:$D,$A$4,'ON Data'!$E:$E,9),SUMIFS('ON Data'!AN:AN,'ON Data'!$E:$E,9))</f>
        <v>0</v>
      </c>
      <c r="AK19" s="275">
        <f xml:space="preserve">
IF($A$4&lt;=12,SUMIFS('ON Data'!AO:AO,'ON Data'!$D:$D,$A$4,'ON Data'!$E:$E,9),SUMIFS('ON Data'!AO:AO,'ON Data'!$E:$E,9))</f>
        <v>0</v>
      </c>
      <c r="AL19" s="275">
        <f xml:space="preserve">
IF($A$4&lt;=12,SUMIFS('ON Data'!AP:AP,'ON Data'!$D:$D,$A$4,'ON Data'!$E:$E,9),SUMIFS('ON Data'!AP:AP,'ON Data'!$E:$E,9))</f>
        <v>0</v>
      </c>
      <c r="AM19" s="275">
        <f xml:space="preserve">
IF($A$4&lt;=12,SUMIFS('ON Data'!AQ:AQ,'ON Data'!$D:$D,$A$4,'ON Data'!$E:$E,9),SUMIFS('ON Data'!AQ:AQ,'ON Data'!$E:$E,9))</f>
        <v>1000</v>
      </c>
      <c r="AN19" s="274">
        <f xml:space="preserve">
IF($A$4&lt;=12,SUMIFS('ON Data'!AR:AR,'ON Data'!$D:$D,$A$4,'ON Data'!$E:$E,9),SUMIFS('ON Data'!AR:AR,'ON Data'!$E:$E,9))</f>
        <v>0</v>
      </c>
      <c r="AO19" s="275">
        <f xml:space="preserve">
IF($A$4&lt;=12,SUMIFS('ON Data'!AS:AS,'ON Data'!$D:$D,$A$4,'ON Data'!$E:$E,9),SUMIFS('ON Data'!AS:AS,'ON Data'!$E:$E,9))</f>
        <v>0</v>
      </c>
      <c r="AP19" s="275">
        <f xml:space="preserve">
IF($A$4&lt;=12,SUMIFS('ON Data'!AT:AT,'ON Data'!$D:$D,$A$4,'ON Data'!$E:$E,9),SUMIFS('ON Data'!AT:AT,'ON Data'!$E:$E,9))</f>
        <v>8230</v>
      </c>
      <c r="AQ19" s="275">
        <f xml:space="preserve">
IF($A$4&lt;=12,SUMIFS('ON Data'!AU:AU,'ON Data'!$D:$D,$A$4,'ON Data'!$E:$E,9),SUMIFS('ON Data'!AU:AU,'ON Data'!$E:$E,9))</f>
        <v>0</v>
      </c>
      <c r="AR19" s="275">
        <f xml:space="preserve">
IF($A$4&lt;=12,SUMIFS('ON Data'!AV:AV,'ON Data'!$D:$D,$A$4,'ON Data'!$E:$E,9),SUMIFS('ON Data'!AV:AV,'ON Data'!$E:$E,9))</f>
        <v>0</v>
      </c>
      <c r="AS19" s="612">
        <f xml:space="preserve">
IF($A$4&lt;=12,SUMIFS('ON Data'!AW:AW,'ON Data'!$D:$D,$A$4,'ON Data'!$E:$E,9),SUMIFS('ON Data'!AW:AW,'ON Data'!$E:$E,9))</f>
        <v>0</v>
      </c>
      <c r="AT19" s="618"/>
    </row>
    <row r="20" spans="1:46" ht="15" collapsed="1" thickBot="1" x14ac:dyDescent="0.35">
      <c r="A20" s="249" t="s">
        <v>73</v>
      </c>
      <c r="B20" s="276">
        <f xml:space="preserve">
IF($A$4&lt;=12,SUMIFS('ON Data'!F:F,'ON Data'!$D:$D,$A$4,'ON Data'!$E:$E,6),SUMIFS('ON Data'!F:F,'ON Data'!$E:$E,6))</f>
        <v>4502208</v>
      </c>
      <c r="C20" s="277">
        <f xml:space="preserve">
IF($A$4&lt;=12,SUMIFS('ON Data'!G:G,'ON Data'!$D:$D,$A$4,'ON Data'!$E:$E,6),SUMIFS('ON Data'!G:G,'ON Data'!$E:$E,6))</f>
        <v>0</v>
      </c>
      <c r="D20" s="278">
        <f xml:space="preserve">
IF($A$4&lt;=12,SUMIFS('ON Data'!H:H,'ON Data'!$D:$D,$A$4,'ON Data'!$E:$E,6),SUMIFS('ON Data'!H:H,'ON Data'!$E:$E,6))</f>
        <v>80438</v>
      </c>
      <c r="E20" s="278"/>
      <c r="F20" s="278">
        <f xml:space="preserve">
IF($A$4&lt;=12,SUMIFS('ON Data'!J:J,'ON Data'!$D:$D,$A$4,'ON Data'!$E:$E,6),SUMIFS('ON Data'!J:J,'ON Data'!$E:$E,6))</f>
        <v>92518</v>
      </c>
      <c r="G20" s="278">
        <f xml:space="preserve">
IF($A$4&lt;=12,SUMIFS('ON Data'!K:K,'ON Data'!$D:$D,$A$4,'ON Data'!$E:$E,6),SUMIFS('ON Data'!K:K,'ON Data'!$E:$E,6))</f>
        <v>0</v>
      </c>
      <c r="H20" s="278">
        <f xml:space="preserve">
IF($A$4&lt;=12,SUMIFS('ON Data'!L:L,'ON Data'!$D:$D,$A$4,'ON Data'!$E:$E,6),SUMIFS('ON Data'!L:L,'ON Data'!$E:$E,6))</f>
        <v>812929</v>
      </c>
      <c r="I20" s="278">
        <f xml:space="preserve">
IF($A$4&lt;=12,SUMIFS('ON Data'!M:M,'ON Data'!$D:$D,$A$4,'ON Data'!$E:$E,6),SUMIFS('ON Data'!M:M,'ON Data'!$E:$E,6))</f>
        <v>0</v>
      </c>
      <c r="J20" s="278">
        <f xml:space="preserve">
IF($A$4&lt;=12,SUMIFS('ON Data'!N:N,'ON Data'!$D:$D,$A$4,'ON Data'!$E:$E,6),SUMIFS('ON Data'!N:N,'ON Data'!$E:$E,6))</f>
        <v>0</v>
      </c>
      <c r="K20" s="278">
        <f xml:space="preserve">
IF($A$4&lt;=12,SUMIFS('ON Data'!O:O,'ON Data'!$D:$D,$A$4,'ON Data'!$E:$E,6),SUMIFS('ON Data'!O:O,'ON Data'!$E:$E,6))</f>
        <v>0</v>
      </c>
      <c r="L20" s="278">
        <f xml:space="preserve">
IF($A$4&lt;=12,SUMIFS('ON Data'!P:P,'ON Data'!$D:$D,$A$4,'ON Data'!$E:$E,6),SUMIFS('ON Data'!P:P,'ON Data'!$E:$E,6))</f>
        <v>0</v>
      </c>
      <c r="M20" s="278">
        <f xml:space="preserve">
IF($A$4&lt;=12,SUMIFS('ON Data'!Q:Q,'ON Data'!$D:$D,$A$4,'ON Data'!$E:$E,6),SUMIFS('ON Data'!Q:Q,'ON Data'!$E:$E,6))</f>
        <v>633742</v>
      </c>
      <c r="N20" s="278">
        <f xml:space="preserve">
IF($A$4&lt;=12,SUMIFS('ON Data'!R:R,'ON Data'!$D:$D,$A$4,'ON Data'!$E:$E,6),SUMIFS('ON Data'!R:R,'ON Data'!$E:$E,6))</f>
        <v>456381</v>
      </c>
      <c r="O20" s="278">
        <f xml:space="preserve">
IF($A$4&lt;=12,SUMIFS('ON Data'!S:S,'ON Data'!$D:$D,$A$4,'ON Data'!$E:$E,6),SUMIFS('ON Data'!S:S,'ON Data'!$E:$E,6))</f>
        <v>293563</v>
      </c>
      <c r="P20" s="278">
        <f xml:space="preserve">
IF($A$4&lt;=12,SUMIFS('ON Data'!T:T,'ON Data'!$D:$D,$A$4,'ON Data'!$E:$E,6),SUMIFS('ON Data'!T:T,'ON Data'!$E:$E,6))</f>
        <v>0</v>
      </c>
      <c r="Q20" s="278">
        <f xml:space="preserve">
IF($A$4&lt;=12,SUMIFS('ON Data'!U:U,'ON Data'!$D:$D,$A$4,'ON Data'!$E:$E,6),SUMIFS('ON Data'!U:U,'ON Data'!$E:$E,6))</f>
        <v>0</v>
      </c>
      <c r="R20" s="278">
        <f xml:space="preserve">
IF($A$4&lt;=12,SUMIFS('ON Data'!V:V,'ON Data'!$D:$D,$A$4,'ON Data'!$E:$E,6),SUMIFS('ON Data'!V:V,'ON Data'!$E:$E,6))</f>
        <v>0</v>
      </c>
      <c r="S20" s="278">
        <f xml:space="preserve">
IF($A$4&lt;=12,SUMIFS('ON Data'!W:W,'ON Data'!$D:$D,$A$4,'ON Data'!$E:$E,6),SUMIFS('ON Data'!W:W,'ON Data'!$E:$E,6))</f>
        <v>1284544</v>
      </c>
      <c r="T20" s="278">
        <f xml:space="preserve">
IF($A$4&lt;=12,SUMIFS('ON Data'!X:X,'ON Data'!$D:$D,$A$4,'ON Data'!$E:$E,6),SUMIFS('ON Data'!X:X,'ON Data'!$E:$E,6))</f>
        <v>0</v>
      </c>
      <c r="U20" s="278">
        <f xml:space="preserve">
IF($A$4&lt;=12,SUMIFS('ON Data'!Y:Y,'ON Data'!$D:$D,$A$4,'ON Data'!$E:$E,6),SUMIFS('ON Data'!Y:Y,'ON Data'!$E:$E,6))</f>
        <v>0</v>
      </c>
      <c r="V20" s="278">
        <f xml:space="preserve">
IF($A$4&lt;=12,SUMIFS('ON Data'!Z:Z,'ON Data'!$D:$D,$A$4,'ON Data'!$E:$E,6),SUMIFS('ON Data'!Z:Z,'ON Data'!$E:$E,6))</f>
        <v>0</v>
      </c>
      <c r="W20" s="278">
        <f xml:space="preserve">
IF($A$4&lt;=12,SUMIFS('ON Data'!AA:AA,'ON Data'!$D:$D,$A$4,'ON Data'!$E:$E,6),SUMIFS('ON Data'!AA:AA,'ON Data'!$E:$E,6))</f>
        <v>0</v>
      </c>
      <c r="X20" s="278">
        <f xml:space="preserve">
IF($A$4&lt;=12,SUMIFS('ON Data'!AB:AB,'ON Data'!$D:$D,$A$4,'ON Data'!$E:$E,6),SUMIFS('ON Data'!AB:AB,'ON Data'!$E:$E,6))</f>
        <v>0</v>
      </c>
      <c r="Y20" s="278">
        <f xml:space="preserve">
IF($A$4&lt;=12,SUMIFS('ON Data'!AC:AC,'ON Data'!$D:$D,$A$4,'ON Data'!$E:$E,6),SUMIFS('ON Data'!AC:AC,'ON Data'!$E:$E,6))</f>
        <v>0</v>
      </c>
      <c r="Z20" s="278">
        <f xml:space="preserve">
IF($A$4&lt;=12,SUMIFS('ON Data'!AD:AD,'ON Data'!$D:$D,$A$4,'ON Data'!$E:$E,6),SUMIFS('ON Data'!AD:AD,'ON Data'!$E:$E,6))</f>
        <v>0</v>
      </c>
      <c r="AA20" s="278"/>
      <c r="AB20" s="278">
        <f xml:space="preserve">
IF($A$4&lt;=12,SUMIFS('ON Data'!AF:AF,'ON Data'!$D:$D,$A$4,'ON Data'!$E:$E,6),SUMIFS('ON Data'!AF:AF,'ON Data'!$E:$E,6))</f>
        <v>0</v>
      </c>
      <c r="AC20" s="278">
        <f xml:space="preserve">
IF($A$4&lt;=12,SUMIFS('ON Data'!AG:AG,'ON Data'!$D:$D,$A$4,'ON Data'!$E:$E,6),SUMIFS('ON Data'!AG:AG,'ON Data'!$E:$E,6))</f>
        <v>0</v>
      </c>
      <c r="AD20" s="278">
        <f xml:space="preserve">
IF($A$4&lt;=12,SUMIFS('ON Data'!AH:AH,'ON Data'!$D:$D,$A$4,'ON Data'!$E:$E,6),SUMIFS('ON Data'!AH:AH,'ON Data'!$E:$E,6))</f>
        <v>0</v>
      </c>
      <c r="AE20" s="278">
        <f xml:space="preserve">
IF($A$4&lt;=12,SUMIFS('ON Data'!AI:AI,'ON Data'!$D:$D,$A$4,'ON Data'!$E:$E,6),SUMIFS('ON Data'!AI:AI,'ON Data'!$E:$E,6))</f>
        <v>0</v>
      </c>
      <c r="AF20" s="278">
        <f xml:space="preserve">
IF($A$4&lt;=12,SUMIFS('ON Data'!AJ:AJ,'ON Data'!$D:$D,$A$4,'ON Data'!$E:$E,6),SUMIFS('ON Data'!AJ:AJ,'ON Data'!$E:$E,6))</f>
        <v>0</v>
      </c>
      <c r="AG20" s="278">
        <f xml:space="preserve">
IF($A$4&lt;=12,SUMIFS('ON Data'!AK:AK,'ON Data'!$D:$D,$A$4,'ON Data'!$E:$E,6),SUMIFS('ON Data'!AK:AK,'ON Data'!$E:$E,6))</f>
        <v>0</v>
      </c>
      <c r="AH20" s="278">
        <f xml:space="preserve">
IF($A$4&lt;=12,SUMIFS('ON Data'!AL:AL,'ON Data'!$D:$D,$A$4,'ON Data'!$E:$E,6),SUMIFS('ON Data'!AL:AL,'ON Data'!$E:$E,6))</f>
        <v>222166</v>
      </c>
      <c r="AI20" s="278">
        <f xml:space="preserve">
IF($A$4&lt;=12,SUMIFS('ON Data'!AM:AM,'ON Data'!$D:$D,$A$4,'ON Data'!$E:$E,6),SUMIFS('ON Data'!AM:AM,'ON Data'!$E:$E,6))</f>
        <v>0</v>
      </c>
      <c r="AJ20" s="278">
        <f xml:space="preserve">
IF($A$4&lt;=12,SUMIFS('ON Data'!AN:AN,'ON Data'!$D:$D,$A$4,'ON Data'!$E:$E,6),SUMIFS('ON Data'!AN:AN,'ON Data'!$E:$E,6))</f>
        <v>0</v>
      </c>
      <c r="AK20" s="278">
        <f xml:space="preserve">
IF($A$4&lt;=12,SUMIFS('ON Data'!AO:AO,'ON Data'!$D:$D,$A$4,'ON Data'!$E:$E,6),SUMIFS('ON Data'!AO:AO,'ON Data'!$E:$E,6))</f>
        <v>69206</v>
      </c>
      <c r="AL20" s="278">
        <f xml:space="preserve">
IF($A$4&lt;=12,SUMIFS('ON Data'!AP:AP,'ON Data'!$D:$D,$A$4,'ON Data'!$E:$E,6),SUMIFS('ON Data'!AP:AP,'ON Data'!$E:$E,6))</f>
        <v>0</v>
      </c>
      <c r="AM20" s="278">
        <f xml:space="preserve">
IF($A$4&lt;=12,SUMIFS('ON Data'!AQ:AQ,'ON Data'!$D:$D,$A$4,'ON Data'!$E:$E,6),SUMIFS('ON Data'!AQ:AQ,'ON Data'!$E:$E,6))</f>
        <v>47219</v>
      </c>
      <c r="AN20" s="277">
        <f xml:space="preserve">
IF($A$4&lt;=12,SUMIFS('ON Data'!AR:AR,'ON Data'!$D:$D,$A$4,'ON Data'!$E:$E,6),SUMIFS('ON Data'!AR:AR,'ON Data'!$E:$E,6))</f>
        <v>0</v>
      </c>
      <c r="AO20" s="278">
        <f xml:space="preserve">
IF($A$4&lt;=12,SUMIFS('ON Data'!AS:AS,'ON Data'!$D:$D,$A$4,'ON Data'!$E:$E,6),SUMIFS('ON Data'!AS:AS,'ON Data'!$E:$E,6))</f>
        <v>0</v>
      </c>
      <c r="AP20" s="278">
        <f xml:space="preserve">
IF($A$4&lt;=12,SUMIFS('ON Data'!AT:AT,'ON Data'!$D:$D,$A$4,'ON Data'!$E:$E,6),SUMIFS('ON Data'!AT:AT,'ON Data'!$E:$E,6))</f>
        <v>260016</v>
      </c>
      <c r="AQ20" s="278">
        <f xml:space="preserve">
IF($A$4&lt;=12,SUMIFS('ON Data'!AU:AU,'ON Data'!$D:$D,$A$4,'ON Data'!$E:$E,6),SUMIFS('ON Data'!AU:AU,'ON Data'!$E:$E,6))</f>
        <v>0</v>
      </c>
      <c r="AR20" s="278">
        <f xml:space="preserve">
IF($A$4&lt;=12,SUMIFS('ON Data'!AV:AV,'ON Data'!$D:$D,$A$4,'ON Data'!$E:$E,6),SUMIFS('ON Data'!AV:AV,'ON Data'!$E:$E,6))</f>
        <v>0</v>
      </c>
      <c r="AS20" s="613">
        <f xml:space="preserve">
IF($A$4&lt;=12,SUMIFS('ON Data'!AW:AW,'ON Data'!$D:$D,$A$4,'ON Data'!$E:$E,6),SUMIFS('ON Data'!AW:AW,'ON Data'!$E:$E,6))</f>
        <v>0</v>
      </c>
      <c r="AT20" s="618"/>
    </row>
    <row r="21" spans="1:46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/>
      <c r="F21" s="264">
        <f xml:space="preserve">
IF($A$4&lt;=12,SUMIFS('ON Data'!J:J,'ON Data'!$D:$D,$A$4,'ON Data'!$E:$E,12),SUMIFS('ON Data'!J:J,'ON Data'!$E:$E,12))</f>
        <v>0</v>
      </c>
      <c r="G21" s="264">
        <f xml:space="preserve">
IF($A$4&lt;=12,SUMIFS('ON Data'!K:K,'ON Data'!$D:$D,$A$4,'ON Data'!$E:$E,12),SUMIFS('ON Data'!K:K,'ON Data'!$E:$E,12))</f>
        <v>0</v>
      </c>
      <c r="H21" s="264">
        <f xml:space="preserve">
IF($A$4&lt;=12,SUMIFS('ON Data'!L:L,'ON Data'!$D:$D,$A$4,'ON Data'!$E:$E,12),SUMIFS('ON Data'!L:L,'ON Data'!$E:$E,12))</f>
        <v>0</v>
      </c>
      <c r="I21" s="264">
        <f xml:space="preserve">
IF($A$4&lt;=12,SUMIFS('ON Data'!M:M,'ON Data'!$D:$D,$A$4,'ON Data'!$E:$E,12),SUMIFS('ON Data'!M:M,'ON Data'!$E:$E,12))</f>
        <v>0</v>
      </c>
      <c r="J21" s="264">
        <f xml:space="preserve">
IF($A$4&lt;=12,SUMIFS('ON Data'!N:N,'ON Data'!$D:$D,$A$4,'ON Data'!$E:$E,12),SUMIFS('ON Data'!N:N,'ON Data'!$E:$E,12))</f>
        <v>0</v>
      </c>
      <c r="K21" s="264">
        <f xml:space="preserve">
IF($A$4&lt;=12,SUMIFS('ON Data'!O:O,'ON Data'!$D:$D,$A$4,'ON Data'!$E:$E,12),SUMIFS('ON Data'!O:O,'ON Data'!$E:$E,12))</f>
        <v>0</v>
      </c>
      <c r="L21" s="264">
        <f xml:space="preserve">
IF($A$4&lt;=12,SUMIFS('ON Data'!P:P,'ON Data'!$D:$D,$A$4,'ON Data'!$E:$E,12),SUMIFS('ON Data'!P:P,'ON Data'!$E:$E,12))</f>
        <v>0</v>
      </c>
      <c r="M21" s="264">
        <f xml:space="preserve">
IF($A$4&lt;=12,SUMIFS('ON Data'!Q:Q,'ON Data'!$D:$D,$A$4,'ON Data'!$E:$E,12),SUMIFS('ON Data'!Q:Q,'ON Data'!$E:$E,12))</f>
        <v>0</v>
      </c>
      <c r="N21" s="264">
        <f xml:space="preserve">
IF($A$4&lt;=12,SUMIFS('ON Data'!R:R,'ON Data'!$D:$D,$A$4,'ON Data'!$E:$E,12),SUMIFS('ON Data'!R:R,'ON Data'!$E:$E,12))</f>
        <v>0</v>
      </c>
      <c r="O21" s="264">
        <f xml:space="preserve">
IF($A$4&lt;=12,SUMIFS('ON Data'!S:S,'ON Data'!$D:$D,$A$4,'ON Data'!$E:$E,12),SUMIFS('ON Data'!S:S,'ON Data'!$E:$E,12))</f>
        <v>0</v>
      </c>
      <c r="P21" s="264">
        <f xml:space="preserve">
IF($A$4&lt;=12,SUMIFS('ON Data'!T:T,'ON Data'!$D:$D,$A$4,'ON Data'!$E:$E,12),SUMIFS('ON Data'!T:T,'ON Data'!$E:$E,12))</f>
        <v>0</v>
      </c>
      <c r="Q21" s="264">
        <f xml:space="preserve">
IF($A$4&lt;=12,SUMIFS('ON Data'!U:U,'ON Data'!$D:$D,$A$4,'ON Data'!$E:$E,12),SUMIFS('ON Data'!U:U,'ON Data'!$E:$E,12))</f>
        <v>0</v>
      </c>
      <c r="R21" s="264">
        <f xml:space="preserve">
IF($A$4&lt;=12,SUMIFS('ON Data'!V:V,'ON Data'!$D:$D,$A$4,'ON Data'!$E:$E,12),SUMIFS('ON Data'!V:V,'ON Data'!$E:$E,12))</f>
        <v>0</v>
      </c>
      <c r="S21" s="264">
        <f xml:space="preserve">
IF($A$4&lt;=12,SUMIFS('ON Data'!W:W,'ON Data'!$D:$D,$A$4,'ON Data'!$E:$E,12),SUMIFS('ON Data'!W:W,'ON Data'!$E:$E,12))</f>
        <v>0</v>
      </c>
      <c r="T21" s="264">
        <f xml:space="preserve">
IF($A$4&lt;=12,SUMIFS('ON Data'!X:X,'ON Data'!$D:$D,$A$4,'ON Data'!$E:$E,12),SUMIFS('ON Data'!X:X,'ON Data'!$E:$E,12))</f>
        <v>0</v>
      </c>
      <c r="U21" s="264">
        <f xml:space="preserve">
IF($A$4&lt;=12,SUMIFS('ON Data'!Y:Y,'ON Data'!$D:$D,$A$4,'ON Data'!$E:$E,12),SUMIFS('ON Data'!Y:Y,'ON Data'!$E:$E,12))</f>
        <v>0</v>
      </c>
      <c r="V21" s="264">
        <f xml:space="preserve">
IF($A$4&lt;=12,SUMIFS('ON Data'!Z:Z,'ON Data'!$D:$D,$A$4,'ON Data'!$E:$E,12),SUMIFS('ON Data'!Z:Z,'ON Data'!$E:$E,12))</f>
        <v>0</v>
      </c>
      <c r="W21" s="264">
        <f xml:space="preserve">
IF($A$4&lt;=12,SUMIFS('ON Data'!AA:AA,'ON Data'!$D:$D,$A$4,'ON Data'!$E:$E,12),SUMIFS('ON Data'!AA:AA,'ON Data'!$E:$E,12))</f>
        <v>0</v>
      </c>
      <c r="X21" s="264">
        <f xml:space="preserve">
IF($A$4&lt;=12,SUMIFS('ON Data'!AB:AB,'ON Data'!$D:$D,$A$4,'ON Data'!$E:$E,12),SUMIFS('ON Data'!AB:AB,'ON Data'!$E:$E,12))</f>
        <v>0</v>
      </c>
      <c r="Y21" s="264">
        <f xml:space="preserve">
IF($A$4&lt;=12,SUMIFS('ON Data'!AC:AC,'ON Data'!$D:$D,$A$4,'ON Data'!$E:$E,12),SUMIFS('ON Data'!AC:AC,'ON Data'!$E:$E,12))</f>
        <v>0</v>
      </c>
      <c r="Z21" s="264">
        <f xml:space="preserve">
IF($A$4&lt;=12,SUMIFS('ON Data'!AD:AD,'ON Data'!$D:$D,$A$4,'ON Data'!$E:$E,12),SUMIFS('ON Data'!AD:AD,'ON Data'!$E:$E,12))</f>
        <v>0</v>
      </c>
      <c r="AA21" s="264"/>
      <c r="AB21" s="264">
        <f xml:space="preserve">
IF($A$4&lt;=12,SUMIFS('ON Data'!AF:AF,'ON Data'!$D:$D,$A$4,'ON Data'!$E:$E,12),SUMIFS('ON Data'!AF:AF,'ON Data'!$E:$E,12))</f>
        <v>0</v>
      </c>
      <c r="AC21" s="264">
        <f xml:space="preserve">
IF($A$4&lt;=12,SUMIFS('ON Data'!AG:AG,'ON Data'!$D:$D,$A$4,'ON Data'!$E:$E,12),SUMIFS('ON Data'!AG:AG,'ON Data'!$E:$E,12))</f>
        <v>0</v>
      </c>
      <c r="AD21" s="264">
        <f xml:space="preserve">
IF($A$4&lt;=12,SUMIFS('ON Data'!AH:AH,'ON Data'!$D:$D,$A$4,'ON Data'!$E:$E,12),SUMIFS('ON Data'!AH:AH,'ON Data'!$E:$E,12))</f>
        <v>0</v>
      </c>
      <c r="AE21" s="264">
        <f xml:space="preserve">
IF($A$4&lt;=12,SUMIFS('ON Data'!AI:AI,'ON Data'!$D:$D,$A$4,'ON Data'!$E:$E,12),SUMIFS('ON Data'!AI:AI,'ON Data'!$E:$E,12))</f>
        <v>0</v>
      </c>
      <c r="AF21" s="264">
        <f xml:space="preserve">
IF($A$4&lt;=12,SUMIFS('ON Data'!AJ:AJ,'ON Data'!$D:$D,$A$4,'ON Data'!$E:$E,12),SUMIFS('ON Data'!AJ:AJ,'ON Data'!$E:$E,12))</f>
        <v>0</v>
      </c>
      <c r="AG21" s="264">
        <f xml:space="preserve">
IF($A$4&lt;=12,SUMIFS('ON Data'!AK:AK,'ON Data'!$D:$D,$A$4,'ON Data'!$E:$E,12),SUMIFS('ON Data'!AK:AK,'ON Data'!$E:$E,12))</f>
        <v>0</v>
      </c>
      <c r="AH21" s="264">
        <f xml:space="preserve">
IF($A$4&lt;=12,SUMIFS('ON Data'!AL:AL,'ON Data'!$D:$D,$A$4,'ON Data'!$E:$E,12),SUMIFS('ON Data'!AL:AL,'ON Data'!$E:$E,12))</f>
        <v>0</v>
      </c>
      <c r="AI21" s="264">
        <f xml:space="preserve">
IF($A$4&lt;=12,SUMIFS('ON Data'!AM:AM,'ON Data'!$D:$D,$A$4,'ON Data'!$E:$E,12),SUMIFS('ON Data'!AM:AM,'ON Data'!$E:$E,12))</f>
        <v>0</v>
      </c>
      <c r="AJ21" s="264">
        <f xml:space="preserve">
IF($A$4&lt;=12,SUMIFS('ON Data'!AN:AN,'ON Data'!$D:$D,$A$4,'ON Data'!$E:$E,12),SUMIFS('ON Data'!AN:AN,'ON Data'!$E:$E,12))</f>
        <v>0</v>
      </c>
      <c r="AK21" s="264">
        <f xml:space="preserve">
IF($A$4&lt;=12,SUMIFS('ON Data'!AO:AO,'ON Data'!$D:$D,$A$4,'ON Data'!$E:$E,12),SUMIFS('ON Data'!AO:AO,'ON Data'!$E:$E,12))</f>
        <v>0</v>
      </c>
      <c r="AL21" s="264">
        <f xml:space="preserve">
IF($A$4&lt;=12,SUMIFS('ON Data'!AP:AP,'ON Data'!$D:$D,$A$4,'ON Data'!$E:$E,12),SUMIFS('ON Data'!AP:AP,'ON Data'!$E:$E,12))</f>
        <v>0</v>
      </c>
      <c r="AM21" s="265">
        <f xml:space="preserve">
IF($A$4&lt;=12,SUMIFS('ON Data'!AQ:AQ,'ON Data'!$D:$D,$A$4,'ON Data'!$E:$E,12),SUMIFS('ON Data'!AQ:AQ,'ON Data'!$E:$E,12))</f>
        <v>0</v>
      </c>
      <c r="AN21" s="337"/>
      <c r="AO21" s="337"/>
      <c r="AP21" s="337"/>
      <c r="AQ21" s="337"/>
      <c r="AR21" s="337"/>
      <c r="AS21" s="337"/>
      <c r="AT21" s="618"/>
    </row>
    <row r="22" spans="1:46" ht="15" hidden="1" outlineLevel="1" thickBot="1" x14ac:dyDescent="0.35">
      <c r="A22" s="242" t="s">
        <v>75</v>
      </c>
      <c r="B22" s="319" t="str">
        <f xml:space="preserve">
IF(OR(B21="",B21=0),"",B20/B21)</f>
        <v/>
      </c>
      <c r="C22" s="320" t="str">
        <f t="shared" ref="C22:I22" si="3" xml:space="preserve">
IF(OR(C21="",C21=0),"",C20/C21)</f>
        <v/>
      </c>
      <c r="D22" s="321" t="str">
        <f t="shared" si="3"/>
        <v/>
      </c>
      <c r="E22" s="321"/>
      <c r="F22" s="321" t="str">
        <f t="shared" si="3"/>
        <v/>
      </c>
      <c r="G22" s="321" t="str">
        <f t="shared" si="3"/>
        <v/>
      </c>
      <c r="H22" s="321" t="str">
        <f t="shared" si="3"/>
        <v/>
      </c>
      <c r="I22" s="321" t="str">
        <f t="shared" si="3"/>
        <v/>
      </c>
      <c r="J22" s="321" t="str">
        <f t="shared" ref="J22:AM22" si="4" xml:space="preserve">
IF(OR(J21="",J21=0),"",J20/J21)</f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1" t="str">
        <f t="shared" si="4"/>
        <v/>
      </c>
      <c r="O22" s="321" t="str">
        <f t="shared" si="4"/>
        <v/>
      </c>
      <c r="P22" s="321" t="str">
        <f t="shared" si="4"/>
        <v/>
      </c>
      <c r="Q22" s="321" t="str">
        <f t="shared" si="4"/>
        <v/>
      </c>
      <c r="R22" s="321" t="str">
        <f t="shared" si="4"/>
        <v/>
      </c>
      <c r="S22" s="321" t="str">
        <f t="shared" si="4"/>
        <v/>
      </c>
      <c r="T22" s="321" t="str">
        <f t="shared" si="4"/>
        <v/>
      </c>
      <c r="U22" s="321" t="str">
        <f t="shared" si="4"/>
        <v/>
      </c>
      <c r="V22" s="321" t="str">
        <f t="shared" si="4"/>
        <v/>
      </c>
      <c r="W22" s="321" t="str">
        <f t="shared" si="4"/>
        <v/>
      </c>
      <c r="X22" s="321" t="str">
        <f t="shared" si="4"/>
        <v/>
      </c>
      <c r="Y22" s="321" t="str">
        <f t="shared" si="4"/>
        <v/>
      </c>
      <c r="Z22" s="321" t="str">
        <f t="shared" si="4"/>
        <v/>
      </c>
      <c r="AA22" s="321"/>
      <c r="AB22" s="321" t="str">
        <f t="shared" si="4"/>
        <v/>
      </c>
      <c r="AC22" s="321" t="str">
        <f t="shared" si="4"/>
        <v/>
      </c>
      <c r="AD22" s="321" t="str">
        <f t="shared" si="4"/>
        <v/>
      </c>
      <c r="AE22" s="321" t="str">
        <f t="shared" si="4"/>
        <v/>
      </c>
      <c r="AF22" s="321" t="str">
        <f t="shared" si="4"/>
        <v/>
      </c>
      <c r="AG22" s="321" t="str">
        <f t="shared" si="4"/>
        <v/>
      </c>
      <c r="AH22" s="321" t="str">
        <f t="shared" si="4"/>
        <v/>
      </c>
      <c r="AI22" s="321" t="str">
        <f t="shared" si="4"/>
        <v/>
      </c>
      <c r="AJ22" s="321" t="str">
        <f t="shared" si="4"/>
        <v/>
      </c>
      <c r="AK22" s="321" t="str">
        <f t="shared" si="4"/>
        <v/>
      </c>
      <c r="AL22" s="321" t="str">
        <f t="shared" si="4"/>
        <v/>
      </c>
      <c r="AM22" s="322" t="str">
        <f t="shared" si="4"/>
        <v/>
      </c>
      <c r="AN22" s="337"/>
      <c r="AO22" s="337"/>
      <c r="AP22" s="337"/>
      <c r="AQ22" s="337"/>
      <c r="AR22" s="337"/>
      <c r="AS22" s="337"/>
      <c r="AT22" s="618"/>
    </row>
    <row r="23" spans="1:46" ht="15" hidden="1" outlineLevel="1" thickBot="1" x14ac:dyDescent="0.35">
      <c r="A23" s="250" t="s">
        <v>68</v>
      </c>
      <c r="B23" s="266">
        <f xml:space="preserve">
IF(B21="","",B20-B21)</f>
        <v>4502208</v>
      </c>
      <c r="C23" s="267">
        <f t="shared" ref="C23:I23" si="5" xml:space="preserve">
IF(C21="","",C20-C21)</f>
        <v>0</v>
      </c>
      <c r="D23" s="268">
        <f t="shared" si="5"/>
        <v>80438</v>
      </c>
      <c r="E23" s="268"/>
      <c r="F23" s="268">
        <f t="shared" si="5"/>
        <v>92518</v>
      </c>
      <c r="G23" s="268">
        <f t="shared" si="5"/>
        <v>0</v>
      </c>
      <c r="H23" s="268">
        <f t="shared" si="5"/>
        <v>812929</v>
      </c>
      <c r="I23" s="268">
        <f t="shared" si="5"/>
        <v>0</v>
      </c>
      <c r="J23" s="268">
        <f t="shared" ref="J23:AM23" si="6" xml:space="preserve">
IF(J21="","",J20-J21)</f>
        <v>0</v>
      </c>
      <c r="K23" s="268">
        <f t="shared" si="6"/>
        <v>0</v>
      </c>
      <c r="L23" s="268">
        <f t="shared" si="6"/>
        <v>0</v>
      </c>
      <c r="M23" s="268">
        <f t="shared" si="6"/>
        <v>633742</v>
      </c>
      <c r="N23" s="268">
        <f t="shared" si="6"/>
        <v>456381</v>
      </c>
      <c r="O23" s="268">
        <f t="shared" si="6"/>
        <v>293563</v>
      </c>
      <c r="P23" s="268">
        <f t="shared" si="6"/>
        <v>0</v>
      </c>
      <c r="Q23" s="268">
        <f t="shared" si="6"/>
        <v>0</v>
      </c>
      <c r="R23" s="268">
        <f t="shared" si="6"/>
        <v>0</v>
      </c>
      <c r="S23" s="268">
        <f t="shared" si="6"/>
        <v>1284544</v>
      </c>
      <c r="T23" s="268">
        <f t="shared" si="6"/>
        <v>0</v>
      </c>
      <c r="U23" s="268">
        <f t="shared" si="6"/>
        <v>0</v>
      </c>
      <c r="V23" s="268">
        <f t="shared" si="6"/>
        <v>0</v>
      </c>
      <c r="W23" s="268">
        <f t="shared" si="6"/>
        <v>0</v>
      </c>
      <c r="X23" s="268">
        <f t="shared" si="6"/>
        <v>0</v>
      </c>
      <c r="Y23" s="268">
        <f t="shared" si="6"/>
        <v>0</v>
      </c>
      <c r="Z23" s="268">
        <f t="shared" si="6"/>
        <v>0</v>
      </c>
      <c r="AA23" s="268"/>
      <c r="AB23" s="268">
        <f t="shared" si="6"/>
        <v>0</v>
      </c>
      <c r="AC23" s="268">
        <f t="shared" si="6"/>
        <v>0</v>
      </c>
      <c r="AD23" s="268">
        <f t="shared" si="6"/>
        <v>0</v>
      </c>
      <c r="AE23" s="268">
        <f t="shared" si="6"/>
        <v>0</v>
      </c>
      <c r="AF23" s="268">
        <f t="shared" si="6"/>
        <v>0</v>
      </c>
      <c r="AG23" s="268">
        <f t="shared" si="6"/>
        <v>0</v>
      </c>
      <c r="AH23" s="268">
        <f t="shared" si="6"/>
        <v>222166</v>
      </c>
      <c r="AI23" s="268">
        <f t="shared" si="6"/>
        <v>0</v>
      </c>
      <c r="AJ23" s="268">
        <f t="shared" si="6"/>
        <v>0</v>
      </c>
      <c r="AK23" s="268">
        <f t="shared" si="6"/>
        <v>69206</v>
      </c>
      <c r="AL23" s="268">
        <f t="shared" si="6"/>
        <v>0</v>
      </c>
      <c r="AM23" s="269">
        <f t="shared" si="6"/>
        <v>47219</v>
      </c>
      <c r="AN23" s="337"/>
      <c r="AO23" s="337"/>
      <c r="AP23" s="337"/>
      <c r="AQ23" s="337"/>
      <c r="AR23" s="337"/>
      <c r="AS23" s="337"/>
      <c r="AT23" s="618"/>
    </row>
    <row r="24" spans="1:46" x14ac:dyDescent="0.3">
      <c r="A24" s="244" t="s">
        <v>191</v>
      </c>
      <c r="B24" s="293" t="s">
        <v>3</v>
      </c>
      <c r="C24" s="619" t="s">
        <v>203</v>
      </c>
      <c r="D24" s="590"/>
      <c r="E24" s="591"/>
      <c r="F24" s="592" t="s">
        <v>289</v>
      </c>
      <c r="G24" s="593"/>
      <c r="H24" s="593"/>
      <c r="I24" s="593"/>
      <c r="J24" s="593"/>
      <c r="K24" s="593"/>
      <c r="L24" s="592" t="s">
        <v>202</v>
      </c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2" t="s">
        <v>290</v>
      </c>
      <c r="AR24" s="591"/>
      <c r="AS24" s="614"/>
      <c r="AT24" s="618"/>
    </row>
    <row r="25" spans="1:46" x14ac:dyDescent="0.3">
      <c r="A25" s="245" t="s">
        <v>73</v>
      </c>
      <c r="B25" s="262">
        <f xml:space="preserve">
SUM(C25:AS25)</f>
        <v>7750</v>
      </c>
      <c r="C25" s="620">
        <f xml:space="preserve">
IF($A$4&lt;=12,SUMIFS('ON Data'!$I:$I,'ON Data'!$D:$D,$A$4,'ON Data'!$E:$E,10),SUMIFS('ON Data'!$I:$I,'ON Data'!$E:$E,10))</f>
        <v>0</v>
      </c>
      <c r="D25" s="594"/>
      <c r="E25" s="595"/>
      <c r="F25" s="596">
        <f xml:space="preserve">
IF($A$4&lt;=12,SUMIFS('ON Data'!K:K,'ON Data'!$D:$D,$A$4,'ON Data'!$E:$E,10),SUMIFS('ON Data'!K:K,'ON Data'!$E:$E,10))</f>
        <v>0</v>
      </c>
      <c r="G25" s="595"/>
      <c r="H25" s="595"/>
      <c r="I25" s="595"/>
      <c r="J25" s="595"/>
      <c r="K25" s="595"/>
      <c r="L25" s="596">
        <f xml:space="preserve">
IF($A$4&lt;=12,SUMIFS('ON Data'!P:P,'ON Data'!$D:$D,$A$4,'ON Data'!$E:$E,10),SUMIFS('ON Data'!P:P,'ON Data'!$E:$E,10))</f>
        <v>0</v>
      </c>
      <c r="M25" s="595"/>
      <c r="N25" s="595"/>
      <c r="O25" s="595"/>
      <c r="P25" s="595"/>
      <c r="Q25" s="595"/>
      <c r="R25" s="595"/>
      <c r="S25" s="595"/>
      <c r="T25" s="595"/>
      <c r="U25" s="595"/>
      <c r="V25" s="595"/>
      <c r="W25" s="595"/>
      <c r="X25" s="595"/>
      <c r="Y25" s="595"/>
      <c r="Z25" s="595"/>
      <c r="AA25" s="595"/>
      <c r="AB25" s="595"/>
      <c r="AC25" s="595"/>
      <c r="AD25" s="595"/>
      <c r="AE25" s="595"/>
      <c r="AF25" s="595"/>
      <c r="AG25" s="595"/>
      <c r="AH25" s="595"/>
      <c r="AI25" s="595"/>
      <c r="AJ25" s="595"/>
      <c r="AK25" s="595"/>
      <c r="AL25" s="595"/>
      <c r="AM25" s="595"/>
      <c r="AN25" s="595"/>
      <c r="AO25" s="595"/>
      <c r="AP25" s="595"/>
      <c r="AQ25" s="596">
        <f xml:space="preserve">
IF($A$4&lt;=12,SUMIFS('ON Data'!AW:AW,'ON Data'!$D:$D,$A$4,'ON Data'!$E:$E,10),SUMIFS('ON Data'!AW:AW,'ON Data'!$E:$E,10))</f>
        <v>7750</v>
      </c>
      <c r="AR25" s="595"/>
      <c r="AS25" s="615"/>
      <c r="AT25" s="618"/>
    </row>
    <row r="26" spans="1:46" x14ac:dyDescent="0.3">
      <c r="A26" s="251" t="s">
        <v>201</v>
      </c>
      <c r="B26" s="273">
        <f xml:space="preserve">
SUM(C26:AS26)</f>
        <v>10154.701329370737</v>
      </c>
      <c r="C26" s="620">
        <f xml:space="preserve">
IF($A$4&lt;=12,SUMIFS('ON Data'!$I:$I,'ON Data'!$D:$D,$A$4,'ON Data'!$E:$E,11),SUMIFS('ON Data'!$I:$I,'ON Data'!$E:$E,11))</f>
        <v>0</v>
      </c>
      <c r="D26" s="594"/>
      <c r="E26" s="595"/>
      <c r="F26" s="596">
        <f xml:space="preserve">
IF($A$4&lt;=12,SUMIFS('ON Data'!K:K,'ON Data'!$D:$D,$A$4,'ON Data'!$E:$E,11),SUMIFS('ON Data'!K:K,'ON Data'!$E:$E,11))</f>
        <v>3488.0346627040703</v>
      </c>
      <c r="G26" s="595"/>
      <c r="H26" s="595"/>
      <c r="I26" s="595"/>
      <c r="J26" s="595"/>
      <c r="K26" s="595"/>
      <c r="L26" s="597">
        <f xml:space="preserve">
IF($A$4&lt;=12,SUMIFS('ON Data'!P:P,'ON Data'!$D:$D,$A$4,'ON Data'!$E:$E,11),SUMIFS('ON Data'!P:P,'ON Data'!$E:$E,11))</f>
        <v>5000</v>
      </c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98"/>
      <c r="AJ26" s="598"/>
      <c r="AK26" s="598"/>
      <c r="AL26" s="598"/>
      <c r="AM26" s="598"/>
      <c r="AN26" s="598"/>
      <c r="AO26" s="598"/>
      <c r="AP26" s="598"/>
      <c r="AQ26" s="597">
        <f xml:space="preserve">
IF($A$4&lt;=12,SUMIFS('ON Data'!AW:AW,'ON Data'!$D:$D,$A$4,'ON Data'!$E:$E,11),SUMIFS('ON Data'!AW:AW,'ON Data'!$E:$E,11))</f>
        <v>1666.6666666666667</v>
      </c>
      <c r="AR26" s="598"/>
      <c r="AS26" s="616"/>
      <c r="AT26" s="618"/>
    </row>
    <row r="27" spans="1:46" x14ac:dyDescent="0.3">
      <c r="A27" s="251" t="s">
        <v>75</v>
      </c>
      <c r="B27" s="294">
        <f xml:space="preserve">
IF(B26=0,0,B25/B26)</f>
        <v>0.76319329821985515</v>
      </c>
      <c r="C27" s="621">
        <f xml:space="preserve">
IF(C26=0,0,C25/C26)</f>
        <v>0</v>
      </c>
      <c r="D27" s="594"/>
      <c r="E27" s="595"/>
      <c r="F27" s="599">
        <f xml:space="preserve">
IF(F26=0,0,F25/F26)</f>
        <v>0</v>
      </c>
      <c r="G27" s="595"/>
      <c r="H27" s="595"/>
      <c r="I27" s="595"/>
      <c r="J27" s="595"/>
      <c r="K27" s="595"/>
      <c r="L27" s="599">
        <f xml:space="preserve">
IF(L26=0,0,L25/L26)</f>
        <v>0</v>
      </c>
      <c r="M27" s="595"/>
      <c r="N27" s="595"/>
      <c r="O27" s="595"/>
      <c r="P27" s="595"/>
      <c r="Q27" s="595"/>
      <c r="R27" s="595"/>
      <c r="S27" s="595"/>
      <c r="T27" s="595"/>
      <c r="U27" s="595"/>
      <c r="V27" s="595"/>
      <c r="W27" s="595"/>
      <c r="X27" s="595"/>
      <c r="Y27" s="595"/>
      <c r="Z27" s="595"/>
      <c r="AA27" s="595"/>
      <c r="AB27" s="595"/>
      <c r="AC27" s="595"/>
      <c r="AD27" s="595"/>
      <c r="AE27" s="595"/>
      <c r="AF27" s="595"/>
      <c r="AG27" s="595"/>
      <c r="AH27" s="595"/>
      <c r="AI27" s="595"/>
      <c r="AJ27" s="595"/>
      <c r="AK27" s="595"/>
      <c r="AL27" s="595"/>
      <c r="AM27" s="595"/>
      <c r="AN27" s="595"/>
      <c r="AO27" s="595"/>
      <c r="AP27" s="595"/>
      <c r="AQ27" s="599">
        <f xml:space="preserve">
IF(AQ26=0,0,AQ25/AQ26)</f>
        <v>4.6499999999999995</v>
      </c>
      <c r="AR27" s="595"/>
      <c r="AS27" s="615"/>
      <c r="AT27" s="618"/>
    </row>
    <row r="28" spans="1:46" ht="15" thickBot="1" x14ac:dyDescent="0.35">
      <c r="A28" s="251" t="s">
        <v>200</v>
      </c>
      <c r="B28" s="273">
        <f xml:space="preserve">
SUM(C28:AS28)</f>
        <v>2404.7013293707378</v>
      </c>
      <c r="C28" s="622">
        <f xml:space="preserve">
C26-C25</f>
        <v>0</v>
      </c>
      <c r="D28" s="600"/>
      <c r="E28" s="601"/>
      <c r="F28" s="602">
        <f xml:space="preserve">
F26-F25</f>
        <v>3488.0346627040703</v>
      </c>
      <c r="G28" s="601"/>
      <c r="H28" s="601"/>
      <c r="I28" s="601"/>
      <c r="J28" s="601"/>
      <c r="K28" s="601"/>
      <c r="L28" s="602">
        <f xml:space="preserve">
L26-L25</f>
        <v>5000</v>
      </c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1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  <c r="AJ28" s="601"/>
      <c r="AK28" s="601"/>
      <c r="AL28" s="601"/>
      <c r="AM28" s="601"/>
      <c r="AN28" s="601"/>
      <c r="AO28" s="601"/>
      <c r="AP28" s="601"/>
      <c r="AQ28" s="602">
        <f xml:space="preserve">
AQ26-AQ25</f>
        <v>-6083.333333333333</v>
      </c>
      <c r="AR28" s="601"/>
      <c r="AS28" s="617"/>
      <c r="AT28" s="618"/>
    </row>
    <row r="29" spans="1:46" x14ac:dyDescent="0.3">
      <c r="A29" s="252"/>
      <c r="B29" s="252"/>
      <c r="C29" s="253"/>
      <c r="D29" s="252"/>
      <c r="E29" s="252"/>
      <c r="F29" s="252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2"/>
      <c r="AJ29" s="252"/>
      <c r="AK29" s="252"/>
      <c r="AL29" s="252"/>
      <c r="AM29" s="252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198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90" t="s">
        <v>195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</row>
    <row r="33" spans="1:1" x14ac:dyDescent="0.3">
      <c r="A33" s="292" t="s">
        <v>285</v>
      </c>
    </row>
    <row r="34" spans="1:1" x14ac:dyDescent="0.3">
      <c r="A34" s="292" t="s">
        <v>286</v>
      </c>
    </row>
    <row r="35" spans="1:1" x14ac:dyDescent="0.3">
      <c r="A35" s="292" t="s">
        <v>287</v>
      </c>
    </row>
    <row r="36" spans="1:1" x14ac:dyDescent="0.3">
      <c r="A36" s="292" t="s">
        <v>288</v>
      </c>
    </row>
    <row r="37" spans="1:1" x14ac:dyDescent="0.3">
      <c r="A37" s="292" t="s">
        <v>204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1031</v>
      </c>
    </row>
    <row r="2" spans="1:49" x14ac:dyDescent="0.3">
      <c r="A2" s="235" t="s">
        <v>291</v>
      </c>
    </row>
    <row r="3" spans="1:49" x14ac:dyDescent="0.3">
      <c r="A3" s="231" t="s">
        <v>163</v>
      </c>
      <c r="B3" s="256">
        <v>2017</v>
      </c>
      <c r="D3" s="232">
        <f>MAX(D5:D1048576)</f>
        <v>2</v>
      </c>
      <c r="F3" s="232">
        <f>SUMIF($E5:$E1048576,"&lt;10",F5:F1048576)</f>
        <v>4555121.9000000004</v>
      </c>
      <c r="G3" s="232">
        <f t="shared" ref="G3:AW3" si="0">SUMIF($E5:$E1048576,"&lt;10",G5:G1048576)</f>
        <v>0</v>
      </c>
      <c r="H3" s="232">
        <f t="shared" si="0"/>
        <v>83780</v>
      </c>
      <c r="I3" s="232">
        <f t="shared" si="0"/>
        <v>251069</v>
      </c>
      <c r="J3" s="232">
        <f t="shared" si="0"/>
        <v>92948.1</v>
      </c>
      <c r="K3" s="232">
        <f t="shared" si="0"/>
        <v>0</v>
      </c>
      <c r="L3" s="232">
        <f t="shared" si="0"/>
        <v>814617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639860.30000000005</v>
      </c>
      <c r="R3" s="232">
        <f t="shared" si="0"/>
        <v>461658.75</v>
      </c>
      <c r="S3" s="232">
        <f t="shared" si="0"/>
        <v>295296.75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1302964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224390</v>
      </c>
      <c r="AM3" s="232">
        <f t="shared" si="0"/>
        <v>0</v>
      </c>
      <c r="AN3" s="232">
        <f t="shared" si="0"/>
        <v>0</v>
      </c>
      <c r="AO3" s="232">
        <f t="shared" si="0"/>
        <v>69742.5</v>
      </c>
      <c r="AP3" s="232">
        <f t="shared" si="0"/>
        <v>0</v>
      </c>
      <c r="AQ3" s="232">
        <f t="shared" si="0"/>
        <v>48548.5</v>
      </c>
      <c r="AR3" s="232">
        <f t="shared" si="0"/>
        <v>0</v>
      </c>
      <c r="AS3" s="232">
        <f t="shared" si="0"/>
        <v>0</v>
      </c>
      <c r="AT3" s="232">
        <f t="shared" si="0"/>
        <v>270247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6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6">
        <v>2</v>
      </c>
      <c r="C5" s="231">
        <v>35</v>
      </c>
      <c r="D5" s="231">
        <v>1</v>
      </c>
      <c r="E5" s="231">
        <v>1</v>
      </c>
      <c r="F5" s="231">
        <v>71.55</v>
      </c>
      <c r="G5" s="231">
        <v>0</v>
      </c>
      <c r="H5" s="231">
        <v>3</v>
      </c>
      <c r="I5" s="231">
        <v>5</v>
      </c>
      <c r="J5" s="231">
        <v>1.3</v>
      </c>
      <c r="K5" s="231">
        <v>0</v>
      </c>
      <c r="L5" s="231">
        <v>5</v>
      </c>
      <c r="M5" s="231">
        <v>0</v>
      </c>
      <c r="N5" s="231">
        <v>0</v>
      </c>
      <c r="O5" s="231">
        <v>0</v>
      </c>
      <c r="P5" s="231">
        <v>0</v>
      </c>
      <c r="Q5" s="231">
        <v>11.5</v>
      </c>
      <c r="R5" s="231">
        <v>7</v>
      </c>
      <c r="S5" s="231">
        <v>4</v>
      </c>
      <c r="T5" s="231">
        <v>0</v>
      </c>
      <c r="U5" s="231">
        <v>0</v>
      </c>
      <c r="V5" s="231">
        <v>0</v>
      </c>
      <c r="W5" s="231">
        <v>21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4</v>
      </c>
      <c r="AM5" s="231">
        <v>0</v>
      </c>
      <c r="AN5" s="231">
        <v>0</v>
      </c>
      <c r="AO5" s="231">
        <v>1.75</v>
      </c>
      <c r="AP5" s="231">
        <v>0</v>
      </c>
      <c r="AQ5" s="231">
        <v>1</v>
      </c>
      <c r="AR5" s="231">
        <v>0</v>
      </c>
      <c r="AS5" s="231">
        <v>0</v>
      </c>
      <c r="AT5" s="231">
        <v>7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6">
        <v>3</v>
      </c>
      <c r="C6" s="231">
        <v>35</v>
      </c>
      <c r="D6" s="231">
        <v>1</v>
      </c>
      <c r="E6" s="231">
        <v>2</v>
      </c>
      <c r="F6" s="231">
        <v>11556.15</v>
      </c>
      <c r="G6" s="231">
        <v>0</v>
      </c>
      <c r="H6" s="231">
        <v>436</v>
      </c>
      <c r="I6" s="231">
        <v>796</v>
      </c>
      <c r="J6" s="231">
        <v>207</v>
      </c>
      <c r="K6" s="231">
        <v>0</v>
      </c>
      <c r="L6" s="231">
        <v>835</v>
      </c>
      <c r="M6" s="231">
        <v>0</v>
      </c>
      <c r="N6" s="231">
        <v>0</v>
      </c>
      <c r="O6" s="231">
        <v>0</v>
      </c>
      <c r="P6" s="231">
        <v>0</v>
      </c>
      <c r="Q6" s="231">
        <v>1901.9</v>
      </c>
      <c r="R6" s="231">
        <v>1183.25</v>
      </c>
      <c r="S6" s="231">
        <v>662.5</v>
      </c>
      <c r="T6" s="231">
        <v>0</v>
      </c>
      <c r="U6" s="231">
        <v>0</v>
      </c>
      <c r="V6" s="231">
        <v>0</v>
      </c>
      <c r="W6" s="231">
        <v>3288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696</v>
      </c>
      <c r="AM6" s="231">
        <v>0</v>
      </c>
      <c r="AN6" s="231">
        <v>0</v>
      </c>
      <c r="AO6" s="231">
        <v>298.5</v>
      </c>
      <c r="AP6" s="231">
        <v>0</v>
      </c>
      <c r="AQ6" s="231">
        <v>175.5</v>
      </c>
      <c r="AR6" s="231">
        <v>0</v>
      </c>
      <c r="AS6" s="231">
        <v>0</v>
      </c>
      <c r="AT6" s="231">
        <v>1076.5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6">
        <v>4</v>
      </c>
      <c r="C7" s="231">
        <v>35</v>
      </c>
      <c r="D7" s="231">
        <v>1</v>
      </c>
      <c r="E7" s="231">
        <v>3</v>
      </c>
      <c r="F7" s="231">
        <v>12</v>
      </c>
      <c r="G7" s="231">
        <v>0</v>
      </c>
      <c r="H7" s="231">
        <v>0</v>
      </c>
      <c r="I7" s="231">
        <v>0</v>
      </c>
      <c r="J7" s="231">
        <v>12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6">
        <v>5</v>
      </c>
      <c r="C8" s="231">
        <v>35</v>
      </c>
      <c r="D8" s="231">
        <v>1</v>
      </c>
      <c r="E8" s="231">
        <v>4</v>
      </c>
      <c r="F8" s="231">
        <v>447.5</v>
      </c>
      <c r="G8" s="231">
        <v>0</v>
      </c>
      <c r="H8" s="231">
        <v>0</v>
      </c>
      <c r="I8" s="231">
        <v>20</v>
      </c>
      <c r="J8" s="231">
        <v>0</v>
      </c>
      <c r="K8" s="231">
        <v>0</v>
      </c>
      <c r="L8" s="231">
        <v>61</v>
      </c>
      <c r="M8" s="231">
        <v>0</v>
      </c>
      <c r="N8" s="231">
        <v>0</v>
      </c>
      <c r="O8" s="231">
        <v>0</v>
      </c>
      <c r="P8" s="231">
        <v>0</v>
      </c>
      <c r="Q8" s="231">
        <v>19</v>
      </c>
      <c r="R8" s="231">
        <v>13</v>
      </c>
      <c r="S8" s="231">
        <v>7</v>
      </c>
      <c r="T8" s="231">
        <v>0</v>
      </c>
      <c r="U8" s="231">
        <v>0</v>
      </c>
      <c r="V8" s="231">
        <v>0</v>
      </c>
      <c r="W8" s="231">
        <v>327.5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6">
        <v>6</v>
      </c>
      <c r="C9" s="231">
        <v>35</v>
      </c>
      <c r="D9" s="231">
        <v>1</v>
      </c>
      <c r="E9" s="231">
        <v>5</v>
      </c>
      <c r="F9" s="231">
        <v>10</v>
      </c>
      <c r="G9" s="231">
        <v>0</v>
      </c>
      <c r="H9" s="231">
        <v>0</v>
      </c>
      <c r="I9" s="231">
        <v>4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6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6">
        <v>7</v>
      </c>
      <c r="C10" s="231">
        <v>35</v>
      </c>
      <c r="D10" s="231">
        <v>1</v>
      </c>
      <c r="E10" s="231">
        <v>6</v>
      </c>
      <c r="F10" s="231">
        <v>2278868</v>
      </c>
      <c r="G10" s="231">
        <v>0</v>
      </c>
      <c r="H10" s="231">
        <v>38462</v>
      </c>
      <c r="I10" s="231">
        <v>122363</v>
      </c>
      <c r="J10" s="231">
        <v>46036</v>
      </c>
      <c r="K10" s="231">
        <v>0</v>
      </c>
      <c r="L10" s="231">
        <v>409064</v>
      </c>
      <c r="M10" s="231">
        <v>0</v>
      </c>
      <c r="N10" s="231">
        <v>0</v>
      </c>
      <c r="O10" s="231">
        <v>0</v>
      </c>
      <c r="P10" s="231">
        <v>0</v>
      </c>
      <c r="Q10" s="231">
        <v>320756</v>
      </c>
      <c r="R10" s="231">
        <v>226995</v>
      </c>
      <c r="S10" s="231">
        <v>148135</v>
      </c>
      <c r="T10" s="231">
        <v>0</v>
      </c>
      <c r="U10" s="231">
        <v>0</v>
      </c>
      <c r="V10" s="231">
        <v>0</v>
      </c>
      <c r="W10" s="231">
        <v>664144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111700</v>
      </c>
      <c r="AM10" s="231">
        <v>0</v>
      </c>
      <c r="AN10" s="231">
        <v>0</v>
      </c>
      <c r="AO10" s="231">
        <v>34596</v>
      </c>
      <c r="AP10" s="231">
        <v>0</v>
      </c>
      <c r="AQ10" s="231">
        <v>23110</v>
      </c>
      <c r="AR10" s="231">
        <v>0</v>
      </c>
      <c r="AS10" s="231">
        <v>0</v>
      </c>
      <c r="AT10" s="231">
        <v>133507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6">
        <v>8</v>
      </c>
      <c r="C11" s="231">
        <v>35</v>
      </c>
      <c r="D11" s="231">
        <v>1</v>
      </c>
      <c r="E11" s="231">
        <v>9</v>
      </c>
      <c r="F11" s="231">
        <v>2428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500</v>
      </c>
      <c r="T11" s="231">
        <v>0</v>
      </c>
      <c r="U11" s="231">
        <v>0</v>
      </c>
      <c r="V11" s="231">
        <v>0</v>
      </c>
      <c r="W11" s="231">
        <v>1000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928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6">
        <v>9</v>
      </c>
      <c r="C12" s="231">
        <v>35</v>
      </c>
      <c r="D12" s="231">
        <v>1</v>
      </c>
      <c r="E12" s="231">
        <v>10</v>
      </c>
      <c r="F12" s="231">
        <v>4450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4450</v>
      </c>
    </row>
    <row r="13" spans="1:49" x14ac:dyDescent="0.3">
      <c r="A13" s="231" t="s">
        <v>173</v>
      </c>
      <c r="B13" s="256">
        <v>10</v>
      </c>
      <c r="C13" s="231">
        <v>35</v>
      </c>
      <c r="D13" s="231">
        <v>1</v>
      </c>
      <c r="E13" s="231">
        <v>11</v>
      </c>
      <c r="F13" s="231">
        <v>5077.3506646853684</v>
      </c>
      <c r="G13" s="231">
        <v>0</v>
      </c>
      <c r="H13" s="231">
        <v>0</v>
      </c>
      <c r="I13" s="231">
        <v>0</v>
      </c>
      <c r="J13" s="231">
        <v>0</v>
      </c>
      <c r="K13" s="231">
        <v>1744.0173313520352</v>
      </c>
      <c r="L13" s="231">
        <v>0</v>
      </c>
      <c r="M13" s="231">
        <v>0</v>
      </c>
      <c r="N13" s="231">
        <v>0</v>
      </c>
      <c r="O13" s="231">
        <v>0</v>
      </c>
      <c r="P13" s="231">
        <v>2500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833.33333333333337</v>
      </c>
    </row>
    <row r="14" spans="1:49" x14ac:dyDescent="0.3">
      <c r="A14" s="231" t="s">
        <v>174</v>
      </c>
      <c r="B14" s="256">
        <v>11</v>
      </c>
      <c r="C14" s="231">
        <v>35</v>
      </c>
      <c r="D14" s="231">
        <v>2</v>
      </c>
      <c r="E14" s="231">
        <v>1</v>
      </c>
      <c r="F14" s="231">
        <v>70.55</v>
      </c>
      <c r="G14" s="231">
        <v>0</v>
      </c>
      <c r="H14" s="231">
        <v>3</v>
      </c>
      <c r="I14" s="231">
        <v>5</v>
      </c>
      <c r="J14" s="231">
        <v>1.3</v>
      </c>
      <c r="K14" s="231">
        <v>0</v>
      </c>
      <c r="L14" s="231">
        <v>5</v>
      </c>
      <c r="M14" s="231">
        <v>0</v>
      </c>
      <c r="N14" s="231">
        <v>0</v>
      </c>
      <c r="O14" s="231">
        <v>0</v>
      </c>
      <c r="P14" s="231">
        <v>0</v>
      </c>
      <c r="Q14" s="231">
        <v>11.5</v>
      </c>
      <c r="R14" s="231">
        <v>7</v>
      </c>
      <c r="S14" s="231">
        <v>4</v>
      </c>
      <c r="T14" s="231">
        <v>0</v>
      </c>
      <c r="U14" s="231">
        <v>0</v>
      </c>
      <c r="V14" s="231">
        <v>0</v>
      </c>
      <c r="W14" s="231">
        <v>21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4</v>
      </c>
      <c r="AM14" s="231">
        <v>0</v>
      </c>
      <c r="AN14" s="231">
        <v>0</v>
      </c>
      <c r="AO14" s="231">
        <v>1.75</v>
      </c>
      <c r="AP14" s="231">
        <v>0</v>
      </c>
      <c r="AQ14" s="231">
        <v>1</v>
      </c>
      <c r="AR14" s="231">
        <v>0</v>
      </c>
      <c r="AS14" s="231">
        <v>0</v>
      </c>
      <c r="AT14" s="231">
        <v>6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6">
        <v>12</v>
      </c>
      <c r="C15" s="231">
        <v>35</v>
      </c>
      <c r="D15" s="231">
        <v>2</v>
      </c>
      <c r="E15" s="231">
        <v>2</v>
      </c>
      <c r="F15" s="231">
        <v>9941.65</v>
      </c>
      <c r="G15" s="231">
        <v>0</v>
      </c>
      <c r="H15" s="231">
        <v>400</v>
      </c>
      <c r="I15" s="231">
        <v>728</v>
      </c>
      <c r="J15" s="231">
        <v>208.5</v>
      </c>
      <c r="K15" s="231">
        <v>0</v>
      </c>
      <c r="L15" s="231">
        <v>724</v>
      </c>
      <c r="M15" s="231">
        <v>0</v>
      </c>
      <c r="N15" s="231">
        <v>0</v>
      </c>
      <c r="O15" s="231">
        <v>0</v>
      </c>
      <c r="P15" s="231">
        <v>0</v>
      </c>
      <c r="Q15" s="231">
        <v>1657.4</v>
      </c>
      <c r="R15" s="231">
        <v>1053.5</v>
      </c>
      <c r="S15" s="231">
        <v>556.25</v>
      </c>
      <c r="T15" s="231">
        <v>0</v>
      </c>
      <c r="U15" s="231">
        <v>0</v>
      </c>
      <c r="V15" s="231">
        <v>0</v>
      </c>
      <c r="W15" s="231">
        <v>2724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592</v>
      </c>
      <c r="AM15" s="231">
        <v>0</v>
      </c>
      <c r="AN15" s="231">
        <v>0</v>
      </c>
      <c r="AO15" s="231">
        <v>234.5</v>
      </c>
      <c r="AP15" s="231">
        <v>0</v>
      </c>
      <c r="AQ15" s="231">
        <v>152</v>
      </c>
      <c r="AR15" s="231">
        <v>0</v>
      </c>
      <c r="AS15" s="231">
        <v>0</v>
      </c>
      <c r="AT15" s="231">
        <v>911.5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6">
        <v>2017</v>
      </c>
      <c r="C16" s="231">
        <v>35</v>
      </c>
      <c r="D16" s="231">
        <v>2</v>
      </c>
      <c r="E16" s="231">
        <v>4</v>
      </c>
      <c r="F16" s="231">
        <v>393.5</v>
      </c>
      <c r="G16" s="231">
        <v>0</v>
      </c>
      <c r="H16" s="231">
        <v>0</v>
      </c>
      <c r="I16" s="231">
        <v>20</v>
      </c>
      <c r="J16" s="231">
        <v>0</v>
      </c>
      <c r="K16" s="231">
        <v>0</v>
      </c>
      <c r="L16" s="231">
        <v>58</v>
      </c>
      <c r="M16" s="231">
        <v>0</v>
      </c>
      <c r="N16" s="231">
        <v>0</v>
      </c>
      <c r="O16" s="231">
        <v>0</v>
      </c>
      <c r="P16" s="231">
        <v>0</v>
      </c>
      <c r="Q16" s="231">
        <v>17</v>
      </c>
      <c r="R16" s="231">
        <v>14</v>
      </c>
      <c r="S16" s="231">
        <v>0</v>
      </c>
      <c r="T16" s="231">
        <v>0</v>
      </c>
      <c r="U16" s="231">
        <v>0</v>
      </c>
      <c r="V16" s="231">
        <v>0</v>
      </c>
      <c r="W16" s="231">
        <v>284.5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35</v>
      </c>
      <c r="D17" s="231">
        <v>2</v>
      </c>
      <c r="E17" s="231">
        <v>5</v>
      </c>
      <c r="F17" s="231">
        <v>5</v>
      </c>
      <c r="G17" s="231">
        <v>0</v>
      </c>
      <c r="H17" s="231">
        <v>0</v>
      </c>
      <c r="I17" s="231">
        <v>5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35</v>
      </c>
      <c r="D18" s="231">
        <v>2</v>
      </c>
      <c r="E18" s="231">
        <v>6</v>
      </c>
      <c r="F18" s="231">
        <v>2223340</v>
      </c>
      <c r="G18" s="231">
        <v>0</v>
      </c>
      <c r="H18" s="231">
        <v>41976</v>
      </c>
      <c r="I18" s="231">
        <v>127123</v>
      </c>
      <c r="J18" s="231">
        <v>46482</v>
      </c>
      <c r="K18" s="231">
        <v>0</v>
      </c>
      <c r="L18" s="231">
        <v>403865</v>
      </c>
      <c r="M18" s="231">
        <v>0</v>
      </c>
      <c r="N18" s="231">
        <v>0</v>
      </c>
      <c r="O18" s="231">
        <v>0</v>
      </c>
      <c r="P18" s="231">
        <v>0</v>
      </c>
      <c r="Q18" s="231">
        <v>312986</v>
      </c>
      <c r="R18" s="231">
        <v>229386</v>
      </c>
      <c r="S18" s="231">
        <v>145428</v>
      </c>
      <c r="T18" s="231">
        <v>0</v>
      </c>
      <c r="U18" s="231">
        <v>0</v>
      </c>
      <c r="V18" s="231">
        <v>0</v>
      </c>
      <c r="W18" s="231">
        <v>620400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110466</v>
      </c>
      <c r="AM18" s="231">
        <v>0</v>
      </c>
      <c r="AN18" s="231">
        <v>0</v>
      </c>
      <c r="AO18" s="231">
        <v>34610</v>
      </c>
      <c r="AP18" s="231">
        <v>0</v>
      </c>
      <c r="AQ18" s="231">
        <v>24109</v>
      </c>
      <c r="AR18" s="231">
        <v>0</v>
      </c>
      <c r="AS18" s="231">
        <v>0</v>
      </c>
      <c r="AT18" s="231">
        <v>126509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35</v>
      </c>
      <c r="D19" s="231">
        <v>2</v>
      </c>
      <c r="E19" s="231">
        <v>9</v>
      </c>
      <c r="F19" s="231">
        <v>27978</v>
      </c>
      <c r="G19" s="231">
        <v>0</v>
      </c>
      <c r="H19" s="231">
        <v>2500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2500</v>
      </c>
      <c r="R19" s="231">
        <v>3000</v>
      </c>
      <c r="S19" s="231">
        <v>0</v>
      </c>
      <c r="T19" s="231">
        <v>0</v>
      </c>
      <c r="U19" s="231">
        <v>0</v>
      </c>
      <c r="V19" s="231">
        <v>0</v>
      </c>
      <c r="W19" s="231">
        <v>10748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1000</v>
      </c>
      <c r="AR19" s="231">
        <v>0</v>
      </c>
      <c r="AS19" s="231">
        <v>0</v>
      </c>
      <c r="AT19" s="231">
        <v>8230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35</v>
      </c>
      <c r="D20" s="231">
        <v>2</v>
      </c>
      <c r="E20" s="231">
        <v>10</v>
      </c>
      <c r="F20" s="231">
        <v>3300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3300</v>
      </c>
    </row>
    <row r="21" spans="3:49" x14ac:dyDescent="0.3">
      <c r="C21" s="231">
        <v>35</v>
      </c>
      <c r="D21" s="231">
        <v>2</v>
      </c>
      <c r="E21" s="231">
        <v>11</v>
      </c>
      <c r="F21" s="231">
        <v>5077.3506646853684</v>
      </c>
      <c r="G21" s="231">
        <v>0</v>
      </c>
      <c r="H21" s="231">
        <v>0</v>
      </c>
      <c r="I21" s="231">
        <v>0</v>
      </c>
      <c r="J21" s="231">
        <v>0</v>
      </c>
      <c r="K21" s="231">
        <v>1744.0173313520352</v>
      </c>
      <c r="L21" s="231">
        <v>0</v>
      </c>
      <c r="M21" s="231">
        <v>0</v>
      </c>
      <c r="N21" s="231">
        <v>0</v>
      </c>
      <c r="O21" s="231">
        <v>0</v>
      </c>
      <c r="P21" s="231">
        <v>2500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833.33333333333337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9" t="s">
        <v>1036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</row>
    <row r="2" spans="1:28" ht="14.4" customHeight="1" thickBot="1" x14ac:dyDescent="0.35">
      <c r="A2" s="235" t="s">
        <v>291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2433692</v>
      </c>
      <c r="C3" s="222">
        <f t="shared" ref="C3:Z3" si="0">SUBTOTAL(9,C6:C1048576)</f>
        <v>9</v>
      </c>
      <c r="D3" s="222"/>
      <c r="E3" s="222">
        <f>SUBTOTAL(9,E6:E1048576)/4</f>
        <v>2685686.66</v>
      </c>
      <c r="F3" s="222"/>
      <c r="G3" s="222">
        <f t="shared" si="0"/>
        <v>9</v>
      </c>
      <c r="H3" s="222">
        <f>SUBTOTAL(9,H6:H1048576)/4</f>
        <v>2404801.3200000003</v>
      </c>
      <c r="I3" s="225">
        <f>IF(B3&lt;&gt;0,H3/B3,"")</f>
        <v>0.98812886758061425</v>
      </c>
      <c r="J3" s="223">
        <f>IF(E3&lt;&gt;0,H3/E3,"")</f>
        <v>0.89541395718888528</v>
      </c>
      <c r="K3" s="224">
        <f t="shared" si="0"/>
        <v>150800</v>
      </c>
      <c r="L3" s="224"/>
      <c r="M3" s="222">
        <f t="shared" si="0"/>
        <v>2.4390243902439024</v>
      </c>
      <c r="N3" s="222">
        <f t="shared" si="0"/>
        <v>123656</v>
      </c>
      <c r="O3" s="222"/>
      <c r="P3" s="222">
        <f t="shared" si="0"/>
        <v>2</v>
      </c>
      <c r="Q3" s="222">
        <f t="shared" si="0"/>
        <v>171368.52000000002</v>
      </c>
      <c r="R3" s="225">
        <f>IF(K3&lt;&gt;0,Q3/K3,"")</f>
        <v>1.1363960212201594</v>
      </c>
      <c r="S3" s="225">
        <f>IF(N3&lt;&gt;0,Q3/N3,"")</f>
        <v>1.3858488063660479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20" t="s">
        <v>246</v>
      </c>
      <c r="B4" s="421" t="s">
        <v>99</v>
      </c>
      <c r="C4" s="422"/>
      <c r="D4" s="423"/>
      <c r="E4" s="422"/>
      <c r="F4" s="423"/>
      <c r="G4" s="422"/>
      <c r="H4" s="422"/>
      <c r="I4" s="423"/>
      <c r="J4" s="424"/>
      <c r="K4" s="421" t="s">
        <v>100</v>
      </c>
      <c r="L4" s="423"/>
      <c r="M4" s="422"/>
      <c r="N4" s="422"/>
      <c r="O4" s="423"/>
      <c r="P4" s="422"/>
      <c r="Q4" s="422"/>
      <c r="R4" s="423"/>
      <c r="S4" s="424"/>
      <c r="T4" s="421" t="s">
        <v>101</v>
      </c>
      <c r="U4" s="423"/>
      <c r="V4" s="422"/>
      <c r="W4" s="422"/>
      <c r="X4" s="423"/>
      <c r="Y4" s="422"/>
      <c r="Z4" s="422"/>
      <c r="AA4" s="423"/>
      <c r="AB4" s="424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2016</v>
      </c>
      <c r="F5" s="625"/>
      <c r="G5" s="625"/>
      <c r="H5" s="625">
        <v>2017</v>
      </c>
      <c r="I5" s="626" t="s">
        <v>278</v>
      </c>
      <c r="J5" s="627" t="s">
        <v>2</v>
      </c>
      <c r="K5" s="624">
        <v>2015</v>
      </c>
      <c r="L5" s="625"/>
      <c r="M5" s="625"/>
      <c r="N5" s="625">
        <v>2016</v>
      </c>
      <c r="O5" s="625"/>
      <c r="P5" s="625"/>
      <c r="Q5" s="625">
        <v>2017</v>
      </c>
      <c r="R5" s="626" t="s">
        <v>278</v>
      </c>
      <c r="S5" s="627" t="s">
        <v>2</v>
      </c>
      <c r="T5" s="624">
        <v>2015</v>
      </c>
      <c r="U5" s="625"/>
      <c r="V5" s="625"/>
      <c r="W5" s="625">
        <v>2016</v>
      </c>
      <c r="X5" s="625"/>
      <c r="Y5" s="625"/>
      <c r="Z5" s="625">
        <v>2017</v>
      </c>
      <c r="AA5" s="626" t="s">
        <v>278</v>
      </c>
      <c r="AB5" s="627" t="s">
        <v>2</v>
      </c>
    </row>
    <row r="6" spans="1:28" ht="14.4" customHeight="1" x14ac:dyDescent="0.3">
      <c r="A6" s="628" t="s">
        <v>1032</v>
      </c>
      <c r="B6" s="629">
        <v>139343</v>
      </c>
      <c r="C6" s="630">
        <v>1</v>
      </c>
      <c r="D6" s="630">
        <v>0.93076733682164292</v>
      </c>
      <c r="E6" s="629">
        <v>149707.66</v>
      </c>
      <c r="F6" s="630">
        <v>1.0743823514636544</v>
      </c>
      <c r="G6" s="630">
        <v>1</v>
      </c>
      <c r="H6" s="629">
        <v>260595.31999999998</v>
      </c>
      <c r="I6" s="630">
        <v>1.8701715909661769</v>
      </c>
      <c r="J6" s="630">
        <v>1.7406946311230833</v>
      </c>
      <c r="K6" s="629"/>
      <c r="L6" s="630"/>
      <c r="M6" s="630"/>
      <c r="N6" s="629"/>
      <c r="O6" s="630"/>
      <c r="P6" s="630"/>
      <c r="Q6" s="629"/>
      <c r="R6" s="630"/>
      <c r="S6" s="630"/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x14ac:dyDescent="0.3">
      <c r="A7" s="642" t="s">
        <v>1033</v>
      </c>
      <c r="B7" s="632">
        <v>139343</v>
      </c>
      <c r="C7" s="633">
        <v>1</v>
      </c>
      <c r="D7" s="633">
        <v>0.93076733682164292</v>
      </c>
      <c r="E7" s="632">
        <v>149707.66</v>
      </c>
      <c r="F7" s="633">
        <v>1.0743823514636544</v>
      </c>
      <c r="G7" s="633">
        <v>1</v>
      </c>
      <c r="H7" s="632">
        <v>260595.31999999998</v>
      </c>
      <c r="I7" s="633">
        <v>1.8701715909661769</v>
      </c>
      <c r="J7" s="633">
        <v>1.7406946311230833</v>
      </c>
      <c r="K7" s="632"/>
      <c r="L7" s="633"/>
      <c r="M7" s="633"/>
      <c r="N7" s="632"/>
      <c r="O7" s="633"/>
      <c r="P7" s="633"/>
      <c r="Q7" s="632"/>
      <c r="R7" s="633"/>
      <c r="S7" s="633"/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x14ac:dyDescent="0.3">
      <c r="A8" s="635" t="s">
        <v>1034</v>
      </c>
      <c r="B8" s="636">
        <v>2294349</v>
      </c>
      <c r="C8" s="637">
        <v>1</v>
      </c>
      <c r="D8" s="637">
        <v>0.90471924254893277</v>
      </c>
      <c r="E8" s="636">
        <v>2535979</v>
      </c>
      <c r="F8" s="637">
        <v>1.1053152767952914</v>
      </c>
      <c r="G8" s="637">
        <v>1</v>
      </c>
      <c r="H8" s="636">
        <v>2144206</v>
      </c>
      <c r="I8" s="637">
        <v>0.93455965068958557</v>
      </c>
      <c r="J8" s="637">
        <v>0.84551409928867705</v>
      </c>
      <c r="K8" s="636">
        <v>75400</v>
      </c>
      <c r="L8" s="637">
        <v>1</v>
      </c>
      <c r="M8" s="637">
        <v>1.2195121951219512</v>
      </c>
      <c r="N8" s="636">
        <v>61828</v>
      </c>
      <c r="O8" s="637">
        <v>0.82</v>
      </c>
      <c r="P8" s="637">
        <v>1</v>
      </c>
      <c r="Q8" s="636">
        <v>85684.260000000009</v>
      </c>
      <c r="R8" s="637">
        <v>1.1363960212201594</v>
      </c>
      <c r="S8" s="637">
        <v>1.3858488063660479</v>
      </c>
      <c r="T8" s="636"/>
      <c r="U8" s="637"/>
      <c r="V8" s="637"/>
      <c r="W8" s="636"/>
      <c r="X8" s="637"/>
      <c r="Y8" s="637"/>
      <c r="Z8" s="636"/>
      <c r="AA8" s="637"/>
      <c r="AB8" s="638"/>
    </row>
    <row r="9" spans="1:28" ht="14.4" customHeight="1" thickBot="1" x14ac:dyDescent="0.35">
      <c r="A9" s="643" t="s">
        <v>1035</v>
      </c>
      <c r="B9" s="639">
        <v>2294349</v>
      </c>
      <c r="C9" s="640">
        <v>1</v>
      </c>
      <c r="D9" s="640">
        <v>0.90471924254893277</v>
      </c>
      <c r="E9" s="639">
        <v>2535979</v>
      </c>
      <c r="F9" s="640">
        <v>1.1053152767952914</v>
      </c>
      <c r="G9" s="640">
        <v>1</v>
      </c>
      <c r="H9" s="639">
        <v>2144206</v>
      </c>
      <c r="I9" s="640">
        <v>0.93455965068958557</v>
      </c>
      <c r="J9" s="640">
        <v>0.84551409928867705</v>
      </c>
      <c r="K9" s="639">
        <v>75400</v>
      </c>
      <c r="L9" s="640">
        <v>1</v>
      </c>
      <c r="M9" s="640">
        <v>1.2195121951219512</v>
      </c>
      <c r="N9" s="639">
        <v>61828</v>
      </c>
      <c r="O9" s="640">
        <v>0.82</v>
      </c>
      <c r="P9" s="640">
        <v>1</v>
      </c>
      <c r="Q9" s="639">
        <v>85684.260000000009</v>
      </c>
      <c r="R9" s="640">
        <v>1.1363960212201594</v>
      </c>
      <c r="S9" s="640">
        <v>1.3858488063660479</v>
      </c>
      <c r="T9" s="639"/>
      <c r="U9" s="640"/>
      <c r="V9" s="640"/>
      <c r="W9" s="639"/>
      <c r="X9" s="640"/>
      <c r="Y9" s="640"/>
      <c r="Z9" s="639"/>
      <c r="AA9" s="640"/>
      <c r="AB9" s="641"/>
    </row>
    <row r="10" spans="1:28" ht="14.4" customHeight="1" thickBot="1" x14ac:dyDescent="0.35"/>
    <row r="11" spans="1:28" ht="14.4" customHeight="1" x14ac:dyDescent="0.3">
      <c r="A11" s="628" t="s">
        <v>1037</v>
      </c>
      <c r="B11" s="629">
        <v>139343</v>
      </c>
      <c r="C11" s="630">
        <v>1</v>
      </c>
      <c r="D11" s="630">
        <v>0.93076733682164292</v>
      </c>
      <c r="E11" s="629">
        <v>149707.66</v>
      </c>
      <c r="F11" s="630">
        <v>1.0743823514636544</v>
      </c>
      <c r="G11" s="630">
        <v>1</v>
      </c>
      <c r="H11" s="629">
        <v>260595.31999999998</v>
      </c>
      <c r="I11" s="630">
        <v>1.8701715909661769</v>
      </c>
      <c r="J11" s="631">
        <v>1.7406946311230833</v>
      </c>
    </row>
    <row r="12" spans="1:28" ht="14.4" customHeight="1" x14ac:dyDescent="0.3">
      <c r="A12" s="642" t="s">
        <v>1038</v>
      </c>
      <c r="B12" s="632">
        <v>2313</v>
      </c>
      <c r="C12" s="633">
        <v>1</v>
      </c>
      <c r="D12" s="633">
        <v>0.95028759244042726</v>
      </c>
      <c r="E12" s="632">
        <v>2434</v>
      </c>
      <c r="F12" s="633">
        <v>1.0523130134025076</v>
      </c>
      <c r="G12" s="633">
        <v>1</v>
      </c>
      <c r="H12" s="632">
        <v>3130</v>
      </c>
      <c r="I12" s="633">
        <v>1.3532209252053611</v>
      </c>
      <c r="J12" s="634">
        <v>1.2859490550534101</v>
      </c>
    </row>
    <row r="13" spans="1:28" ht="14.4" customHeight="1" x14ac:dyDescent="0.3">
      <c r="A13" s="642" t="s">
        <v>1039</v>
      </c>
      <c r="B13" s="632">
        <v>137030</v>
      </c>
      <c r="C13" s="633">
        <v>1</v>
      </c>
      <c r="D13" s="633">
        <v>0.93044472446736226</v>
      </c>
      <c r="E13" s="632">
        <v>147273.66</v>
      </c>
      <c r="F13" s="633">
        <v>1.0747548711960884</v>
      </c>
      <c r="G13" s="633">
        <v>1</v>
      </c>
      <c r="H13" s="632">
        <v>257465.31999999998</v>
      </c>
      <c r="I13" s="633">
        <v>1.878897467707801</v>
      </c>
      <c r="J13" s="634">
        <v>1.7482102366438097</v>
      </c>
    </row>
    <row r="14" spans="1:28" ht="14.4" customHeight="1" x14ac:dyDescent="0.3">
      <c r="A14" s="635" t="s">
        <v>553</v>
      </c>
      <c r="B14" s="636">
        <v>2294349</v>
      </c>
      <c r="C14" s="637">
        <v>1</v>
      </c>
      <c r="D14" s="637">
        <v>0.90471924254893277</v>
      </c>
      <c r="E14" s="636">
        <v>2535979</v>
      </c>
      <c r="F14" s="637">
        <v>1.1053152767952914</v>
      </c>
      <c r="G14" s="637">
        <v>1</v>
      </c>
      <c r="H14" s="636">
        <v>2070502</v>
      </c>
      <c r="I14" s="637">
        <v>0.90243550567067177</v>
      </c>
      <c r="J14" s="638">
        <v>0.81645076713963327</v>
      </c>
    </row>
    <row r="15" spans="1:28" ht="14.4" customHeight="1" x14ac:dyDescent="0.3">
      <c r="A15" s="642" t="s">
        <v>1038</v>
      </c>
      <c r="B15" s="632">
        <v>2294349</v>
      </c>
      <c r="C15" s="633">
        <v>1</v>
      </c>
      <c r="D15" s="633">
        <v>0.90471924254893277</v>
      </c>
      <c r="E15" s="632">
        <v>2535979</v>
      </c>
      <c r="F15" s="633">
        <v>1.1053152767952914</v>
      </c>
      <c r="G15" s="633">
        <v>1</v>
      </c>
      <c r="H15" s="632">
        <v>2070502</v>
      </c>
      <c r="I15" s="633">
        <v>0.90243550567067177</v>
      </c>
      <c r="J15" s="634">
        <v>0.81645076713963327</v>
      </c>
    </row>
    <row r="16" spans="1:28" ht="14.4" customHeight="1" x14ac:dyDescent="0.3">
      <c r="A16" s="635" t="s">
        <v>558</v>
      </c>
      <c r="B16" s="636"/>
      <c r="C16" s="637"/>
      <c r="D16" s="637"/>
      <c r="E16" s="636"/>
      <c r="F16" s="637"/>
      <c r="G16" s="637"/>
      <c r="H16" s="636">
        <v>73704</v>
      </c>
      <c r="I16" s="637"/>
      <c r="J16" s="638"/>
    </row>
    <row r="17" spans="1:10" ht="14.4" customHeight="1" thickBot="1" x14ac:dyDescent="0.35">
      <c r="A17" s="643" t="s">
        <v>1038</v>
      </c>
      <c r="B17" s="639"/>
      <c r="C17" s="640"/>
      <c r="D17" s="640"/>
      <c r="E17" s="639"/>
      <c r="F17" s="640"/>
      <c r="G17" s="640"/>
      <c r="H17" s="639">
        <v>73704</v>
      </c>
      <c r="I17" s="640"/>
      <c r="J17" s="641"/>
    </row>
    <row r="18" spans="1:10" ht="14.4" customHeight="1" x14ac:dyDescent="0.3">
      <c r="A18" s="516" t="s">
        <v>619</v>
      </c>
    </row>
    <row r="19" spans="1:10" ht="14.4" customHeight="1" x14ac:dyDescent="0.3">
      <c r="A19" s="517" t="s">
        <v>620</v>
      </c>
    </row>
    <row r="20" spans="1:10" ht="14.4" customHeight="1" x14ac:dyDescent="0.3">
      <c r="A20" s="516" t="s">
        <v>1040</v>
      </c>
    </row>
    <row r="21" spans="1:10" ht="14.4" customHeight="1" x14ac:dyDescent="0.3">
      <c r="A21" s="516" t="s">
        <v>1041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6" t="s">
        <v>121</v>
      </c>
      <c r="B1" s="346"/>
      <c r="C1" s="347"/>
      <c r="D1" s="347"/>
      <c r="E1" s="347"/>
    </row>
    <row r="2" spans="1:5" ht="14.4" customHeight="1" thickBot="1" x14ac:dyDescent="0.35">
      <c r="A2" s="235" t="s">
        <v>291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3693.1139147510603</v>
      </c>
      <c r="D4" s="160">
        <f ca="1">IF(ISERROR(VLOOKUP("Náklady celkem",INDIRECT("HI!$A:$G"),5,0)),0,VLOOKUP("Náklady celkem",INDIRECT("HI!$A:$G"),5,0))</f>
        <v>2284.1302300000007</v>
      </c>
      <c r="E4" s="161">
        <f ca="1">IF(C4=0,0,D4/C4)</f>
        <v>0.61848355689130319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3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17.501735104457499</v>
      </c>
      <c r="D7" s="168">
        <f>IF(ISERROR(HI!E5),"",HI!E5)</f>
        <v>5.7020999999999997</v>
      </c>
      <c r="E7" s="165">
        <f t="shared" ref="E7:E14" si="0">IF(C7=0,0,D7/C7)</f>
        <v>0.32580198283013312</v>
      </c>
    </row>
    <row r="8" spans="1:5" ht="14.4" customHeight="1" x14ac:dyDescent="0.3">
      <c r="A8" s="314" t="str">
        <f>HYPERLINK("#'LŽ Statim'!A1","Podíl statimových žádanek (max. 30%)")</f>
        <v>Podíl statimových žádanek (max. 30%)</v>
      </c>
      <c r="B8" s="312" t="s">
        <v>241</v>
      </c>
      <c r="C8" s="313">
        <v>0.3</v>
      </c>
      <c r="D8" s="313">
        <f>IF('LŽ Statim'!G3="",0,'LŽ Statim'!G3)</f>
        <v>1.282051282051282E-2</v>
      </c>
      <c r="E8" s="165">
        <f>IF(C8=0,0,D8/C8)</f>
        <v>4.2735042735042736E-2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314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0.87817093203062713</v>
      </c>
      <c r="E10" s="165">
        <f t="shared" si="0"/>
        <v>1.4636182200510452</v>
      </c>
    </row>
    <row r="11" spans="1:5" ht="14.4" customHeight="1" x14ac:dyDescent="0.3">
      <c r="A11" s="314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6910</v>
      </c>
      <c r="D14" s="168">
        <f>IF(ISERROR(HI!E6),"",HI!E6)</f>
        <v>5823.7027400000006</v>
      </c>
      <c r="E14" s="165">
        <f t="shared" si="0"/>
        <v>0.84279345007235895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6238.3333333333339</v>
      </c>
      <c r="D15" s="164">
        <f ca="1">IF(ISERROR(VLOOKUP("Osobní náklady (Kč) *",INDIRECT("HI!$A:$G"),5,0)),0,VLOOKUP("Osobní náklady (Kč) *",INDIRECT("HI!$A:$G"),5,0))</f>
        <v>6111.0179800000005</v>
      </c>
      <c r="E15" s="165">
        <f ca="1">IF(C15=0,0,D15/C15)</f>
        <v>0.97959144750200378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2685.6866600000003</v>
      </c>
      <c r="D17" s="183">
        <f ca="1">IF(ISERROR(VLOOKUP("Výnosy celkem",INDIRECT("HI!$A:$G"),5,0)),0,VLOOKUP("Výnosy celkem",INDIRECT("HI!$A:$G"),5,0))</f>
        <v>2404.8013200000005</v>
      </c>
      <c r="E17" s="184">
        <f t="shared" ref="E17:E22" ca="1" si="1">IF(C17=0,0,D17/C17)</f>
        <v>0.89541395718888528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2685.6866600000003</v>
      </c>
      <c r="D18" s="164">
        <f ca="1">IF(ISERROR(VLOOKUP("Ambulance *",INDIRECT("HI!$A:$G"),5,0)),0,VLOOKUP("Ambulance *",INDIRECT("HI!$A:$G"),5,0))</f>
        <v>2404.8013200000005</v>
      </c>
      <c r="E18" s="165">
        <f t="shared" ca="1" si="1"/>
        <v>0.89541395718888528</v>
      </c>
    </row>
    <row r="19" spans="1:5" ht="14.4" customHeight="1" x14ac:dyDescent="0.3">
      <c r="A19" s="329" t="str">
        <f>HYPERLINK("#'ZV Vykáz.-A'!A1","Zdravotní výkony vykázané u ambulantních pacientů (min. 100 % 2016)")</f>
        <v>Zdravotní výkony vykázané u ambulantních pacientů (min. 100 % 2016)</v>
      </c>
      <c r="B19" s="330" t="s">
        <v>123</v>
      </c>
      <c r="C19" s="169">
        <v>1</v>
      </c>
      <c r="D19" s="169">
        <f>IF(ISERROR(VLOOKUP("Celkem:",'ZV Vykáz.-A'!$A:$AB,10,0)),"",VLOOKUP("Celkem:",'ZV Vykáz.-A'!$A:$AB,10,0))</f>
        <v>0.89541395718888528</v>
      </c>
      <c r="E19" s="165">
        <f t="shared" si="1"/>
        <v>0.89541395718888528</v>
      </c>
    </row>
    <row r="20" spans="1:5" ht="14.4" customHeight="1" x14ac:dyDescent="0.3">
      <c r="A20" s="328" t="str">
        <f>HYPERLINK("#'ZV Vykáz.-A'!A1","Specializovaná ambulantní péče")</f>
        <v>Specializovaná ambulantní péče</v>
      </c>
      <c r="B20" s="330" t="s">
        <v>123</v>
      </c>
      <c r="C20" s="169">
        <v>1</v>
      </c>
      <c r="D20" s="313">
        <f>IF(ISERROR(VLOOKUP("Specializovaná ambulantní péče",'ZV Vykáz.-A'!$A:$AB,10,0)),"",VLOOKUP("Specializovaná ambulantní péče",'ZV Vykáz.-A'!$A:$AB,10,0))</f>
        <v>1.7406946311230833</v>
      </c>
      <c r="E20" s="165">
        <f t="shared" si="1"/>
        <v>1.7406946311230833</v>
      </c>
    </row>
    <row r="21" spans="1:5" ht="14.4" customHeight="1" x14ac:dyDescent="0.3">
      <c r="A21" s="328" t="str">
        <f>HYPERLINK("#'ZV Vykáz.-A'!A1","Ambulantní péče ve vyjmenovaných odbornostech (§9)")</f>
        <v>Ambulantní péče ve vyjmenovaných odbornostech (§9)</v>
      </c>
      <c r="B21" s="330" t="s">
        <v>123</v>
      </c>
      <c r="C21" s="169">
        <v>1</v>
      </c>
      <c r="D21" s="313">
        <f>IF(ISERROR(VLOOKUP("Ambulantní péče ve vyjmenovaných odbornostech (§9) *",'ZV Vykáz.-A'!$A:$AB,10,0)),"",VLOOKUP("Ambulantní péče ve vyjmenovaných odbornostech (§9) *",'ZV Vykáz.-A'!$A:$AB,10,0))</f>
        <v>0.84551409928867705</v>
      </c>
      <c r="E21" s="165">
        <f>IF(OR(C21=0,D21=""),0,IF(C21="","",D21/C21))</f>
        <v>0.84551409928867705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30" t="s">
        <v>125</v>
      </c>
      <c r="C22" s="169">
        <v>0.85</v>
      </c>
      <c r="D22" s="169">
        <f>IF(ISERROR(VLOOKUP("Celkem:",'ZV Vykáz.-H'!$A:$S,7,0)),"",VLOOKUP("Celkem:",'ZV Vykáz.-H'!$A:$S,7,0))</f>
        <v>0.95573450435462548</v>
      </c>
      <c r="E22" s="165">
        <f t="shared" si="1"/>
        <v>1.1243935345348535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9" t="s">
        <v>1045</v>
      </c>
      <c r="B1" s="346"/>
      <c r="C1" s="346"/>
      <c r="D1" s="346"/>
      <c r="E1" s="346"/>
      <c r="F1" s="346"/>
      <c r="G1" s="346"/>
    </row>
    <row r="2" spans="1:7" ht="14.4" customHeight="1" thickBot="1" x14ac:dyDescent="0.35">
      <c r="A2" s="235" t="s">
        <v>291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41" t="s">
        <v>128</v>
      </c>
      <c r="B3" s="316">
        <f t="shared" ref="B3:G3" si="0">SUBTOTAL(9,B6:B1048576)</f>
        <v>10231</v>
      </c>
      <c r="C3" s="317">
        <f t="shared" si="0"/>
        <v>11067</v>
      </c>
      <c r="D3" s="340">
        <f t="shared" si="0"/>
        <v>8751</v>
      </c>
      <c r="E3" s="224">
        <f t="shared" si="0"/>
        <v>2433692</v>
      </c>
      <c r="F3" s="222">
        <f t="shared" si="0"/>
        <v>2685686.66</v>
      </c>
      <c r="G3" s="318">
        <f t="shared" si="0"/>
        <v>2404801.3200000003</v>
      </c>
    </row>
    <row r="4" spans="1:7" ht="14.4" customHeight="1" x14ac:dyDescent="0.3">
      <c r="A4" s="420" t="s">
        <v>135</v>
      </c>
      <c r="B4" s="425" t="s">
        <v>243</v>
      </c>
      <c r="C4" s="423"/>
      <c r="D4" s="426"/>
      <c r="E4" s="425" t="s">
        <v>99</v>
      </c>
      <c r="F4" s="423"/>
      <c r="G4" s="426"/>
    </row>
    <row r="5" spans="1:7" ht="14.4" customHeight="1" thickBot="1" x14ac:dyDescent="0.35">
      <c r="A5" s="623"/>
      <c r="B5" s="624">
        <v>2015</v>
      </c>
      <c r="C5" s="625">
        <v>2016</v>
      </c>
      <c r="D5" s="644">
        <v>2017</v>
      </c>
      <c r="E5" s="624">
        <v>2015</v>
      </c>
      <c r="F5" s="625">
        <v>2016</v>
      </c>
      <c r="G5" s="644">
        <v>2017</v>
      </c>
    </row>
    <row r="6" spans="1:7" ht="14.4" customHeight="1" x14ac:dyDescent="0.3">
      <c r="A6" s="578" t="s">
        <v>1038</v>
      </c>
      <c r="B6" s="116">
        <v>10180</v>
      </c>
      <c r="C6" s="116">
        <v>11019</v>
      </c>
      <c r="D6" s="116">
        <v>8681</v>
      </c>
      <c r="E6" s="645">
        <v>2296662</v>
      </c>
      <c r="F6" s="645">
        <v>2538413</v>
      </c>
      <c r="G6" s="646">
        <v>2147336</v>
      </c>
    </row>
    <row r="7" spans="1:7" ht="14.4" customHeight="1" x14ac:dyDescent="0.3">
      <c r="A7" s="581" t="s">
        <v>1042</v>
      </c>
      <c r="B7" s="567">
        <v>1</v>
      </c>
      <c r="C7" s="567">
        <v>9</v>
      </c>
      <c r="D7" s="567">
        <v>11</v>
      </c>
      <c r="E7" s="647">
        <v>35</v>
      </c>
      <c r="F7" s="647">
        <v>36673.33</v>
      </c>
      <c r="G7" s="648">
        <v>82029.33</v>
      </c>
    </row>
    <row r="8" spans="1:7" ht="14.4" customHeight="1" x14ac:dyDescent="0.3">
      <c r="A8" s="581" t="s">
        <v>622</v>
      </c>
      <c r="B8" s="567">
        <v>4</v>
      </c>
      <c r="C8" s="567">
        <v>3</v>
      </c>
      <c r="D8" s="567">
        <v>5</v>
      </c>
      <c r="E8" s="647">
        <v>140</v>
      </c>
      <c r="F8" s="647">
        <v>111</v>
      </c>
      <c r="G8" s="648">
        <v>185</v>
      </c>
    </row>
    <row r="9" spans="1:7" ht="14.4" customHeight="1" x14ac:dyDescent="0.3">
      <c r="A9" s="581" t="s">
        <v>623</v>
      </c>
      <c r="B9" s="567">
        <v>2</v>
      </c>
      <c r="C9" s="567"/>
      <c r="D9" s="567">
        <v>1</v>
      </c>
      <c r="E9" s="647">
        <v>70</v>
      </c>
      <c r="F9" s="647"/>
      <c r="G9" s="648">
        <v>37</v>
      </c>
    </row>
    <row r="10" spans="1:7" ht="14.4" customHeight="1" x14ac:dyDescent="0.3">
      <c r="A10" s="581" t="s">
        <v>624</v>
      </c>
      <c r="B10" s="567">
        <v>5</v>
      </c>
      <c r="C10" s="567">
        <v>5</v>
      </c>
      <c r="D10" s="567">
        <v>8</v>
      </c>
      <c r="E10" s="647">
        <v>175</v>
      </c>
      <c r="F10" s="647">
        <v>185</v>
      </c>
      <c r="G10" s="648">
        <v>296</v>
      </c>
    </row>
    <row r="11" spans="1:7" ht="14.4" customHeight="1" x14ac:dyDescent="0.3">
      <c r="A11" s="581" t="s">
        <v>1043</v>
      </c>
      <c r="B11" s="567">
        <v>4</v>
      </c>
      <c r="C11" s="567">
        <v>1</v>
      </c>
      <c r="D11" s="567"/>
      <c r="E11" s="647">
        <v>140</v>
      </c>
      <c r="F11" s="647">
        <v>37</v>
      </c>
      <c r="G11" s="648"/>
    </row>
    <row r="12" spans="1:7" ht="14.4" customHeight="1" x14ac:dyDescent="0.3">
      <c r="A12" s="581" t="s">
        <v>625</v>
      </c>
      <c r="B12" s="567">
        <v>35</v>
      </c>
      <c r="C12" s="567">
        <v>30</v>
      </c>
      <c r="D12" s="567">
        <v>39</v>
      </c>
      <c r="E12" s="647">
        <v>136470</v>
      </c>
      <c r="F12" s="647">
        <v>110267.33</v>
      </c>
      <c r="G12" s="648">
        <v>156315.32999999999</v>
      </c>
    </row>
    <row r="13" spans="1:7" ht="14.4" customHeight="1" thickBot="1" x14ac:dyDescent="0.35">
      <c r="A13" s="651" t="s">
        <v>1044</v>
      </c>
      <c r="B13" s="569"/>
      <c r="C13" s="569"/>
      <c r="D13" s="569">
        <v>6</v>
      </c>
      <c r="E13" s="649"/>
      <c r="F13" s="649"/>
      <c r="G13" s="650">
        <v>18602.66</v>
      </c>
    </row>
    <row r="14" spans="1:7" ht="14.4" customHeight="1" x14ac:dyDescent="0.3">
      <c r="A14" s="516" t="s">
        <v>619</v>
      </c>
    </row>
    <row r="15" spans="1:7" ht="14.4" customHeight="1" x14ac:dyDescent="0.3">
      <c r="A15" s="517" t="s">
        <v>620</v>
      </c>
    </row>
    <row r="16" spans="1:7" ht="14.4" customHeight="1" x14ac:dyDescent="0.3">
      <c r="A16" s="516" t="s">
        <v>1040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6" t="s">
        <v>1126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1:18" ht="14.4" customHeight="1" thickBot="1" x14ac:dyDescent="0.35">
      <c r="A2" s="235" t="s">
        <v>291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10331</v>
      </c>
      <c r="H3" s="103">
        <f t="shared" si="0"/>
        <v>2509092</v>
      </c>
      <c r="I3" s="74"/>
      <c r="J3" s="74"/>
      <c r="K3" s="103">
        <f t="shared" si="0"/>
        <v>11149</v>
      </c>
      <c r="L3" s="103">
        <f t="shared" si="0"/>
        <v>2747514.66</v>
      </c>
      <c r="M3" s="74"/>
      <c r="N3" s="74"/>
      <c r="O3" s="103">
        <f t="shared" si="0"/>
        <v>8833</v>
      </c>
      <c r="P3" s="103">
        <f t="shared" si="0"/>
        <v>2490485.58</v>
      </c>
      <c r="Q3" s="75">
        <f>IF(L3=0,0,P3/L3)</f>
        <v>0.90645033355345228</v>
      </c>
      <c r="R3" s="104">
        <f>IF(O3=0,0,P3/O3)</f>
        <v>281.95240348692403</v>
      </c>
    </row>
    <row r="4" spans="1:18" ht="14.4" customHeight="1" x14ac:dyDescent="0.3">
      <c r="A4" s="427" t="s">
        <v>279</v>
      </c>
      <c r="B4" s="427" t="s">
        <v>95</v>
      </c>
      <c r="C4" s="435" t="s">
        <v>0</v>
      </c>
      <c r="D4" s="429" t="s">
        <v>96</v>
      </c>
      <c r="E4" s="434" t="s">
        <v>71</v>
      </c>
      <c r="F4" s="430" t="s">
        <v>70</v>
      </c>
      <c r="G4" s="431">
        <v>2015</v>
      </c>
      <c r="H4" s="432"/>
      <c r="I4" s="101"/>
      <c r="J4" s="101"/>
      <c r="K4" s="431">
        <v>2016</v>
      </c>
      <c r="L4" s="432"/>
      <c r="M4" s="101"/>
      <c r="N4" s="101"/>
      <c r="O4" s="431">
        <v>2017</v>
      </c>
      <c r="P4" s="432"/>
      <c r="Q4" s="433" t="s">
        <v>2</v>
      </c>
      <c r="R4" s="428" t="s">
        <v>98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72</v>
      </c>
      <c r="H5" s="658" t="s">
        <v>14</v>
      </c>
      <c r="I5" s="659"/>
      <c r="J5" s="659"/>
      <c r="K5" s="657" t="s">
        <v>72</v>
      </c>
      <c r="L5" s="658" t="s">
        <v>14</v>
      </c>
      <c r="M5" s="659"/>
      <c r="N5" s="659"/>
      <c r="O5" s="657" t="s">
        <v>72</v>
      </c>
      <c r="P5" s="658" t="s">
        <v>14</v>
      </c>
      <c r="Q5" s="660"/>
      <c r="R5" s="661"/>
    </row>
    <row r="6" spans="1:18" ht="14.4" customHeight="1" x14ac:dyDescent="0.3">
      <c r="A6" s="539" t="s">
        <v>1046</v>
      </c>
      <c r="B6" s="540" t="s">
        <v>1047</v>
      </c>
      <c r="C6" s="540" t="s">
        <v>1037</v>
      </c>
      <c r="D6" s="540" t="s">
        <v>1048</v>
      </c>
      <c r="E6" s="540" t="s">
        <v>1049</v>
      </c>
      <c r="F6" s="540" t="s">
        <v>1050</v>
      </c>
      <c r="G6" s="116">
        <v>31</v>
      </c>
      <c r="H6" s="116">
        <v>1085</v>
      </c>
      <c r="I6" s="540">
        <v>1.3329238329238329</v>
      </c>
      <c r="J6" s="540">
        <v>35</v>
      </c>
      <c r="K6" s="116">
        <v>22</v>
      </c>
      <c r="L6" s="116">
        <v>814</v>
      </c>
      <c r="M6" s="540">
        <v>1</v>
      </c>
      <c r="N6" s="540">
        <v>37</v>
      </c>
      <c r="O6" s="116">
        <v>22</v>
      </c>
      <c r="P6" s="116">
        <v>814</v>
      </c>
      <c r="Q6" s="545">
        <v>1</v>
      </c>
      <c r="R6" s="566">
        <v>37</v>
      </c>
    </row>
    <row r="7" spans="1:18" ht="14.4" customHeight="1" x14ac:dyDescent="0.3">
      <c r="A7" s="546" t="s">
        <v>1046</v>
      </c>
      <c r="B7" s="547" t="s">
        <v>1047</v>
      </c>
      <c r="C7" s="547" t="s">
        <v>1037</v>
      </c>
      <c r="D7" s="547" t="s">
        <v>1048</v>
      </c>
      <c r="E7" s="547" t="s">
        <v>1051</v>
      </c>
      <c r="F7" s="547" t="s">
        <v>1052</v>
      </c>
      <c r="G7" s="567">
        <v>5</v>
      </c>
      <c r="H7" s="567">
        <v>0</v>
      </c>
      <c r="I7" s="547">
        <v>0</v>
      </c>
      <c r="J7" s="547">
        <v>0</v>
      </c>
      <c r="K7" s="567">
        <v>5</v>
      </c>
      <c r="L7" s="567">
        <v>166.66</v>
      </c>
      <c r="M7" s="547">
        <v>1</v>
      </c>
      <c r="N7" s="547">
        <v>33.332000000000001</v>
      </c>
      <c r="O7" s="567">
        <v>10</v>
      </c>
      <c r="P7" s="567">
        <v>333.32</v>
      </c>
      <c r="Q7" s="552">
        <v>2</v>
      </c>
      <c r="R7" s="568">
        <v>33.332000000000001</v>
      </c>
    </row>
    <row r="8" spans="1:18" ht="14.4" customHeight="1" x14ac:dyDescent="0.3">
      <c r="A8" s="546" t="s">
        <v>1046</v>
      </c>
      <c r="B8" s="547" t="s">
        <v>1047</v>
      </c>
      <c r="C8" s="547" t="s">
        <v>1037</v>
      </c>
      <c r="D8" s="547" t="s">
        <v>1048</v>
      </c>
      <c r="E8" s="547" t="s">
        <v>1053</v>
      </c>
      <c r="F8" s="547" t="s">
        <v>1054</v>
      </c>
      <c r="G8" s="567">
        <v>23</v>
      </c>
      <c r="H8" s="567">
        <v>828</v>
      </c>
      <c r="I8" s="547">
        <v>1.0171990171990173</v>
      </c>
      <c r="J8" s="547">
        <v>36</v>
      </c>
      <c r="K8" s="567">
        <v>22</v>
      </c>
      <c r="L8" s="567">
        <v>814</v>
      </c>
      <c r="M8" s="547">
        <v>1</v>
      </c>
      <c r="N8" s="547">
        <v>37</v>
      </c>
      <c r="O8" s="567">
        <v>25</v>
      </c>
      <c r="P8" s="567">
        <v>925</v>
      </c>
      <c r="Q8" s="552">
        <v>1.1363636363636365</v>
      </c>
      <c r="R8" s="568">
        <v>37</v>
      </c>
    </row>
    <row r="9" spans="1:18" ht="14.4" customHeight="1" x14ac:dyDescent="0.3">
      <c r="A9" s="546" t="s">
        <v>1046</v>
      </c>
      <c r="B9" s="547" t="s">
        <v>1047</v>
      </c>
      <c r="C9" s="547" t="s">
        <v>1037</v>
      </c>
      <c r="D9" s="547" t="s">
        <v>1048</v>
      </c>
      <c r="E9" s="547" t="s">
        <v>1055</v>
      </c>
      <c r="F9" s="547" t="s">
        <v>1056</v>
      </c>
      <c r="G9" s="567">
        <v>33</v>
      </c>
      <c r="H9" s="567">
        <v>1485</v>
      </c>
      <c r="I9" s="547">
        <v>0.91666666666666663</v>
      </c>
      <c r="J9" s="547">
        <v>45</v>
      </c>
      <c r="K9" s="567">
        <v>36</v>
      </c>
      <c r="L9" s="567">
        <v>1620</v>
      </c>
      <c r="M9" s="547">
        <v>1</v>
      </c>
      <c r="N9" s="547">
        <v>45</v>
      </c>
      <c r="O9" s="567">
        <v>49</v>
      </c>
      <c r="P9" s="567">
        <v>2205</v>
      </c>
      <c r="Q9" s="552">
        <v>1.3611111111111112</v>
      </c>
      <c r="R9" s="568">
        <v>45</v>
      </c>
    </row>
    <row r="10" spans="1:18" ht="14.4" customHeight="1" x14ac:dyDescent="0.3">
      <c r="A10" s="546" t="s">
        <v>1046</v>
      </c>
      <c r="B10" s="547" t="s">
        <v>1047</v>
      </c>
      <c r="C10" s="547" t="s">
        <v>1037</v>
      </c>
      <c r="D10" s="547" t="s">
        <v>1048</v>
      </c>
      <c r="E10" s="547" t="s">
        <v>1057</v>
      </c>
      <c r="F10" s="547" t="s">
        <v>1058</v>
      </c>
      <c r="G10" s="567">
        <v>15</v>
      </c>
      <c r="H10" s="567">
        <v>135120</v>
      </c>
      <c r="I10" s="547">
        <v>0.92924735915492962</v>
      </c>
      <c r="J10" s="547">
        <v>9008</v>
      </c>
      <c r="K10" s="567">
        <v>16</v>
      </c>
      <c r="L10" s="567">
        <v>145408</v>
      </c>
      <c r="M10" s="547">
        <v>1</v>
      </c>
      <c r="N10" s="547">
        <v>9088</v>
      </c>
      <c r="O10" s="567">
        <v>28</v>
      </c>
      <c r="P10" s="567">
        <v>254548</v>
      </c>
      <c r="Q10" s="552">
        <v>1.750577684859155</v>
      </c>
      <c r="R10" s="568">
        <v>9091</v>
      </c>
    </row>
    <row r="11" spans="1:18" ht="14.4" customHeight="1" x14ac:dyDescent="0.3">
      <c r="A11" s="546" t="s">
        <v>1046</v>
      </c>
      <c r="B11" s="547" t="s">
        <v>1047</v>
      </c>
      <c r="C11" s="547" t="s">
        <v>1037</v>
      </c>
      <c r="D11" s="547" t="s">
        <v>1048</v>
      </c>
      <c r="E11" s="547" t="s">
        <v>1059</v>
      </c>
      <c r="F11" s="547" t="s">
        <v>1060</v>
      </c>
      <c r="G11" s="567">
        <v>5</v>
      </c>
      <c r="H11" s="567">
        <v>825</v>
      </c>
      <c r="I11" s="547">
        <v>0.93220338983050843</v>
      </c>
      <c r="J11" s="547">
        <v>165</v>
      </c>
      <c r="K11" s="567">
        <v>5</v>
      </c>
      <c r="L11" s="567">
        <v>885</v>
      </c>
      <c r="M11" s="547">
        <v>1</v>
      </c>
      <c r="N11" s="547">
        <v>177</v>
      </c>
      <c r="O11" s="567">
        <v>10</v>
      </c>
      <c r="P11" s="567">
        <v>1770</v>
      </c>
      <c r="Q11" s="552">
        <v>2</v>
      </c>
      <c r="R11" s="568">
        <v>177</v>
      </c>
    </row>
    <row r="12" spans="1:18" ht="14.4" customHeight="1" x14ac:dyDescent="0.3">
      <c r="A12" s="546" t="s">
        <v>1061</v>
      </c>
      <c r="B12" s="547" t="s">
        <v>1062</v>
      </c>
      <c r="C12" s="547" t="s">
        <v>553</v>
      </c>
      <c r="D12" s="547" t="s">
        <v>1063</v>
      </c>
      <c r="E12" s="547" t="s">
        <v>1064</v>
      </c>
      <c r="F12" s="547" t="s">
        <v>1065</v>
      </c>
      <c r="G12" s="567">
        <v>100</v>
      </c>
      <c r="H12" s="567">
        <v>75400</v>
      </c>
      <c r="I12" s="547">
        <v>1.2195121951219512</v>
      </c>
      <c r="J12" s="547">
        <v>754</v>
      </c>
      <c r="K12" s="567">
        <v>82</v>
      </c>
      <c r="L12" s="567">
        <v>61828</v>
      </c>
      <c r="M12" s="547">
        <v>1</v>
      </c>
      <c r="N12" s="547">
        <v>754</v>
      </c>
      <c r="O12" s="567"/>
      <c r="P12" s="567"/>
      <c r="Q12" s="552"/>
      <c r="R12" s="568"/>
    </row>
    <row r="13" spans="1:18" ht="14.4" customHeight="1" x14ac:dyDescent="0.3">
      <c r="A13" s="546" t="s">
        <v>1061</v>
      </c>
      <c r="B13" s="547" t="s">
        <v>1062</v>
      </c>
      <c r="C13" s="547" t="s">
        <v>553</v>
      </c>
      <c r="D13" s="547" t="s">
        <v>1048</v>
      </c>
      <c r="E13" s="547" t="s">
        <v>1066</v>
      </c>
      <c r="F13" s="547" t="s">
        <v>1067</v>
      </c>
      <c r="G13" s="567">
        <v>369</v>
      </c>
      <c r="H13" s="567">
        <v>76014</v>
      </c>
      <c r="I13" s="547">
        <v>0.61372389126169691</v>
      </c>
      <c r="J13" s="547">
        <v>206</v>
      </c>
      <c r="K13" s="567">
        <v>587</v>
      </c>
      <c r="L13" s="567">
        <v>123857</v>
      </c>
      <c r="M13" s="547">
        <v>1</v>
      </c>
      <c r="N13" s="547">
        <v>211</v>
      </c>
      <c r="O13" s="567">
        <v>368</v>
      </c>
      <c r="P13" s="567">
        <v>77648</v>
      </c>
      <c r="Q13" s="552">
        <v>0.62691652470187398</v>
      </c>
      <c r="R13" s="568">
        <v>211</v>
      </c>
    </row>
    <row r="14" spans="1:18" ht="14.4" customHeight="1" x14ac:dyDescent="0.3">
      <c r="A14" s="546" t="s">
        <v>1061</v>
      </c>
      <c r="B14" s="547" t="s">
        <v>1062</v>
      </c>
      <c r="C14" s="547" t="s">
        <v>553</v>
      </c>
      <c r="D14" s="547" t="s">
        <v>1048</v>
      </c>
      <c r="E14" s="547" t="s">
        <v>1068</v>
      </c>
      <c r="F14" s="547" t="s">
        <v>1067</v>
      </c>
      <c r="G14" s="567">
        <v>47</v>
      </c>
      <c r="H14" s="567">
        <v>3995</v>
      </c>
      <c r="I14" s="547">
        <v>1.0436259143155695</v>
      </c>
      <c r="J14" s="547">
        <v>85</v>
      </c>
      <c r="K14" s="567">
        <v>44</v>
      </c>
      <c r="L14" s="567">
        <v>3828</v>
      </c>
      <c r="M14" s="547">
        <v>1</v>
      </c>
      <c r="N14" s="547">
        <v>87</v>
      </c>
      <c r="O14" s="567">
        <v>45</v>
      </c>
      <c r="P14" s="567">
        <v>3915</v>
      </c>
      <c r="Q14" s="552">
        <v>1.0227272727272727</v>
      </c>
      <c r="R14" s="568">
        <v>87</v>
      </c>
    </row>
    <row r="15" spans="1:18" ht="14.4" customHeight="1" x14ac:dyDescent="0.3">
      <c r="A15" s="546" t="s">
        <v>1061</v>
      </c>
      <c r="B15" s="547" t="s">
        <v>1062</v>
      </c>
      <c r="C15" s="547" t="s">
        <v>553</v>
      </c>
      <c r="D15" s="547" t="s">
        <v>1048</v>
      </c>
      <c r="E15" s="547" t="s">
        <v>1069</v>
      </c>
      <c r="F15" s="547" t="s">
        <v>1070</v>
      </c>
      <c r="G15" s="567">
        <v>2368</v>
      </c>
      <c r="H15" s="567">
        <v>698560</v>
      </c>
      <c r="I15" s="547">
        <v>0.93092552835647457</v>
      </c>
      <c r="J15" s="547">
        <v>295</v>
      </c>
      <c r="K15" s="567">
        <v>2493</v>
      </c>
      <c r="L15" s="567">
        <v>750393</v>
      </c>
      <c r="M15" s="547">
        <v>1</v>
      </c>
      <c r="N15" s="547">
        <v>301</v>
      </c>
      <c r="O15" s="567">
        <v>2249</v>
      </c>
      <c r="P15" s="567">
        <v>676949</v>
      </c>
      <c r="Q15" s="552">
        <v>0.90212595266746887</v>
      </c>
      <c r="R15" s="568">
        <v>301</v>
      </c>
    </row>
    <row r="16" spans="1:18" ht="14.4" customHeight="1" x14ac:dyDescent="0.3">
      <c r="A16" s="546" t="s">
        <v>1061</v>
      </c>
      <c r="B16" s="547" t="s">
        <v>1062</v>
      </c>
      <c r="C16" s="547" t="s">
        <v>553</v>
      </c>
      <c r="D16" s="547" t="s">
        <v>1048</v>
      </c>
      <c r="E16" s="547" t="s">
        <v>1071</v>
      </c>
      <c r="F16" s="547" t="s">
        <v>1072</v>
      </c>
      <c r="G16" s="567">
        <v>50</v>
      </c>
      <c r="H16" s="567">
        <v>4750</v>
      </c>
      <c r="I16" s="547">
        <v>0.90527920716599963</v>
      </c>
      <c r="J16" s="547">
        <v>95</v>
      </c>
      <c r="K16" s="567">
        <v>53</v>
      </c>
      <c r="L16" s="567">
        <v>5247</v>
      </c>
      <c r="M16" s="547">
        <v>1</v>
      </c>
      <c r="N16" s="547">
        <v>99</v>
      </c>
      <c r="O16" s="567">
        <v>90</v>
      </c>
      <c r="P16" s="567">
        <v>8910</v>
      </c>
      <c r="Q16" s="552">
        <v>1.6981132075471699</v>
      </c>
      <c r="R16" s="568">
        <v>99</v>
      </c>
    </row>
    <row r="17" spans="1:18" ht="14.4" customHeight="1" x14ac:dyDescent="0.3">
      <c r="A17" s="546" t="s">
        <v>1061</v>
      </c>
      <c r="B17" s="547" t="s">
        <v>1062</v>
      </c>
      <c r="C17" s="547" t="s">
        <v>553</v>
      </c>
      <c r="D17" s="547" t="s">
        <v>1048</v>
      </c>
      <c r="E17" s="547" t="s">
        <v>1073</v>
      </c>
      <c r="F17" s="547" t="s">
        <v>1074</v>
      </c>
      <c r="G17" s="567">
        <v>3</v>
      </c>
      <c r="H17" s="567">
        <v>672</v>
      </c>
      <c r="I17" s="547">
        <v>1.4545454545454546</v>
      </c>
      <c r="J17" s="547">
        <v>224</v>
      </c>
      <c r="K17" s="567">
        <v>2</v>
      </c>
      <c r="L17" s="567">
        <v>462</v>
      </c>
      <c r="M17" s="547">
        <v>1</v>
      </c>
      <c r="N17" s="547">
        <v>231</v>
      </c>
      <c r="O17" s="567">
        <v>6</v>
      </c>
      <c r="P17" s="567">
        <v>1392</v>
      </c>
      <c r="Q17" s="552">
        <v>3.0129870129870131</v>
      </c>
      <c r="R17" s="568">
        <v>232</v>
      </c>
    </row>
    <row r="18" spans="1:18" ht="14.4" customHeight="1" x14ac:dyDescent="0.3">
      <c r="A18" s="546" t="s">
        <v>1061</v>
      </c>
      <c r="B18" s="547" t="s">
        <v>1062</v>
      </c>
      <c r="C18" s="547" t="s">
        <v>553</v>
      </c>
      <c r="D18" s="547" t="s">
        <v>1048</v>
      </c>
      <c r="E18" s="547" t="s">
        <v>1075</v>
      </c>
      <c r="F18" s="547" t="s">
        <v>1076</v>
      </c>
      <c r="G18" s="567">
        <v>487</v>
      </c>
      <c r="H18" s="567">
        <v>65745</v>
      </c>
      <c r="I18" s="547">
        <v>0.91582158578035322</v>
      </c>
      <c r="J18" s="547">
        <v>135</v>
      </c>
      <c r="K18" s="567">
        <v>524</v>
      </c>
      <c r="L18" s="567">
        <v>71788</v>
      </c>
      <c r="M18" s="547">
        <v>1</v>
      </c>
      <c r="N18" s="547">
        <v>137</v>
      </c>
      <c r="O18" s="567">
        <v>428</v>
      </c>
      <c r="P18" s="567">
        <v>58636</v>
      </c>
      <c r="Q18" s="552">
        <v>0.81679389312977102</v>
      </c>
      <c r="R18" s="568">
        <v>137</v>
      </c>
    </row>
    <row r="19" spans="1:18" ht="14.4" customHeight="1" x14ac:dyDescent="0.3">
      <c r="A19" s="546" t="s">
        <v>1061</v>
      </c>
      <c r="B19" s="547" t="s">
        <v>1062</v>
      </c>
      <c r="C19" s="547" t="s">
        <v>553</v>
      </c>
      <c r="D19" s="547" t="s">
        <v>1048</v>
      </c>
      <c r="E19" s="547" t="s">
        <v>1077</v>
      </c>
      <c r="F19" s="547" t="s">
        <v>1076</v>
      </c>
      <c r="G19" s="567">
        <v>34</v>
      </c>
      <c r="H19" s="567">
        <v>6052</v>
      </c>
      <c r="I19" s="547">
        <v>0.80661068905771027</v>
      </c>
      <c r="J19" s="547">
        <v>178</v>
      </c>
      <c r="K19" s="567">
        <v>41</v>
      </c>
      <c r="L19" s="567">
        <v>7503</v>
      </c>
      <c r="M19" s="547">
        <v>1</v>
      </c>
      <c r="N19" s="547">
        <v>183</v>
      </c>
      <c r="O19" s="567">
        <v>44</v>
      </c>
      <c r="P19" s="567">
        <v>8052</v>
      </c>
      <c r="Q19" s="552">
        <v>1.0731707317073171</v>
      </c>
      <c r="R19" s="568">
        <v>183</v>
      </c>
    </row>
    <row r="20" spans="1:18" ht="14.4" customHeight="1" x14ac:dyDescent="0.3">
      <c r="A20" s="546" t="s">
        <v>1061</v>
      </c>
      <c r="B20" s="547" t="s">
        <v>1062</v>
      </c>
      <c r="C20" s="547" t="s">
        <v>553</v>
      </c>
      <c r="D20" s="547" t="s">
        <v>1048</v>
      </c>
      <c r="E20" s="547" t="s">
        <v>1078</v>
      </c>
      <c r="F20" s="547" t="s">
        <v>1079</v>
      </c>
      <c r="G20" s="567">
        <v>10</v>
      </c>
      <c r="H20" s="567">
        <v>6200</v>
      </c>
      <c r="I20" s="547">
        <v>0.5106663372045136</v>
      </c>
      <c r="J20" s="547">
        <v>620</v>
      </c>
      <c r="K20" s="567">
        <v>19</v>
      </c>
      <c r="L20" s="567">
        <v>12141</v>
      </c>
      <c r="M20" s="547">
        <v>1</v>
      </c>
      <c r="N20" s="547">
        <v>639</v>
      </c>
      <c r="O20" s="567">
        <v>17</v>
      </c>
      <c r="P20" s="567">
        <v>10863</v>
      </c>
      <c r="Q20" s="552">
        <v>0.89473684210526316</v>
      </c>
      <c r="R20" s="568">
        <v>639</v>
      </c>
    </row>
    <row r="21" spans="1:18" ht="14.4" customHeight="1" x14ac:dyDescent="0.3">
      <c r="A21" s="546" t="s">
        <v>1061</v>
      </c>
      <c r="B21" s="547" t="s">
        <v>1062</v>
      </c>
      <c r="C21" s="547" t="s">
        <v>553</v>
      </c>
      <c r="D21" s="547" t="s">
        <v>1048</v>
      </c>
      <c r="E21" s="547" t="s">
        <v>1080</v>
      </c>
      <c r="F21" s="547" t="s">
        <v>1081</v>
      </c>
      <c r="G21" s="567">
        <v>15</v>
      </c>
      <c r="H21" s="567">
        <v>8895</v>
      </c>
      <c r="I21" s="547">
        <v>0.60958059210526316</v>
      </c>
      <c r="J21" s="547">
        <v>593</v>
      </c>
      <c r="K21" s="567">
        <v>24</v>
      </c>
      <c r="L21" s="567">
        <v>14592</v>
      </c>
      <c r="M21" s="547">
        <v>1</v>
      </c>
      <c r="N21" s="547">
        <v>608</v>
      </c>
      <c r="O21" s="567">
        <v>22</v>
      </c>
      <c r="P21" s="567">
        <v>13376</v>
      </c>
      <c r="Q21" s="552">
        <v>0.91666666666666663</v>
      </c>
      <c r="R21" s="568">
        <v>608</v>
      </c>
    </row>
    <row r="22" spans="1:18" ht="14.4" customHeight="1" x14ac:dyDescent="0.3">
      <c r="A22" s="546" t="s">
        <v>1061</v>
      </c>
      <c r="B22" s="547" t="s">
        <v>1062</v>
      </c>
      <c r="C22" s="547" t="s">
        <v>553</v>
      </c>
      <c r="D22" s="547" t="s">
        <v>1048</v>
      </c>
      <c r="E22" s="547" t="s">
        <v>1082</v>
      </c>
      <c r="F22" s="547" t="s">
        <v>1083</v>
      </c>
      <c r="G22" s="567">
        <v>195</v>
      </c>
      <c r="H22" s="567">
        <v>31395</v>
      </c>
      <c r="I22" s="547">
        <v>0.77222973803960149</v>
      </c>
      <c r="J22" s="547">
        <v>161</v>
      </c>
      <c r="K22" s="567">
        <v>235</v>
      </c>
      <c r="L22" s="567">
        <v>40655</v>
      </c>
      <c r="M22" s="547">
        <v>1</v>
      </c>
      <c r="N22" s="547">
        <v>173</v>
      </c>
      <c r="O22" s="567">
        <v>214</v>
      </c>
      <c r="P22" s="567">
        <v>37022</v>
      </c>
      <c r="Q22" s="552">
        <v>0.91063829787234041</v>
      </c>
      <c r="R22" s="568">
        <v>173</v>
      </c>
    </row>
    <row r="23" spans="1:18" ht="14.4" customHeight="1" x14ac:dyDescent="0.3">
      <c r="A23" s="546" t="s">
        <v>1061</v>
      </c>
      <c r="B23" s="547" t="s">
        <v>1062</v>
      </c>
      <c r="C23" s="547" t="s">
        <v>553</v>
      </c>
      <c r="D23" s="547" t="s">
        <v>1048</v>
      </c>
      <c r="E23" s="547" t="s">
        <v>1084</v>
      </c>
      <c r="F23" s="547" t="s">
        <v>1085</v>
      </c>
      <c r="G23" s="567">
        <v>489</v>
      </c>
      <c r="H23" s="567">
        <v>187287</v>
      </c>
      <c r="I23" s="547">
        <v>1.0511348329741379</v>
      </c>
      <c r="J23" s="547">
        <v>383</v>
      </c>
      <c r="K23" s="567">
        <v>464</v>
      </c>
      <c r="L23" s="567">
        <v>178176</v>
      </c>
      <c r="M23" s="547">
        <v>1</v>
      </c>
      <c r="N23" s="547">
        <v>384</v>
      </c>
      <c r="O23" s="567">
        <v>291</v>
      </c>
      <c r="P23" s="567">
        <v>100977</v>
      </c>
      <c r="Q23" s="552">
        <v>0.56672615840517238</v>
      </c>
      <c r="R23" s="568">
        <v>347</v>
      </c>
    </row>
    <row r="24" spans="1:18" ht="14.4" customHeight="1" x14ac:dyDescent="0.3">
      <c r="A24" s="546" t="s">
        <v>1061</v>
      </c>
      <c r="B24" s="547" t="s">
        <v>1062</v>
      </c>
      <c r="C24" s="547" t="s">
        <v>553</v>
      </c>
      <c r="D24" s="547" t="s">
        <v>1048</v>
      </c>
      <c r="E24" s="547" t="s">
        <v>1086</v>
      </c>
      <c r="F24" s="547" t="s">
        <v>1087</v>
      </c>
      <c r="G24" s="567">
        <v>1476</v>
      </c>
      <c r="H24" s="567">
        <v>23616</v>
      </c>
      <c r="I24" s="547">
        <v>0.95410471881060122</v>
      </c>
      <c r="J24" s="547">
        <v>16</v>
      </c>
      <c r="K24" s="567">
        <v>1456</v>
      </c>
      <c r="L24" s="567">
        <v>24752</v>
      </c>
      <c r="M24" s="547">
        <v>1</v>
      </c>
      <c r="N24" s="547">
        <v>17</v>
      </c>
      <c r="O24" s="567">
        <v>673</v>
      </c>
      <c r="P24" s="567">
        <v>11441</v>
      </c>
      <c r="Q24" s="552">
        <v>0.46222527472527475</v>
      </c>
      <c r="R24" s="568">
        <v>17</v>
      </c>
    </row>
    <row r="25" spans="1:18" ht="14.4" customHeight="1" x14ac:dyDescent="0.3">
      <c r="A25" s="546" t="s">
        <v>1061</v>
      </c>
      <c r="B25" s="547" t="s">
        <v>1062</v>
      </c>
      <c r="C25" s="547" t="s">
        <v>553</v>
      </c>
      <c r="D25" s="547" t="s">
        <v>1048</v>
      </c>
      <c r="E25" s="547" t="s">
        <v>1088</v>
      </c>
      <c r="F25" s="547" t="s">
        <v>1089</v>
      </c>
      <c r="G25" s="567">
        <v>207</v>
      </c>
      <c r="H25" s="567">
        <v>55062</v>
      </c>
      <c r="I25" s="547">
        <v>0.72813107470147176</v>
      </c>
      <c r="J25" s="547">
        <v>266</v>
      </c>
      <c r="K25" s="567">
        <v>277</v>
      </c>
      <c r="L25" s="567">
        <v>75621</v>
      </c>
      <c r="M25" s="547">
        <v>1</v>
      </c>
      <c r="N25" s="547">
        <v>273</v>
      </c>
      <c r="O25" s="567">
        <v>2</v>
      </c>
      <c r="P25" s="567">
        <v>548</v>
      </c>
      <c r="Q25" s="552">
        <v>7.2466642863754779E-3</v>
      </c>
      <c r="R25" s="568">
        <v>274</v>
      </c>
    </row>
    <row r="26" spans="1:18" ht="14.4" customHeight="1" x14ac:dyDescent="0.3">
      <c r="A26" s="546" t="s">
        <v>1061</v>
      </c>
      <c r="B26" s="547" t="s">
        <v>1062</v>
      </c>
      <c r="C26" s="547" t="s">
        <v>553</v>
      </c>
      <c r="D26" s="547" t="s">
        <v>1048</v>
      </c>
      <c r="E26" s="547" t="s">
        <v>1090</v>
      </c>
      <c r="F26" s="547" t="s">
        <v>1091</v>
      </c>
      <c r="G26" s="567">
        <v>208</v>
      </c>
      <c r="H26" s="567">
        <v>29328</v>
      </c>
      <c r="I26" s="547">
        <v>0.71713615023474175</v>
      </c>
      <c r="J26" s="547">
        <v>141</v>
      </c>
      <c r="K26" s="567">
        <v>288</v>
      </c>
      <c r="L26" s="567">
        <v>40896</v>
      </c>
      <c r="M26" s="547">
        <v>1</v>
      </c>
      <c r="N26" s="547">
        <v>142</v>
      </c>
      <c r="O26" s="567">
        <v>218</v>
      </c>
      <c r="P26" s="567">
        <v>30956</v>
      </c>
      <c r="Q26" s="552">
        <v>0.75694444444444442</v>
      </c>
      <c r="R26" s="568">
        <v>142</v>
      </c>
    </row>
    <row r="27" spans="1:18" ht="14.4" customHeight="1" x14ac:dyDescent="0.3">
      <c r="A27" s="546" t="s">
        <v>1061</v>
      </c>
      <c r="B27" s="547" t="s">
        <v>1062</v>
      </c>
      <c r="C27" s="547" t="s">
        <v>553</v>
      </c>
      <c r="D27" s="547" t="s">
        <v>1048</v>
      </c>
      <c r="E27" s="547" t="s">
        <v>1092</v>
      </c>
      <c r="F27" s="547" t="s">
        <v>1091</v>
      </c>
      <c r="G27" s="567">
        <v>487</v>
      </c>
      <c r="H27" s="567">
        <v>37986</v>
      </c>
      <c r="I27" s="547">
        <v>0.93474088291746638</v>
      </c>
      <c r="J27" s="547">
        <v>78</v>
      </c>
      <c r="K27" s="567">
        <v>521</v>
      </c>
      <c r="L27" s="567">
        <v>40638</v>
      </c>
      <c r="M27" s="547">
        <v>1</v>
      </c>
      <c r="N27" s="547">
        <v>78</v>
      </c>
      <c r="O27" s="567">
        <v>427</v>
      </c>
      <c r="P27" s="567">
        <v>33306</v>
      </c>
      <c r="Q27" s="552">
        <v>0.81957773512476007</v>
      </c>
      <c r="R27" s="568">
        <v>78</v>
      </c>
    </row>
    <row r="28" spans="1:18" ht="14.4" customHeight="1" x14ac:dyDescent="0.3">
      <c r="A28" s="546" t="s">
        <v>1061</v>
      </c>
      <c r="B28" s="547" t="s">
        <v>1062</v>
      </c>
      <c r="C28" s="547" t="s">
        <v>553</v>
      </c>
      <c r="D28" s="547" t="s">
        <v>1048</v>
      </c>
      <c r="E28" s="547" t="s">
        <v>1093</v>
      </c>
      <c r="F28" s="547" t="s">
        <v>1094</v>
      </c>
      <c r="G28" s="567">
        <v>209</v>
      </c>
      <c r="H28" s="567">
        <v>64163</v>
      </c>
      <c r="I28" s="547">
        <v>0.71178336883209092</v>
      </c>
      <c r="J28" s="547">
        <v>307</v>
      </c>
      <c r="K28" s="567">
        <v>288</v>
      </c>
      <c r="L28" s="567">
        <v>90144</v>
      </c>
      <c r="M28" s="547">
        <v>1</v>
      </c>
      <c r="N28" s="547">
        <v>313</v>
      </c>
      <c r="O28" s="567">
        <v>214</v>
      </c>
      <c r="P28" s="567">
        <v>67196</v>
      </c>
      <c r="Q28" s="552">
        <v>0.74542953496627617</v>
      </c>
      <c r="R28" s="568">
        <v>314</v>
      </c>
    </row>
    <row r="29" spans="1:18" ht="14.4" customHeight="1" x14ac:dyDescent="0.3">
      <c r="A29" s="546" t="s">
        <v>1061</v>
      </c>
      <c r="B29" s="547" t="s">
        <v>1062</v>
      </c>
      <c r="C29" s="547" t="s">
        <v>553</v>
      </c>
      <c r="D29" s="547" t="s">
        <v>1048</v>
      </c>
      <c r="E29" s="547" t="s">
        <v>1095</v>
      </c>
      <c r="F29" s="547" t="s">
        <v>1096</v>
      </c>
      <c r="G29" s="567">
        <v>614</v>
      </c>
      <c r="H29" s="567">
        <v>299018</v>
      </c>
      <c r="I29" s="547">
        <v>1.1201861120268528</v>
      </c>
      <c r="J29" s="547">
        <v>487</v>
      </c>
      <c r="K29" s="567">
        <v>547</v>
      </c>
      <c r="L29" s="567">
        <v>266936</v>
      </c>
      <c r="M29" s="547">
        <v>1</v>
      </c>
      <c r="N29" s="547">
        <v>488</v>
      </c>
      <c r="O29" s="567">
        <v>368</v>
      </c>
      <c r="P29" s="567">
        <v>120704</v>
      </c>
      <c r="Q29" s="552">
        <v>0.45218329487217912</v>
      </c>
      <c r="R29" s="568">
        <v>328</v>
      </c>
    </row>
    <row r="30" spans="1:18" ht="14.4" customHeight="1" x14ac:dyDescent="0.3">
      <c r="A30" s="546" t="s">
        <v>1061</v>
      </c>
      <c r="B30" s="547" t="s">
        <v>1062</v>
      </c>
      <c r="C30" s="547" t="s">
        <v>553</v>
      </c>
      <c r="D30" s="547" t="s">
        <v>1048</v>
      </c>
      <c r="E30" s="547" t="s">
        <v>1097</v>
      </c>
      <c r="F30" s="547" t="s">
        <v>1098</v>
      </c>
      <c r="G30" s="567">
        <v>467</v>
      </c>
      <c r="H30" s="567">
        <v>75187</v>
      </c>
      <c r="I30" s="547">
        <v>1.0071396040399712</v>
      </c>
      <c r="J30" s="547">
        <v>161</v>
      </c>
      <c r="K30" s="567">
        <v>458</v>
      </c>
      <c r="L30" s="567">
        <v>74654</v>
      </c>
      <c r="M30" s="547">
        <v>1</v>
      </c>
      <c r="N30" s="547">
        <v>163</v>
      </c>
      <c r="O30" s="567">
        <v>625</v>
      </c>
      <c r="P30" s="567">
        <v>101875</v>
      </c>
      <c r="Q30" s="552">
        <v>1.3646288209606987</v>
      </c>
      <c r="R30" s="568">
        <v>163</v>
      </c>
    </row>
    <row r="31" spans="1:18" ht="14.4" customHeight="1" x14ac:dyDescent="0.3">
      <c r="A31" s="546" t="s">
        <v>1061</v>
      </c>
      <c r="B31" s="547" t="s">
        <v>1062</v>
      </c>
      <c r="C31" s="547" t="s">
        <v>553</v>
      </c>
      <c r="D31" s="547" t="s">
        <v>1048</v>
      </c>
      <c r="E31" s="547" t="s">
        <v>1099</v>
      </c>
      <c r="F31" s="547" t="s">
        <v>1100</v>
      </c>
      <c r="G31" s="567">
        <v>585</v>
      </c>
      <c r="H31" s="567">
        <v>137475</v>
      </c>
      <c r="I31" s="547">
        <v>1.086793258284847</v>
      </c>
      <c r="J31" s="547">
        <v>235</v>
      </c>
      <c r="K31" s="567">
        <v>536</v>
      </c>
      <c r="L31" s="567">
        <v>126496</v>
      </c>
      <c r="M31" s="547">
        <v>1</v>
      </c>
      <c r="N31" s="547">
        <v>236</v>
      </c>
      <c r="O31" s="567">
        <v>349</v>
      </c>
      <c r="P31" s="567">
        <v>78525</v>
      </c>
      <c r="Q31" s="552">
        <v>0.62077061725271943</v>
      </c>
      <c r="R31" s="568">
        <v>225</v>
      </c>
    </row>
    <row r="32" spans="1:18" ht="14.4" customHeight="1" x14ac:dyDescent="0.3">
      <c r="A32" s="546" t="s">
        <v>1061</v>
      </c>
      <c r="B32" s="547" t="s">
        <v>1062</v>
      </c>
      <c r="C32" s="547" t="s">
        <v>553</v>
      </c>
      <c r="D32" s="547" t="s">
        <v>1048</v>
      </c>
      <c r="E32" s="547" t="s">
        <v>1101</v>
      </c>
      <c r="F32" s="547" t="s">
        <v>1067</v>
      </c>
      <c r="G32" s="567">
        <v>340</v>
      </c>
      <c r="H32" s="567">
        <v>24140</v>
      </c>
      <c r="I32" s="547">
        <v>0.55326365969930325</v>
      </c>
      <c r="J32" s="547">
        <v>71</v>
      </c>
      <c r="K32" s="567">
        <v>606</v>
      </c>
      <c r="L32" s="567">
        <v>43632</v>
      </c>
      <c r="M32" s="547">
        <v>1</v>
      </c>
      <c r="N32" s="547">
        <v>72</v>
      </c>
      <c r="O32" s="567">
        <v>506</v>
      </c>
      <c r="P32" s="567">
        <v>36432</v>
      </c>
      <c r="Q32" s="552">
        <v>0.83498349834983498</v>
      </c>
      <c r="R32" s="568">
        <v>72</v>
      </c>
    </row>
    <row r="33" spans="1:18" ht="14.4" customHeight="1" x14ac:dyDescent="0.3">
      <c r="A33" s="546" t="s">
        <v>1061</v>
      </c>
      <c r="B33" s="547" t="s">
        <v>1062</v>
      </c>
      <c r="C33" s="547" t="s">
        <v>553</v>
      </c>
      <c r="D33" s="547" t="s">
        <v>1048</v>
      </c>
      <c r="E33" s="547" t="s">
        <v>1102</v>
      </c>
      <c r="F33" s="547" t="s">
        <v>1103</v>
      </c>
      <c r="G33" s="567">
        <v>192</v>
      </c>
      <c r="H33" s="567">
        <v>14016</v>
      </c>
      <c r="I33" s="547">
        <v>1.5783783783783785</v>
      </c>
      <c r="J33" s="547">
        <v>73</v>
      </c>
      <c r="K33" s="567">
        <v>120</v>
      </c>
      <c r="L33" s="567">
        <v>8880</v>
      </c>
      <c r="M33" s="547">
        <v>1</v>
      </c>
      <c r="N33" s="547">
        <v>74</v>
      </c>
      <c r="O33" s="567">
        <v>92</v>
      </c>
      <c r="P33" s="567">
        <v>4784</v>
      </c>
      <c r="Q33" s="552">
        <v>0.53873873873873879</v>
      </c>
      <c r="R33" s="568">
        <v>52</v>
      </c>
    </row>
    <row r="34" spans="1:18" ht="14.4" customHeight="1" x14ac:dyDescent="0.3">
      <c r="A34" s="546" t="s">
        <v>1061</v>
      </c>
      <c r="B34" s="547" t="s">
        <v>1062</v>
      </c>
      <c r="C34" s="547" t="s">
        <v>553</v>
      </c>
      <c r="D34" s="547" t="s">
        <v>1048</v>
      </c>
      <c r="E34" s="547" t="s">
        <v>1104</v>
      </c>
      <c r="F34" s="547" t="s">
        <v>1105</v>
      </c>
      <c r="G34" s="567">
        <v>835</v>
      </c>
      <c r="H34" s="567">
        <v>237140</v>
      </c>
      <c r="I34" s="547">
        <v>1.0159587001692265</v>
      </c>
      <c r="J34" s="547">
        <v>284</v>
      </c>
      <c r="K34" s="567">
        <v>819</v>
      </c>
      <c r="L34" s="567">
        <v>233415</v>
      </c>
      <c r="M34" s="547">
        <v>1</v>
      </c>
      <c r="N34" s="547">
        <v>285</v>
      </c>
      <c r="O34" s="567">
        <v>601</v>
      </c>
      <c r="P34" s="567">
        <v>288480</v>
      </c>
      <c r="Q34" s="552">
        <v>1.2359102885418676</v>
      </c>
      <c r="R34" s="568">
        <v>480</v>
      </c>
    </row>
    <row r="35" spans="1:18" ht="14.4" customHeight="1" x14ac:dyDescent="0.3">
      <c r="A35" s="546" t="s">
        <v>1061</v>
      </c>
      <c r="B35" s="547" t="s">
        <v>1062</v>
      </c>
      <c r="C35" s="547" t="s">
        <v>553</v>
      </c>
      <c r="D35" s="547" t="s">
        <v>1048</v>
      </c>
      <c r="E35" s="547" t="s">
        <v>1106</v>
      </c>
      <c r="F35" s="547" t="s">
        <v>1107</v>
      </c>
      <c r="G35" s="567">
        <v>40</v>
      </c>
      <c r="H35" s="567">
        <v>8800</v>
      </c>
      <c r="I35" s="547">
        <v>0.835390165179419</v>
      </c>
      <c r="J35" s="547">
        <v>220</v>
      </c>
      <c r="K35" s="567">
        <v>46</v>
      </c>
      <c r="L35" s="567">
        <v>10534</v>
      </c>
      <c r="M35" s="547">
        <v>1</v>
      </c>
      <c r="N35" s="547">
        <v>229</v>
      </c>
      <c r="O35" s="567">
        <v>3</v>
      </c>
      <c r="P35" s="567">
        <v>690</v>
      </c>
      <c r="Q35" s="552">
        <v>6.5502183406113537E-2</v>
      </c>
      <c r="R35" s="568">
        <v>230</v>
      </c>
    </row>
    <row r="36" spans="1:18" ht="14.4" customHeight="1" x14ac:dyDescent="0.3">
      <c r="A36" s="546" t="s">
        <v>1061</v>
      </c>
      <c r="B36" s="547" t="s">
        <v>1062</v>
      </c>
      <c r="C36" s="547" t="s">
        <v>553</v>
      </c>
      <c r="D36" s="547" t="s">
        <v>1048</v>
      </c>
      <c r="E36" s="547" t="s">
        <v>1108</v>
      </c>
      <c r="F36" s="547" t="s">
        <v>1109</v>
      </c>
      <c r="G36" s="567">
        <v>140</v>
      </c>
      <c r="H36" s="567">
        <v>167300</v>
      </c>
      <c r="I36" s="547">
        <v>0.69075144508670516</v>
      </c>
      <c r="J36" s="547">
        <v>1195</v>
      </c>
      <c r="K36" s="567">
        <v>200</v>
      </c>
      <c r="L36" s="567">
        <v>242200</v>
      </c>
      <c r="M36" s="547">
        <v>1</v>
      </c>
      <c r="N36" s="547">
        <v>1211</v>
      </c>
      <c r="O36" s="567">
        <v>216</v>
      </c>
      <c r="P36" s="567">
        <v>261576</v>
      </c>
      <c r="Q36" s="552">
        <v>1.08</v>
      </c>
      <c r="R36" s="568">
        <v>1211</v>
      </c>
    </row>
    <row r="37" spans="1:18" ht="14.4" customHeight="1" x14ac:dyDescent="0.3">
      <c r="A37" s="546" t="s">
        <v>1061</v>
      </c>
      <c r="B37" s="547" t="s">
        <v>1062</v>
      </c>
      <c r="C37" s="547" t="s">
        <v>553</v>
      </c>
      <c r="D37" s="547" t="s">
        <v>1048</v>
      </c>
      <c r="E37" s="547" t="s">
        <v>1110</v>
      </c>
      <c r="F37" s="547" t="s">
        <v>1111</v>
      </c>
      <c r="G37" s="567">
        <v>133</v>
      </c>
      <c r="H37" s="567">
        <v>14630</v>
      </c>
      <c r="I37" s="547">
        <v>0.63531353135313529</v>
      </c>
      <c r="J37" s="547">
        <v>110</v>
      </c>
      <c r="K37" s="567">
        <v>202</v>
      </c>
      <c r="L37" s="567">
        <v>23028</v>
      </c>
      <c r="M37" s="547">
        <v>1</v>
      </c>
      <c r="N37" s="547">
        <v>114</v>
      </c>
      <c r="O37" s="567">
        <v>180</v>
      </c>
      <c r="P37" s="567">
        <v>20520</v>
      </c>
      <c r="Q37" s="552">
        <v>0.8910891089108911</v>
      </c>
      <c r="R37" s="568">
        <v>114</v>
      </c>
    </row>
    <row r="38" spans="1:18" ht="14.4" customHeight="1" x14ac:dyDescent="0.3">
      <c r="A38" s="546" t="s">
        <v>1061</v>
      </c>
      <c r="B38" s="547" t="s">
        <v>1062</v>
      </c>
      <c r="C38" s="547" t="s">
        <v>553</v>
      </c>
      <c r="D38" s="547" t="s">
        <v>1048</v>
      </c>
      <c r="E38" s="547" t="s">
        <v>1112</v>
      </c>
      <c r="F38" s="547" t="s">
        <v>1113</v>
      </c>
      <c r="G38" s="567">
        <v>6</v>
      </c>
      <c r="H38" s="567">
        <v>1938</v>
      </c>
      <c r="I38" s="547">
        <v>0.80016515276630884</v>
      </c>
      <c r="J38" s="547">
        <v>323</v>
      </c>
      <c r="K38" s="567">
        <v>7</v>
      </c>
      <c r="L38" s="567">
        <v>2422</v>
      </c>
      <c r="M38" s="547">
        <v>1</v>
      </c>
      <c r="N38" s="547">
        <v>346</v>
      </c>
      <c r="O38" s="567">
        <v>2</v>
      </c>
      <c r="P38" s="567">
        <v>694</v>
      </c>
      <c r="Q38" s="552">
        <v>0.2865400495458299</v>
      </c>
      <c r="R38" s="568">
        <v>347</v>
      </c>
    </row>
    <row r="39" spans="1:18" ht="14.4" customHeight="1" x14ac:dyDescent="0.3">
      <c r="A39" s="546" t="s">
        <v>1061</v>
      </c>
      <c r="B39" s="547" t="s">
        <v>1062</v>
      </c>
      <c r="C39" s="547" t="s">
        <v>553</v>
      </c>
      <c r="D39" s="547" t="s">
        <v>1048</v>
      </c>
      <c r="E39" s="547" t="s">
        <v>1114</v>
      </c>
      <c r="F39" s="547" t="s">
        <v>1115</v>
      </c>
      <c r="G39" s="567">
        <v>100</v>
      </c>
      <c r="H39" s="567">
        <v>5700</v>
      </c>
      <c r="I39" s="547">
        <v>1.1781727986771393</v>
      </c>
      <c r="J39" s="547">
        <v>57</v>
      </c>
      <c r="K39" s="567">
        <v>82</v>
      </c>
      <c r="L39" s="567">
        <v>4838</v>
      </c>
      <c r="M39" s="547">
        <v>1</v>
      </c>
      <c r="N39" s="547">
        <v>59</v>
      </c>
      <c r="O39" s="567"/>
      <c r="P39" s="567"/>
      <c r="Q39" s="552"/>
      <c r="R39" s="568"/>
    </row>
    <row r="40" spans="1:18" ht="14.4" customHeight="1" x14ac:dyDescent="0.3">
      <c r="A40" s="546" t="s">
        <v>1061</v>
      </c>
      <c r="B40" s="547" t="s">
        <v>1062</v>
      </c>
      <c r="C40" s="547" t="s">
        <v>553</v>
      </c>
      <c r="D40" s="547" t="s">
        <v>1048</v>
      </c>
      <c r="E40" s="547" t="s">
        <v>1116</v>
      </c>
      <c r="F40" s="547" t="s">
        <v>1117</v>
      </c>
      <c r="G40" s="567">
        <v>1</v>
      </c>
      <c r="H40" s="567">
        <v>146</v>
      </c>
      <c r="I40" s="547">
        <v>0.97333333333333338</v>
      </c>
      <c r="J40" s="547">
        <v>146</v>
      </c>
      <c r="K40" s="567">
        <v>1</v>
      </c>
      <c r="L40" s="567">
        <v>150</v>
      </c>
      <c r="M40" s="547">
        <v>1</v>
      </c>
      <c r="N40" s="547">
        <v>150</v>
      </c>
      <c r="O40" s="567">
        <v>2</v>
      </c>
      <c r="P40" s="567">
        <v>300</v>
      </c>
      <c r="Q40" s="552">
        <v>2</v>
      </c>
      <c r="R40" s="568">
        <v>150</v>
      </c>
    </row>
    <row r="41" spans="1:18" ht="14.4" customHeight="1" x14ac:dyDescent="0.3">
      <c r="A41" s="546" t="s">
        <v>1061</v>
      </c>
      <c r="B41" s="547" t="s">
        <v>1062</v>
      </c>
      <c r="C41" s="547" t="s">
        <v>553</v>
      </c>
      <c r="D41" s="547" t="s">
        <v>1048</v>
      </c>
      <c r="E41" s="547" t="s">
        <v>1118</v>
      </c>
      <c r="F41" s="547" t="s">
        <v>1119</v>
      </c>
      <c r="G41" s="567">
        <v>7</v>
      </c>
      <c r="H41" s="567">
        <v>7231</v>
      </c>
      <c r="I41" s="547">
        <v>0.52277327935222673</v>
      </c>
      <c r="J41" s="547">
        <v>1033</v>
      </c>
      <c r="K41" s="567">
        <v>13</v>
      </c>
      <c r="L41" s="567">
        <v>13832</v>
      </c>
      <c r="M41" s="547">
        <v>1</v>
      </c>
      <c r="N41" s="547">
        <v>1064</v>
      </c>
      <c r="O41" s="567">
        <v>11</v>
      </c>
      <c r="P41" s="567">
        <v>11715</v>
      </c>
      <c r="Q41" s="552">
        <v>0.84694910352805086</v>
      </c>
      <c r="R41" s="568">
        <v>1065</v>
      </c>
    </row>
    <row r="42" spans="1:18" ht="14.4" customHeight="1" x14ac:dyDescent="0.3">
      <c r="A42" s="546" t="s">
        <v>1061</v>
      </c>
      <c r="B42" s="547" t="s">
        <v>1062</v>
      </c>
      <c r="C42" s="547" t="s">
        <v>553</v>
      </c>
      <c r="D42" s="547" t="s">
        <v>1048</v>
      </c>
      <c r="E42" s="547" t="s">
        <v>1120</v>
      </c>
      <c r="F42" s="547" t="s">
        <v>1121</v>
      </c>
      <c r="G42" s="567">
        <v>4</v>
      </c>
      <c r="H42" s="567">
        <v>1176</v>
      </c>
      <c r="I42" s="547">
        <v>0.97674418604651159</v>
      </c>
      <c r="J42" s="547">
        <v>294</v>
      </c>
      <c r="K42" s="567">
        <v>4</v>
      </c>
      <c r="L42" s="567">
        <v>1204</v>
      </c>
      <c r="M42" s="547">
        <v>1</v>
      </c>
      <c r="N42" s="547">
        <v>301</v>
      </c>
      <c r="O42" s="567">
        <v>10</v>
      </c>
      <c r="P42" s="567">
        <v>3020</v>
      </c>
      <c r="Q42" s="552">
        <v>2.5083056478405314</v>
      </c>
      <c r="R42" s="568">
        <v>302</v>
      </c>
    </row>
    <row r="43" spans="1:18" ht="14.4" customHeight="1" x14ac:dyDescent="0.3">
      <c r="A43" s="546" t="s">
        <v>1061</v>
      </c>
      <c r="B43" s="547" t="s">
        <v>1062</v>
      </c>
      <c r="C43" s="547" t="s">
        <v>553</v>
      </c>
      <c r="D43" s="547" t="s">
        <v>1048</v>
      </c>
      <c r="E43" s="547" t="s">
        <v>1122</v>
      </c>
      <c r="F43" s="547" t="s">
        <v>1123</v>
      </c>
      <c r="G43" s="567"/>
      <c r="H43" s="567"/>
      <c r="I43" s="547"/>
      <c r="J43" s="547"/>
      <c r="K43" s="567">
        <v>1</v>
      </c>
      <c r="L43" s="567">
        <v>812</v>
      </c>
      <c r="M43" s="547">
        <v>1</v>
      </c>
      <c r="N43" s="547">
        <v>812</v>
      </c>
      <c r="O43" s="567"/>
      <c r="P43" s="567"/>
      <c r="Q43" s="552"/>
      <c r="R43" s="568"/>
    </row>
    <row r="44" spans="1:18" ht="14.4" customHeight="1" x14ac:dyDescent="0.3">
      <c r="A44" s="546" t="s">
        <v>1061</v>
      </c>
      <c r="B44" s="547" t="s">
        <v>1062</v>
      </c>
      <c r="C44" s="547" t="s">
        <v>553</v>
      </c>
      <c r="D44" s="547" t="s">
        <v>1048</v>
      </c>
      <c r="E44" s="547" t="s">
        <v>1124</v>
      </c>
      <c r="F44" s="547" t="s">
        <v>1125</v>
      </c>
      <c r="G44" s="567">
        <v>1</v>
      </c>
      <c r="H44" s="567">
        <v>732</v>
      </c>
      <c r="I44" s="547">
        <v>0.3249001331557923</v>
      </c>
      <c r="J44" s="547">
        <v>732</v>
      </c>
      <c r="K44" s="567">
        <v>3</v>
      </c>
      <c r="L44" s="567">
        <v>2253</v>
      </c>
      <c r="M44" s="547">
        <v>1</v>
      </c>
      <c r="N44" s="547">
        <v>751</v>
      </c>
      <c r="O44" s="567"/>
      <c r="P44" s="567"/>
      <c r="Q44" s="552"/>
      <c r="R44" s="568"/>
    </row>
    <row r="45" spans="1:18" ht="14.4" customHeight="1" x14ac:dyDescent="0.3">
      <c r="A45" s="546" t="s">
        <v>1061</v>
      </c>
      <c r="B45" s="547" t="s">
        <v>1062</v>
      </c>
      <c r="C45" s="547" t="s">
        <v>558</v>
      </c>
      <c r="D45" s="547" t="s">
        <v>1063</v>
      </c>
      <c r="E45" s="547" t="s">
        <v>1064</v>
      </c>
      <c r="F45" s="547" t="s">
        <v>1065</v>
      </c>
      <c r="G45" s="567"/>
      <c r="H45" s="567"/>
      <c r="I45" s="547"/>
      <c r="J45" s="547"/>
      <c r="K45" s="567"/>
      <c r="L45" s="567"/>
      <c r="M45" s="547"/>
      <c r="N45" s="547"/>
      <c r="O45" s="567">
        <v>82</v>
      </c>
      <c r="P45" s="567">
        <v>85684.260000000009</v>
      </c>
      <c r="Q45" s="552"/>
      <c r="R45" s="568">
        <v>1044.93</v>
      </c>
    </row>
    <row r="46" spans="1:18" ht="14.4" customHeight="1" x14ac:dyDescent="0.3">
      <c r="A46" s="546" t="s">
        <v>1061</v>
      </c>
      <c r="B46" s="547" t="s">
        <v>1062</v>
      </c>
      <c r="C46" s="547" t="s">
        <v>558</v>
      </c>
      <c r="D46" s="547" t="s">
        <v>1048</v>
      </c>
      <c r="E46" s="547" t="s">
        <v>1084</v>
      </c>
      <c r="F46" s="547" t="s">
        <v>1085</v>
      </c>
      <c r="G46" s="567"/>
      <c r="H46" s="567"/>
      <c r="I46" s="547"/>
      <c r="J46" s="547"/>
      <c r="K46" s="567"/>
      <c r="L46" s="567"/>
      <c r="M46" s="547"/>
      <c r="N46" s="547"/>
      <c r="O46" s="567">
        <v>49</v>
      </c>
      <c r="P46" s="567">
        <v>17003</v>
      </c>
      <c r="Q46" s="552"/>
      <c r="R46" s="568">
        <v>347</v>
      </c>
    </row>
    <row r="47" spans="1:18" ht="14.4" customHeight="1" x14ac:dyDescent="0.3">
      <c r="A47" s="546" t="s">
        <v>1061</v>
      </c>
      <c r="B47" s="547" t="s">
        <v>1062</v>
      </c>
      <c r="C47" s="547" t="s">
        <v>558</v>
      </c>
      <c r="D47" s="547" t="s">
        <v>1048</v>
      </c>
      <c r="E47" s="547" t="s">
        <v>1086</v>
      </c>
      <c r="F47" s="547" t="s">
        <v>1087</v>
      </c>
      <c r="G47" s="567"/>
      <c r="H47" s="567"/>
      <c r="I47" s="547"/>
      <c r="J47" s="547"/>
      <c r="K47" s="567"/>
      <c r="L47" s="567"/>
      <c r="M47" s="547"/>
      <c r="N47" s="547"/>
      <c r="O47" s="567">
        <v>49</v>
      </c>
      <c r="P47" s="567">
        <v>833</v>
      </c>
      <c r="Q47" s="552"/>
      <c r="R47" s="568">
        <v>17</v>
      </c>
    </row>
    <row r="48" spans="1:18" ht="14.4" customHeight="1" x14ac:dyDescent="0.3">
      <c r="A48" s="546" t="s">
        <v>1061</v>
      </c>
      <c r="B48" s="547" t="s">
        <v>1062</v>
      </c>
      <c r="C48" s="547" t="s">
        <v>558</v>
      </c>
      <c r="D48" s="547" t="s">
        <v>1048</v>
      </c>
      <c r="E48" s="547" t="s">
        <v>1095</v>
      </c>
      <c r="F48" s="547" t="s">
        <v>1096</v>
      </c>
      <c r="G48" s="567"/>
      <c r="H48" s="567"/>
      <c r="I48" s="547"/>
      <c r="J48" s="547"/>
      <c r="K48" s="567"/>
      <c r="L48" s="567"/>
      <c r="M48" s="547"/>
      <c r="N48" s="547"/>
      <c r="O48" s="567">
        <v>49</v>
      </c>
      <c r="P48" s="567">
        <v>16072</v>
      </c>
      <c r="Q48" s="552"/>
      <c r="R48" s="568">
        <v>328</v>
      </c>
    </row>
    <row r="49" spans="1:18" ht="14.4" customHeight="1" x14ac:dyDescent="0.3">
      <c r="A49" s="546" t="s">
        <v>1061</v>
      </c>
      <c r="B49" s="547" t="s">
        <v>1062</v>
      </c>
      <c r="C49" s="547" t="s">
        <v>558</v>
      </c>
      <c r="D49" s="547" t="s">
        <v>1048</v>
      </c>
      <c r="E49" s="547" t="s">
        <v>1099</v>
      </c>
      <c r="F49" s="547" t="s">
        <v>1100</v>
      </c>
      <c r="G49" s="567"/>
      <c r="H49" s="567"/>
      <c r="I49" s="547"/>
      <c r="J49" s="547"/>
      <c r="K49" s="567"/>
      <c r="L49" s="567"/>
      <c r="M49" s="547"/>
      <c r="N49" s="547"/>
      <c r="O49" s="567">
        <v>49</v>
      </c>
      <c r="P49" s="567">
        <v>11025</v>
      </c>
      <c r="Q49" s="552"/>
      <c r="R49" s="568">
        <v>225</v>
      </c>
    </row>
    <row r="50" spans="1:18" ht="14.4" customHeight="1" x14ac:dyDescent="0.3">
      <c r="A50" s="546" t="s">
        <v>1061</v>
      </c>
      <c r="B50" s="547" t="s">
        <v>1062</v>
      </c>
      <c r="C50" s="547" t="s">
        <v>558</v>
      </c>
      <c r="D50" s="547" t="s">
        <v>1048</v>
      </c>
      <c r="E50" s="547" t="s">
        <v>1104</v>
      </c>
      <c r="F50" s="547" t="s">
        <v>1105</v>
      </c>
      <c r="G50" s="567"/>
      <c r="H50" s="567"/>
      <c r="I50" s="547"/>
      <c r="J50" s="547"/>
      <c r="K50" s="567"/>
      <c r="L50" s="567"/>
      <c r="M50" s="547"/>
      <c r="N50" s="547"/>
      <c r="O50" s="567">
        <v>49</v>
      </c>
      <c r="P50" s="567">
        <v>23520</v>
      </c>
      <c r="Q50" s="552"/>
      <c r="R50" s="568">
        <v>480</v>
      </c>
    </row>
    <row r="51" spans="1:18" ht="14.4" customHeight="1" thickBot="1" x14ac:dyDescent="0.35">
      <c r="A51" s="554" t="s">
        <v>1061</v>
      </c>
      <c r="B51" s="555" t="s">
        <v>1062</v>
      </c>
      <c r="C51" s="555" t="s">
        <v>558</v>
      </c>
      <c r="D51" s="555" t="s">
        <v>1048</v>
      </c>
      <c r="E51" s="555" t="s">
        <v>1114</v>
      </c>
      <c r="F51" s="555" t="s">
        <v>1115</v>
      </c>
      <c r="G51" s="569"/>
      <c r="H51" s="569"/>
      <c r="I51" s="555"/>
      <c r="J51" s="555"/>
      <c r="K51" s="569"/>
      <c r="L51" s="569"/>
      <c r="M51" s="555"/>
      <c r="N51" s="555"/>
      <c r="O51" s="569">
        <v>89</v>
      </c>
      <c r="P51" s="569">
        <v>5251</v>
      </c>
      <c r="Q51" s="560"/>
      <c r="R51" s="57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6" t="s">
        <v>1127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19" ht="14.4" customHeight="1" thickBot="1" x14ac:dyDescent="0.35">
      <c r="A2" s="235" t="s">
        <v>291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10331</v>
      </c>
      <c r="I3" s="103">
        <f t="shared" si="0"/>
        <v>2509092</v>
      </c>
      <c r="J3" s="74"/>
      <c r="K3" s="74"/>
      <c r="L3" s="103">
        <f t="shared" si="0"/>
        <v>11149</v>
      </c>
      <c r="M3" s="103">
        <f t="shared" si="0"/>
        <v>2747514.66</v>
      </c>
      <c r="N3" s="74"/>
      <c r="O3" s="74"/>
      <c r="P3" s="103">
        <f t="shared" si="0"/>
        <v>8833</v>
      </c>
      <c r="Q3" s="103">
        <f t="shared" si="0"/>
        <v>2490485.58</v>
      </c>
      <c r="R3" s="75">
        <f>IF(M3=0,0,Q3/M3)</f>
        <v>0.90645033355345228</v>
      </c>
      <c r="S3" s="104">
        <f>IF(P3=0,0,Q3/P3)</f>
        <v>281.95240348692403</v>
      </c>
    </row>
    <row r="4" spans="1:19" ht="14.4" customHeight="1" x14ac:dyDescent="0.3">
      <c r="A4" s="427" t="s">
        <v>279</v>
      </c>
      <c r="B4" s="427" t="s">
        <v>95</v>
      </c>
      <c r="C4" s="435" t="s">
        <v>0</v>
      </c>
      <c r="D4" s="331" t="s">
        <v>135</v>
      </c>
      <c r="E4" s="429" t="s">
        <v>96</v>
      </c>
      <c r="F4" s="434" t="s">
        <v>71</v>
      </c>
      <c r="G4" s="430" t="s">
        <v>70</v>
      </c>
      <c r="H4" s="431">
        <v>2015</v>
      </c>
      <c r="I4" s="432"/>
      <c r="J4" s="101"/>
      <c r="K4" s="101"/>
      <c r="L4" s="431">
        <v>2016</v>
      </c>
      <c r="M4" s="432"/>
      <c r="N4" s="101"/>
      <c r="O4" s="101"/>
      <c r="P4" s="431">
        <v>2017</v>
      </c>
      <c r="Q4" s="432"/>
      <c r="R4" s="433" t="s">
        <v>2</v>
      </c>
      <c r="S4" s="428" t="s">
        <v>98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72</v>
      </c>
      <c r="I5" s="658" t="s">
        <v>14</v>
      </c>
      <c r="J5" s="659"/>
      <c r="K5" s="659"/>
      <c r="L5" s="657" t="s">
        <v>72</v>
      </c>
      <c r="M5" s="658" t="s">
        <v>14</v>
      </c>
      <c r="N5" s="659"/>
      <c r="O5" s="659"/>
      <c r="P5" s="657" t="s">
        <v>72</v>
      </c>
      <c r="Q5" s="658" t="s">
        <v>14</v>
      </c>
      <c r="R5" s="660"/>
      <c r="S5" s="661"/>
    </row>
    <row r="6" spans="1:19" ht="14.4" customHeight="1" x14ac:dyDescent="0.3">
      <c r="A6" s="539" t="s">
        <v>1046</v>
      </c>
      <c r="B6" s="540" t="s">
        <v>1047</v>
      </c>
      <c r="C6" s="540" t="s">
        <v>1037</v>
      </c>
      <c r="D6" s="540" t="s">
        <v>1038</v>
      </c>
      <c r="E6" s="540" t="s">
        <v>1048</v>
      </c>
      <c r="F6" s="540" t="s">
        <v>1051</v>
      </c>
      <c r="G6" s="540" t="s">
        <v>1052</v>
      </c>
      <c r="H6" s="116">
        <v>5</v>
      </c>
      <c r="I6" s="116">
        <v>0</v>
      </c>
      <c r="J6" s="540"/>
      <c r="K6" s="540">
        <v>0</v>
      </c>
      <c r="L6" s="116"/>
      <c r="M6" s="116"/>
      <c r="N6" s="540"/>
      <c r="O6" s="540"/>
      <c r="P6" s="116"/>
      <c r="Q6" s="116"/>
      <c r="R6" s="545"/>
      <c r="S6" s="566"/>
    </row>
    <row r="7" spans="1:19" ht="14.4" customHeight="1" x14ac:dyDescent="0.3">
      <c r="A7" s="546" t="s">
        <v>1046</v>
      </c>
      <c r="B7" s="547" t="s">
        <v>1047</v>
      </c>
      <c r="C7" s="547" t="s">
        <v>1037</v>
      </c>
      <c r="D7" s="547" t="s">
        <v>1038</v>
      </c>
      <c r="E7" s="547" t="s">
        <v>1048</v>
      </c>
      <c r="F7" s="547" t="s">
        <v>1053</v>
      </c>
      <c r="G7" s="547" t="s">
        <v>1054</v>
      </c>
      <c r="H7" s="567">
        <v>23</v>
      </c>
      <c r="I7" s="567">
        <v>828</v>
      </c>
      <c r="J7" s="547">
        <v>1.0171990171990173</v>
      </c>
      <c r="K7" s="547">
        <v>36</v>
      </c>
      <c r="L7" s="567">
        <v>22</v>
      </c>
      <c r="M7" s="567">
        <v>814</v>
      </c>
      <c r="N7" s="547">
        <v>1</v>
      </c>
      <c r="O7" s="547">
        <v>37</v>
      </c>
      <c r="P7" s="567">
        <v>25</v>
      </c>
      <c r="Q7" s="567">
        <v>925</v>
      </c>
      <c r="R7" s="552">
        <v>1.1363636363636365</v>
      </c>
      <c r="S7" s="568">
        <v>37</v>
      </c>
    </row>
    <row r="8" spans="1:19" ht="14.4" customHeight="1" x14ac:dyDescent="0.3">
      <c r="A8" s="546" t="s">
        <v>1046</v>
      </c>
      <c r="B8" s="547" t="s">
        <v>1047</v>
      </c>
      <c r="C8" s="547" t="s">
        <v>1037</v>
      </c>
      <c r="D8" s="547" t="s">
        <v>1038</v>
      </c>
      <c r="E8" s="547" t="s">
        <v>1048</v>
      </c>
      <c r="F8" s="547" t="s">
        <v>1055</v>
      </c>
      <c r="G8" s="547" t="s">
        <v>1056</v>
      </c>
      <c r="H8" s="567">
        <v>33</v>
      </c>
      <c r="I8" s="567">
        <v>1485</v>
      </c>
      <c r="J8" s="547">
        <v>0.91666666666666663</v>
      </c>
      <c r="K8" s="547">
        <v>45</v>
      </c>
      <c r="L8" s="567">
        <v>36</v>
      </c>
      <c r="M8" s="567">
        <v>1620</v>
      </c>
      <c r="N8" s="547">
        <v>1</v>
      </c>
      <c r="O8" s="547">
        <v>45</v>
      </c>
      <c r="P8" s="567">
        <v>49</v>
      </c>
      <c r="Q8" s="567">
        <v>2205</v>
      </c>
      <c r="R8" s="552">
        <v>1.3611111111111112</v>
      </c>
      <c r="S8" s="568">
        <v>45</v>
      </c>
    </row>
    <row r="9" spans="1:19" ht="14.4" customHeight="1" x14ac:dyDescent="0.3">
      <c r="A9" s="546" t="s">
        <v>1046</v>
      </c>
      <c r="B9" s="547" t="s">
        <v>1047</v>
      </c>
      <c r="C9" s="547" t="s">
        <v>1037</v>
      </c>
      <c r="D9" s="547" t="s">
        <v>1042</v>
      </c>
      <c r="E9" s="547" t="s">
        <v>1048</v>
      </c>
      <c r="F9" s="547" t="s">
        <v>1049</v>
      </c>
      <c r="G9" s="547" t="s">
        <v>1050</v>
      </c>
      <c r="H9" s="567">
        <v>1</v>
      </c>
      <c r="I9" s="567">
        <v>35</v>
      </c>
      <c r="J9" s="547">
        <v>0.31531531531531531</v>
      </c>
      <c r="K9" s="547">
        <v>35</v>
      </c>
      <c r="L9" s="567">
        <v>3</v>
      </c>
      <c r="M9" s="567">
        <v>111</v>
      </c>
      <c r="N9" s="547">
        <v>1</v>
      </c>
      <c r="O9" s="547">
        <v>37</v>
      </c>
      <c r="P9" s="567"/>
      <c r="Q9" s="567"/>
      <c r="R9" s="552"/>
      <c r="S9" s="568"/>
    </row>
    <row r="10" spans="1:19" ht="14.4" customHeight="1" x14ac:dyDescent="0.3">
      <c r="A10" s="546" t="s">
        <v>1046</v>
      </c>
      <c r="B10" s="547" t="s">
        <v>1047</v>
      </c>
      <c r="C10" s="547" t="s">
        <v>1037</v>
      </c>
      <c r="D10" s="547" t="s">
        <v>1042</v>
      </c>
      <c r="E10" s="547" t="s">
        <v>1048</v>
      </c>
      <c r="F10" s="547" t="s">
        <v>1051</v>
      </c>
      <c r="G10" s="547" t="s">
        <v>1052</v>
      </c>
      <c r="H10" s="567"/>
      <c r="I10" s="567"/>
      <c r="J10" s="547"/>
      <c r="K10" s="547"/>
      <c r="L10" s="567">
        <v>1</v>
      </c>
      <c r="M10" s="567">
        <v>33.33</v>
      </c>
      <c r="N10" s="547">
        <v>1</v>
      </c>
      <c r="O10" s="547">
        <v>33.33</v>
      </c>
      <c r="P10" s="567">
        <v>1</v>
      </c>
      <c r="Q10" s="567">
        <v>33.33</v>
      </c>
      <c r="R10" s="552">
        <v>1</v>
      </c>
      <c r="S10" s="568">
        <v>33.33</v>
      </c>
    </row>
    <row r="11" spans="1:19" ht="14.4" customHeight="1" x14ac:dyDescent="0.3">
      <c r="A11" s="546" t="s">
        <v>1046</v>
      </c>
      <c r="B11" s="547" t="s">
        <v>1047</v>
      </c>
      <c r="C11" s="547" t="s">
        <v>1037</v>
      </c>
      <c r="D11" s="547" t="s">
        <v>1042</v>
      </c>
      <c r="E11" s="547" t="s">
        <v>1048</v>
      </c>
      <c r="F11" s="547" t="s">
        <v>1057</v>
      </c>
      <c r="G11" s="547" t="s">
        <v>1058</v>
      </c>
      <c r="H11" s="567"/>
      <c r="I11" s="567"/>
      <c r="J11" s="547"/>
      <c r="K11" s="547"/>
      <c r="L11" s="567">
        <v>4</v>
      </c>
      <c r="M11" s="567">
        <v>36352</v>
      </c>
      <c r="N11" s="547">
        <v>1</v>
      </c>
      <c r="O11" s="547">
        <v>9088</v>
      </c>
      <c r="P11" s="567">
        <v>9</v>
      </c>
      <c r="Q11" s="567">
        <v>81819</v>
      </c>
      <c r="R11" s="552">
        <v>2.2507427376760565</v>
      </c>
      <c r="S11" s="568">
        <v>9091</v>
      </c>
    </row>
    <row r="12" spans="1:19" ht="14.4" customHeight="1" x14ac:dyDescent="0.3">
      <c r="A12" s="546" t="s">
        <v>1046</v>
      </c>
      <c r="B12" s="547" t="s">
        <v>1047</v>
      </c>
      <c r="C12" s="547" t="s">
        <v>1037</v>
      </c>
      <c r="D12" s="547" t="s">
        <v>1042</v>
      </c>
      <c r="E12" s="547" t="s">
        <v>1048</v>
      </c>
      <c r="F12" s="547" t="s">
        <v>1059</v>
      </c>
      <c r="G12" s="547" t="s">
        <v>1060</v>
      </c>
      <c r="H12" s="567"/>
      <c r="I12" s="567"/>
      <c r="J12" s="547"/>
      <c r="K12" s="547"/>
      <c r="L12" s="567">
        <v>1</v>
      </c>
      <c r="M12" s="567">
        <v>177</v>
      </c>
      <c r="N12" s="547">
        <v>1</v>
      </c>
      <c r="O12" s="547">
        <v>177</v>
      </c>
      <c r="P12" s="567">
        <v>1</v>
      </c>
      <c r="Q12" s="567">
        <v>177</v>
      </c>
      <c r="R12" s="552">
        <v>1</v>
      </c>
      <c r="S12" s="568">
        <v>177</v>
      </c>
    </row>
    <row r="13" spans="1:19" ht="14.4" customHeight="1" x14ac:dyDescent="0.3">
      <c r="A13" s="546" t="s">
        <v>1046</v>
      </c>
      <c r="B13" s="547" t="s">
        <v>1047</v>
      </c>
      <c r="C13" s="547" t="s">
        <v>1037</v>
      </c>
      <c r="D13" s="547" t="s">
        <v>622</v>
      </c>
      <c r="E13" s="547" t="s">
        <v>1048</v>
      </c>
      <c r="F13" s="547" t="s">
        <v>1049</v>
      </c>
      <c r="G13" s="547" t="s">
        <v>1050</v>
      </c>
      <c r="H13" s="567">
        <v>4</v>
      </c>
      <c r="I13" s="567">
        <v>140</v>
      </c>
      <c r="J13" s="547">
        <v>1.2612612612612613</v>
      </c>
      <c r="K13" s="547">
        <v>35</v>
      </c>
      <c r="L13" s="567">
        <v>3</v>
      </c>
      <c r="M13" s="567">
        <v>111</v>
      </c>
      <c r="N13" s="547">
        <v>1</v>
      </c>
      <c r="O13" s="547">
        <v>37</v>
      </c>
      <c r="P13" s="567">
        <v>5</v>
      </c>
      <c r="Q13" s="567">
        <v>185</v>
      </c>
      <c r="R13" s="552">
        <v>1.6666666666666667</v>
      </c>
      <c r="S13" s="568">
        <v>37</v>
      </c>
    </row>
    <row r="14" spans="1:19" ht="14.4" customHeight="1" x14ac:dyDescent="0.3">
      <c r="A14" s="546" t="s">
        <v>1046</v>
      </c>
      <c r="B14" s="547" t="s">
        <v>1047</v>
      </c>
      <c r="C14" s="547" t="s">
        <v>1037</v>
      </c>
      <c r="D14" s="547" t="s">
        <v>623</v>
      </c>
      <c r="E14" s="547" t="s">
        <v>1048</v>
      </c>
      <c r="F14" s="547" t="s">
        <v>1049</v>
      </c>
      <c r="G14" s="547" t="s">
        <v>1050</v>
      </c>
      <c r="H14" s="567">
        <v>2</v>
      </c>
      <c r="I14" s="567">
        <v>70</v>
      </c>
      <c r="J14" s="547"/>
      <c r="K14" s="547">
        <v>35</v>
      </c>
      <c r="L14" s="567"/>
      <c r="M14" s="567"/>
      <c r="N14" s="547"/>
      <c r="O14" s="547"/>
      <c r="P14" s="567">
        <v>1</v>
      </c>
      <c r="Q14" s="567">
        <v>37</v>
      </c>
      <c r="R14" s="552"/>
      <c r="S14" s="568">
        <v>37</v>
      </c>
    </row>
    <row r="15" spans="1:19" ht="14.4" customHeight="1" x14ac:dyDescent="0.3">
      <c r="A15" s="546" t="s">
        <v>1046</v>
      </c>
      <c r="B15" s="547" t="s">
        <v>1047</v>
      </c>
      <c r="C15" s="547" t="s">
        <v>1037</v>
      </c>
      <c r="D15" s="547" t="s">
        <v>624</v>
      </c>
      <c r="E15" s="547" t="s">
        <v>1048</v>
      </c>
      <c r="F15" s="547" t="s">
        <v>1049</v>
      </c>
      <c r="G15" s="547" t="s">
        <v>1050</v>
      </c>
      <c r="H15" s="567">
        <v>5</v>
      </c>
      <c r="I15" s="567">
        <v>175</v>
      </c>
      <c r="J15" s="547">
        <v>0.94594594594594594</v>
      </c>
      <c r="K15" s="547">
        <v>35</v>
      </c>
      <c r="L15" s="567">
        <v>5</v>
      </c>
      <c r="M15" s="567">
        <v>185</v>
      </c>
      <c r="N15" s="547">
        <v>1</v>
      </c>
      <c r="O15" s="547">
        <v>37</v>
      </c>
      <c r="P15" s="567">
        <v>8</v>
      </c>
      <c r="Q15" s="567">
        <v>296</v>
      </c>
      <c r="R15" s="552">
        <v>1.6</v>
      </c>
      <c r="S15" s="568">
        <v>37</v>
      </c>
    </row>
    <row r="16" spans="1:19" ht="14.4" customHeight="1" x14ac:dyDescent="0.3">
      <c r="A16" s="546" t="s">
        <v>1046</v>
      </c>
      <c r="B16" s="547" t="s">
        <v>1047</v>
      </c>
      <c r="C16" s="547" t="s">
        <v>1037</v>
      </c>
      <c r="D16" s="547" t="s">
        <v>1043</v>
      </c>
      <c r="E16" s="547" t="s">
        <v>1048</v>
      </c>
      <c r="F16" s="547" t="s">
        <v>1049</v>
      </c>
      <c r="G16" s="547" t="s">
        <v>1050</v>
      </c>
      <c r="H16" s="567">
        <v>4</v>
      </c>
      <c r="I16" s="567">
        <v>140</v>
      </c>
      <c r="J16" s="547">
        <v>3.7837837837837838</v>
      </c>
      <c r="K16" s="547">
        <v>35</v>
      </c>
      <c r="L16" s="567">
        <v>1</v>
      </c>
      <c r="M16" s="567">
        <v>37</v>
      </c>
      <c r="N16" s="547">
        <v>1</v>
      </c>
      <c r="O16" s="547">
        <v>37</v>
      </c>
      <c r="P16" s="567"/>
      <c r="Q16" s="567"/>
      <c r="R16" s="552"/>
      <c r="S16" s="568"/>
    </row>
    <row r="17" spans="1:19" ht="14.4" customHeight="1" x14ac:dyDescent="0.3">
      <c r="A17" s="546" t="s">
        <v>1046</v>
      </c>
      <c r="B17" s="547" t="s">
        <v>1047</v>
      </c>
      <c r="C17" s="547" t="s">
        <v>1037</v>
      </c>
      <c r="D17" s="547" t="s">
        <v>625</v>
      </c>
      <c r="E17" s="547" t="s">
        <v>1048</v>
      </c>
      <c r="F17" s="547" t="s">
        <v>1049</v>
      </c>
      <c r="G17" s="547" t="s">
        <v>1050</v>
      </c>
      <c r="H17" s="567">
        <v>15</v>
      </c>
      <c r="I17" s="567">
        <v>525</v>
      </c>
      <c r="J17" s="547">
        <v>1.4189189189189189</v>
      </c>
      <c r="K17" s="547">
        <v>35</v>
      </c>
      <c r="L17" s="567">
        <v>10</v>
      </c>
      <c r="M17" s="567">
        <v>370</v>
      </c>
      <c r="N17" s="547">
        <v>1</v>
      </c>
      <c r="O17" s="547">
        <v>37</v>
      </c>
      <c r="P17" s="567">
        <v>8</v>
      </c>
      <c r="Q17" s="567">
        <v>296</v>
      </c>
      <c r="R17" s="552">
        <v>0.8</v>
      </c>
      <c r="S17" s="568">
        <v>37</v>
      </c>
    </row>
    <row r="18" spans="1:19" ht="14.4" customHeight="1" x14ac:dyDescent="0.3">
      <c r="A18" s="546" t="s">
        <v>1046</v>
      </c>
      <c r="B18" s="547" t="s">
        <v>1047</v>
      </c>
      <c r="C18" s="547" t="s">
        <v>1037</v>
      </c>
      <c r="D18" s="547" t="s">
        <v>625</v>
      </c>
      <c r="E18" s="547" t="s">
        <v>1048</v>
      </c>
      <c r="F18" s="547" t="s">
        <v>1051</v>
      </c>
      <c r="G18" s="547" t="s">
        <v>1052</v>
      </c>
      <c r="H18" s="567"/>
      <c r="I18" s="567"/>
      <c r="J18" s="547"/>
      <c r="K18" s="547"/>
      <c r="L18" s="567">
        <v>4</v>
      </c>
      <c r="M18" s="567">
        <v>133.32999999999998</v>
      </c>
      <c r="N18" s="547">
        <v>1</v>
      </c>
      <c r="O18" s="547">
        <v>33.332499999999996</v>
      </c>
      <c r="P18" s="567">
        <v>7</v>
      </c>
      <c r="Q18" s="567">
        <v>233.32999999999998</v>
      </c>
      <c r="R18" s="552">
        <v>1.7500187504687619</v>
      </c>
      <c r="S18" s="568">
        <v>33.332857142857144</v>
      </c>
    </row>
    <row r="19" spans="1:19" ht="14.4" customHeight="1" x14ac:dyDescent="0.3">
      <c r="A19" s="546" t="s">
        <v>1046</v>
      </c>
      <c r="B19" s="547" t="s">
        <v>1047</v>
      </c>
      <c r="C19" s="547" t="s">
        <v>1037</v>
      </c>
      <c r="D19" s="547" t="s">
        <v>625</v>
      </c>
      <c r="E19" s="547" t="s">
        <v>1048</v>
      </c>
      <c r="F19" s="547" t="s">
        <v>1057</v>
      </c>
      <c r="G19" s="547" t="s">
        <v>1058</v>
      </c>
      <c r="H19" s="567">
        <v>15</v>
      </c>
      <c r="I19" s="567">
        <v>135120</v>
      </c>
      <c r="J19" s="547">
        <v>1.2389964788732395</v>
      </c>
      <c r="K19" s="547">
        <v>9008</v>
      </c>
      <c r="L19" s="567">
        <v>12</v>
      </c>
      <c r="M19" s="567">
        <v>109056</v>
      </c>
      <c r="N19" s="547">
        <v>1</v>
      </c>
      <c r="O19" s="547">
        <v>9088</v>
      </c>
      <c r="P19" s="567">
        <v>17</v>
      </c>
      <c r="Q19" s="567">
        <v>154547</v>
      </c>
      <c r="R19" s="552">
        <v>1.417134316314554</v>
      </c>
      <c r="S19" s="568">
        <v>9091</v>
      </c>
    </row>
    <row r="20" spans="1:19" ht="14.4" customHeight="1" x14ac:dyDescent="0.3">
      <c r="A20" s="546" t="s">
        <v>1046</v>
      </c>
      <c r="B20" s="547" t="s">
        <v>1047</v>
      </c>
      <c r="C20" s="547" t="s">
        <v>1037</v>
      </c>
      <c r="D20" s="547" t="s">
        <v>625</v>
      </c>
      <c r="E20" s="547" t="s">
        <v>1048</v>
      </c>
      <c r="F20" s="547" t="s">
        <v>1059</v>
      </c>
      <c r="G20" s="547" t="s">
        <v>1060</v>
      </c>
      <c r="H20" s="567">
        <v>5</v>
      </c>
      <c r="I20" s="567">
        <v>825</v>
      </c>
      <c r="J20" s="547">
        <v>1.1652542372881356</v>
      </c>
      <c r="K20" s="547">
        <v>165</v>
      </c>
      <c r="L20" s="567">
        <v>4</v>
      </c>
      <c r="M20" s="567">
        <v>708</v>
      </c>
      <c r="N20" s="547">
        <v>1</v>
      </c>
      <c r="O20" s="547">
        <v>177</v>
      </c>
      <c r="P20" s="567">
        <v>7</v>
      </c>
      <c r="Q20" s="567">
        <v>1239</v>
      </c>
      <c r="R20" s="552">
        <v>1.75</v>
      </c>
      <c r="S20" s="568">
        <v>177</v>
      </c>
    </row>
    <row r="21" spans="1:19" ht="14.4" customHeight="1" x14ac:dyDescent="0.3">
      <c r="A21" s="546" t="s">
        <v>1046</v>
      </c>
      <c r="B21" s="547" t="s">
        <v>1047</v>
      </c>
      <c r="C21" s="547" t="s">
        <v>1037</v>
      </c>
      <c r="D21" s="547" t="s">
        <v>1044</v>
      </c>
      <c r="E21" s="547" t="s">
        <v>1048</v>
      </c>
      <c r="F21" s="547" t="s">
        <v>1051</v>
      </c>
      <c r="G21" s="547" t="s">
        <v>1052</v>
      </c>
      <c r="H21" s="567"/>
      <c r="I21" s="567"/>
      <c r="J21" s="547"/>
      <c r="K21" s="547"/>
      <c r="L21" s="567"/>
      <c r="M21" s="567"/>
      <c r="N21" s="547"/>
      <c r="O21" s="547"/>
      <c r="P21" s="567">
        <v>2</v>
      </c>
      <c r="Q21" s="567">
        <v>66.66</v>
      </c>
      <c r="R21" s="552"/>
      <c r="S21" s="568">
        <v>33.33</v>
      </c>
    </row>
    <row r="22" spans="1:19" ht="14.4" customHeight="1" x14ac:dyDescent="0.3">
      <c r="A22" s="546" t="s">
        <v>1046</v>
      </c>
      <c r="B22" s="547" t="s">
        <v>1047</v>
      </c>
      <c r="C22" s="547" t="s">
        <v>1037</v>
      </c>
      <c r="D22" s="547" t="s">
        <v>1044</v>
      </c>
      <c r="E22" s="547" t="s">
        <v>1048</v>
      </c>
      <c r="F22" s="547" t="s">
        <v>1057</v>
      </c>
      <c r="G22" s="547" t="s">
        <v>1058</v>
      </c>
      <c r="H22" s="567"/>
      <c r="I22" s="567"/>
      <c r="J22" s="547"/>
      <c r="K22" s="547"/>
      <c r="L22" s="567"/>
      <c r="M22" s="567"/>
      <c r="N22" s="547"/>
      <c r="O22" s="547"/>
      <c r="P22" s="567">
        <v>2</v>
      </c>
      <c r="Q22" s="567">
        <v>18182</v>
      </c>
      <c r="R22" s="552"/>
      <c r="S22" s="568">
        <v>9091</v>
      </c>
    </row>
    <row r="23" spans="1:19" ht="14.4" customHeight="1" x14ac:dyDescent="0.3">
      <c r="A23" s="546" t="s">
        <v>1046</v>
      </c>
      <c r="B23" s="547" t="s">
        <v>1047</v>
      </c>
      <c r="C23" s="547" t="s">
        <v>1037</v>
      </c>
      <c r="D23" s="547" t="s">
        <v>1044</v>
      </c>
      <c r="E23" s="547" t="s">
        <v>1048</v>
      </c>
      <c r="F23" s="547" t="s">
        <v>1059</v>
      </c>
      <c r="G23" s="547" t="s">
        <v>1060</v>
      </c>
      <c r="H23" s="567"/>
      <c r="I23" s="567"/>
      <c r="J23" s="547"/>
      <c r="K23" s="547"/>
      <c r="L23" s="567"/>
      <c r="M23" s="567"/>
      <c r="N23" s="547"/>
      <c r="O23" s="547"/>
      <c r="P23" s="567">
        <v>2</v>
      </c>
      <c r="Q23" s="567">
        <v>354</v>
      </c>
      <c r="R23" s="552"/>
      <c r="S23" s="568">
        <v>177</v>
      </c>
    </row>
    <row r="24" spans="1:19" ht="14.4" customHeight="1" x14ac:dyDescent="0.3">
      <c r="A24" s="546" t="s">
        <v>1061</v>
      </c>
      <c r="B24" s="547" t="s">
        <v>1062</v>
      </c>
      <c r="C24" s="547" t="s">
        <v>553</v>
      </c>
      <c r="D24" s="547" t="s">
        <v>1038</v>
      </c>
      <c r="E24" s="547" t="s">
        <v>1063</v>
      </c>
      <c r="F24" s="547" t="s">
        <v>1064</v>
      </c>
      <c r="G24" s="547" t="s">
        <v>1065</v>
      </c>
      <c r="H24" s="567">
        <v>100</v>
      </c>
      <c r="I24" s="567">
        <v>75400</v>
      </c>
      <c r="J24" s="547">
        <v>1.2195121951219512</v>
      </c>
      <c r="K24" s="547">
        <v>754</v>
      </c>
      <c r="L24" s="567">
        <v>82</v>
      </c>
      <c r="M24" s="567">
        <v>61828</v>
      </c>
      <c r="N24" s="547">
        <v>1</v>
      </c>
      <c r="O24" s="547">
        <v>754</v>
      </c>
      <c r="P24" s="567"/>
      <c r="Q24" s="567"/>
      <c r="R24" s="552"/>
      <c r="S24" s="568"/>
    </row>
    <row r="25" spans="1:19" ht="14.4" customHeight="1" x14ac:dyDescent="0.3">
      <c r="A25" s="546" t="s">
        <v>1061</v>
      </c>
      <c r="B25" s="547" t="s">
        <v>1062</v>
      </c>
      <c r="C25" s="547" t="s">
        <v>553</v>
      </c>
      <c r="D25" s="547" t="s">
        <v>1038</v>
      </c>
      <c r="E25" s="547" t="s">
        <v>1048</v>
      </c>
      <c r="F25" s="547" t="s">
        <v>1066</v>
      </c>
      <c r="G25" s="547" t="s">
        <v>1067</v>
      </c>
      <c r="H25" s="567">
        <v>369</v>
      </c>
      <c r="I25" s="567">
        <v>76014</v>
      </c>
      <c r="J25" s="547">
        <v>0.61372389126169691</v>
      </c>
      <c r="K25" s="547">
        <v>206</v>
      </c>
      <c r="L25" s="567">
        <v>587</v>
      </c>
      <c r="M25" s="567">
        <v>123857</v>
      </c>
      <c r="N25" s="547">
        <v>1</v>
      </c>
      <c r="O25" s="547">
        <v>211</v>
      </c>
      <c r="P25" s="567">
        <v>368</v>
      </c>
      <c r="Q25" s="567">
        <v>77648</v>
      </c>
      <c r="R25" s="552">
        <v>0.62691652470187398</v>
      </c>
      <c r="S25" s="568">
        <v>211</v>
      </c>
    </row>
    <row r="26" spans="1:19" ht="14.4" customHeight="1" x14ac:dyDescent="0.3">
      <c r="A26" s="546" t="s">
        <v>1061</v>
      </c>
      <c r="B26" s="547" t="s">
        <v>1062</v>
      </c>
      <c r="C26" s="547" t="s">
        <v>553</v>
      </c>
      <c r="D26" s="547" t="s">
        <v>1038</v>
      </c>
      <c r="E26" s="547" t="s">
        <v>1048</v>
      </c>
      <c r="F26" s="547" t="s">
        <v>1068</v>
      </c>
      <c r="G26" s="547" t="s">
        <v>1067</v>
      </c>
      <c r="H26" s="567">
        <v>47</v>
      </c>
      <c r="I26" s="567">
        <v>3995</v>
      </c>
      <c r="J26" s="547">
        <v>1.0436259143155695</v>
      </c>
      <c r="K26" s="547">
        <v>85</v>
      </c>
      <c r="L26" s="567">
        <v>44</v>
      </c>
      <c r="M26" s="567">
        <v>3828</v>
      </c>
      <c r="N26" s="547">
        <v>1</v>
      </c>
      <c r="O26" s="547">
        <v>87</v>
      </c>
      <c r="P26" s="567">
        <v>45</v>
      </c>
      <c r="Q26" s="567">
        <v>3915</v>
      </c>
      <c r="R26" s="552">
        <v>1.0227272727272727</v>
      </c>
      <c r="S26" s="568">
        <v>87</v>
      </c>
    </row>
    <row r="27" spans="1:19" ht="14.4" customHeight="1" x14ac:dyDescent="0.3">
      <c r="A27" s="546" t="s">
        <v>1061</v>
      </c>
      <c r="B27" s="547" t="s">
        <v>1062</v>
      </c>
      <c r="C27" s="547" t="s">
        <v>553</v>
      </c>
      <c r="D27" s="547" t="s">
        <v>1038</v>
      </c>
      <c r="E27" s="547" t="s">
        <v>1048</v>
      </c>
      <c r="F27" s="547" t="s">
        <v>1069</v>
      </c>
      <c r="G27" s="547" t="s">
        <v>1070</v>
      </c>
      <c r="H27" s="567">
        <v>2368</v>
      </c>
      <c r="I27" s="567">
        <v>698560</v>
      </c>
      <c r="J27" s="547">
        <v>0.93092552835647457</v>
      </c>
      <c r="K27" s="547">
        <v>295</v>
      </c>
      <c r="L27" s="567">
        <v>2493</v>
      </c>
      <c r="M27" s="567">
        <v>750393</v>
      </c>
      <c r="N27" s="547">
        <v>1</v>
      </c>
      <c r="O27" s="547">
        <v>301</v>
      </c>
      <c r="P27" s="567">
        <v>2249</v>
      </c>
      <c r="Q27" s="567">
        <v>676949</v>
      </c>
      <c r="R27" s="552">
        <v>0.90212595266746887</v>
      </c>
      <c r="S27" s="568">
        <v>301</v>
      </c>
    </row>
    <row r="28" spans="1:19" ht="14.4" customHeight="1" x14ac:dyDescent="0.3">
      <c r="A28" s="546" t="s">
        <v>1061</v>
      </c>
      <c r="B28" s="547" t="s">
        <v>1062</v>
      </c>
      <c r="C28" s="547" t="s">
        <v>553</v>
      </c>
      <c r="D28" s="547" t="s">
        <v>1038</v>
      </c>
      <c r="E28" s="547" t="s">
        <v>1048</v>
      </c>
      <c r="F28" s="547" t="s">
        <v>1071</v>
      </c>
      <c r="G28" s="547" t="s">
        <v>1072</v>
      </c>
      <c r="H28" s="567">
        <v>50</v>
      </c>
      <c r="I28" s="567">
        <v>4750</v>
      </c>
      <c r="J28" s="547">
        <v>0.90527920716599963</v>
      </c>
      <c r="K28" s="547">
        <v>95</v>
      </c>
      <c r="L28" s="567">
        <v>53</v>
      </c>
      <c r="M28" s="567">
        <v>5247</v>
      </c>
      <c r="N28" s="547">
        <v>1</v>
      </c>
      <c r="O28" s="547">
        <v>99</v>
      </c>
      <c r="P28" s="567">
        <v>90</v>
      </c>
      <c r="Q28" s="567">
        <v>8910</v>
      </c>
      <c r="R28" s="552">
        <v>1.6981132075471699</v>
      </c>
      <c r="S28" s="568">
        <v>99</v>
      </c>
    </row>
    <row r="29" spans="1:19" ht="14.4" customHeight="1" x14ac:dyDescent="0.3">
      <c r="A29" s="546" t="s">
        <v>1061</v>
      </c>
      <c r="B29" s="547" t="s">
        <v>1062</v>
      </c>
      <c r="C29" s="547" t="s">
        <v>553</v>
      </c>
      <c r="D29" s="547" t="s">
        <v>1038</v>
      </c>
      <c r="E29" s="547" t="s">
        <v>1048</v>
      </c>
      <c r="F29" s="547" t="s">
        <v>1073</v>
      </c>
      <c r="G29" s="547" t="s">
        <v>1074</v>
      </c>
      <c r="H29" s="567">
        <v>3</v>
      </c>
      <c r="I29" s="567">
        <v>672</v>
      </c>
      <c r="J29" s="547">
        <v>1.4545454545454546</v>
      </c>
      <c r="K29" s="547">
        <v>224</v>
      </c>
      <c r="L29" s="567">
        <v>2</v>
      </c>
      <c r="M29" s="567">
        <v>462</v>
      </c>
      <c r="N29" s="547">
        <v>1</v>
      </c>
      <c r="O29" s="547">
        <v>231</v>
      </c>
      <c r="P29" s="567">
        <v>6</v>
      </c>
      <c r="Q29" s="567">
        <v>1392</v>
      </c>
      <c r="R29" s="552">
        <v>3.0129870129870131</v>
      </c>
      <c r="S29" s="568">
        <v>232</v>
      </c>
    </row>
    <row r="30" spans="1:19" ht="14.4" customHeight="1" x14ac:dyDescent="0.3">
      <c r="A30" s="546" t="s">
        <v>1061</v>
      </c>
      <c r="B30" s="547" t="s">
        <v>1062</v>
      </c>
      <c r="C30" s="547" t="s">
        <v>553</v>
      </c>
      <c r="D30" s="547" t="s">
        <v>1038</v>
      </c>
      <c r="E30" s="547" t="s">
        <v>1048</v>
      </c>
      <c r="F30" s="547" t="s">
        <v>1075</v>
      </c>
      <c r="G30" s="547" t="s">
        <v>1076</v>
      </c>
      <c r="H30" s="567">
        <v>487</v>
      </c>
      <c r="I30" s="567">
        <v>65745</v>
      </c>
      <c r="J30" s="547">
        <v>0.91582158578035322</v>
      </c>
      <c r="K30" s="547">
        <v>135</v>
      </c>
      <c r="L30" s="567">
        <v>524</v>
      </c>
      <c r="M30" s="567">
        <v>71788</v>
      </c>
      <c r="N30" s="547">
        <v>1</v>
      </c>
      <c r="O30" s="547">
        <v>137</v>
      </c>
      <c r="P30" s="567">
        <v>428</v>
      </c>
      <c r="Q30" s="567">
        <v>58636</v>
      </c>
      <c r="R30" s="552">
        <v>0.81679389312977102</v>
      </c>
      <c r="S30" s="568">
        <v>137</v>
      </c>
    </row>
    <row r="31" spans="1:19" ht="14.4" customHeight="1" x14ac:dyDescent="0.3">
      <c r="A31" s="546" t="s">
        <v>1061</v>
      </c>
      <c r="B31" s="547" t="s">
        <v>1062</v>
      </c>
      <c r="C31" s="547" t="s">
        <v>553</v>
      </c>
      <c r="D31" s="547" t="s">
        <v>1038</v>
      </c>
      <c r="E31" s="547" t="s">
        <v>1048</v>
      </c>
      <c r="F31" s="547" t="s">
        <v>1077</v>
      </c>
      <c r="G31" s="547" t="s">
        <v>1076</v>
      </c>
      <c r="H31" s="567">
        <v>34</v>
      </c>
      <c r="I31" s="567">
        <v>6052</v>
      </c>
      <c r="J31" s="547">
        <v>0.80661068905771027</v>
      </c>
      <c r="K31" s="547">
        <v>178</v>
      </c>
      <c r="L31" s="567">
        <v>41</v>
      </c>
      <c r="M31" s="567">
        <v>7503</v>
      </c>
      <c r="N31" s="547">
        <v>1</v>
      </c>
      <c r="O31" s="547">
        <v>183</v>
      </c>
      <c r="P31" s="567">
        <v>44</v>
      </c>
      <c r="Q31" s="567">
        <v>8052</v>
      </c>
      <c r="R31" s="552">
        <v>1.0731707317073171</v>
      </c>
      <c r="S31" s="568">
        <v>183</v>
      </c>
    </row>
    <row r="32" spans="1:19" ht="14.4" customHeight="1" x14ac:dyDescent="0.3">
      <c r="A32" s="546" t="s">
        <v>1061</v>
      </c>
      <c r="B32" s="547" t="s">
        <v>1062</v>
      </c>
      <c r="C32" s="547" t="s">
        <v>553</v>
      </c>
      <c r="D32" s="547" t="s">
        <v>1038</v>
      </c>
      <c r="E32" s="547" t="s">
        <v>1048</v>
      </c>
      <c r="F32" s="547" t="s">
        <v>1078</v>
      </c>
      <c r="G32" s="547" t="s">
        <v>1079</v>
      </c>
      <c r="H32" s="567">
        <v>10</v>
      </c>
      <c r="I32" s="567">
        <v>6200</v>
      </c>
      <c r="J32" s="547">
        <v>0.5106663372045136</v>
      </c>
      <c r="K32" s="547">
        <v>620</v>
      </c>
      <c r="L32" s="567">
        <v>19</v>
      </c>
      <c r="M32" s="567">
        <v>12141</v>
      </c>
      <c r="N32" s="547">
        <v>1</v>
      </c>
      <c r="O32" s="547">
        <v>639</v>
      </c>
      <c r="P32" s="567">
        <v>17</v>
      </c>
      <c r="Q32" s="567">
        <v>10863</v>
      </c>
      <c r="R32" s="552">
        <v>0.89473684210526316</v>
      </c>
      <c r="S32" s="568">
        <v>639</v>
      </c>
    </row>
    <row r="33" spans="1:19" ht="14.4" customHeight="1" x14ac:dyDescent="0.3">
      <c r="A33" s="546" t="s">
        <v>1061</v>
      </c>
      <c r="B33" s="547" t="s">
        <v>1062</v>
      </c>
      <c r="C33" s="547" t="s">
        <v>553</v>
      </c>
      <c r="D33" s="547" t="s">
        <v>1038</v>
      </c>
      <c r="E33" s="547" t="s">
        <v>1048</v>
      </c>
      <c r="F33" s="547" t="s">
        <v>1080</v>
      </c>
      <c r="G33" s="547" t="s">
        <v>1081</v>
      </c>
      <c r="H33" s="567">
        <v>15</v>
      </c>
      <c r="I33" s="567">
        <v>8895</v>
      </c>
      <c r="J33" s="547">
        <v>0.60958059210526316</v>
      </c>
      <c r="K33" s="547">
        <v>593</v>
      </c>
      <c r="L33" s="567">
        <v>24</v>
      </c>
      <c r="M33" s="567">
        <v>14592</v>
      </c>
      <c r="N33" s="547">
        <v>1</v>
      </c>
      <c r="O33" s="547">
        <v>608</v>
      </c>
      <c r="P33" s="567">
        <v>22</v>
      </c>
      <c r="Q33" s="567">
        <v>13376</v>
      </c>
      <c r="R33" s="552">
        <v>0.91666666666666663</v>
      </c>
      <c r="S33" s="568">
        <v>608</v>
      </c>
    </row>
    <row r="34" spans="1:19" ht="14.4" customHeight="1" x14ac:dyDescent="0.3">
      <c r="A34" s="546" t="s">
        <v>1061</v>
      </c>
      <c r="B34" s="547" t="s">
        <v>1062</v>
      </c>
      <c r="C34" s="547" t="s">
        <v>553</v>
      </c>
      <c r="D34" s="547" t="s">
        <v>1038</v>
      </c>
      <c r="E34" s="547" t="s">
        <v>1048</v>
      </c>
      <c r="F34" s="547" t="s">
        <v>1082</v>
      </c>
      <c r="G34" s="547" t="s">
        <v>1083</v>
      </c>
      <c r="H34" s="567">
        <v>195</v>
      </c>
      <c r="I34" s="567">
        <v>31395</v>
      </c>
      <c r="J34" s="547">
        <v>0.77222973803960149</v>
      </c>
      <c r="K34" s="547">
        <v>161</v>
      </c>
      <c r="L34" s="567">
        <v>235</v>
      </c>
      <c r="M34" s="567">
        <v>40655</v>
      </c>
      <c r="N34" s="547">
        <v>1</v>
      </c>
      <c r="O34" s="547">
        <v>173</v>
      </c>
      <c r="P34" s="567">
        <v>214</v>
      </c>
      <c r="Q34" s="567">
        <v>37022</v>
      </c>
      <c r="R34" s="552">
        <v>0.91063829787234041</v>
      </c>
      <c r="S34" s="568">
        <v>173</v>
      </c>
    </row>
    <row r="35" spans="1:19" ht="14.4" customHeight="1" x14ac:dyDescent="0.3">
      <c r="A35" s="546" t="s">
        <v>1061</v>
      </c>
      <c r="B35" s="547" t="s">
        <v>1062</v>
      </c>
      <c r="C35" s="547" t="s">
        <v>553</v>
      </c>
      <c r="D35" s="547" t="s">
        <v>1038</v>
      </c>
      <c r="E35" s="547" t="s">
        <v>1048</v>
      </c>
      <c r="F35" s="547" t="s">
        <v>1084</v>
      </c>
      <c r="G35" s="547" t="s">
        <v>1085</v>
      </c>
      <c r="H35" s="567">
        <v>489</v>
      </c>
      <c r="I35" s="567">
        <v>187287</v>
      </c>
      <c r="J35" s="547">
        <v>1.0511348329741379</v>
      </c>
      <c r="K35" s="547">
        <v>383</v>
      </c>
      <c r="L35" s="567">
        <v>464</v>
      </c>
      <c r="M35" s="567">
        <v>178176</v>
      </c>
      <c r="N35" s="547">
        <v>1</v>
      </c>
      <c r="O35" s="547">
        <v>384</v>
      </c>
      <c r="P35" s="567">
        <v>291</v>
      </c>
      <c r="Q35" s="567">
        <v>100977</v>
      </c>
      <c r="R35" s="552">
        <v>0.56672615840517238</v>
      </c>
      <c r="S35" s="568">
        <v>347</v>
      </c>
    </row>
    <row r="36" spans="1:19" ht="14.4" customHeight="1" x14ac:dyDescent="0.3">
      <c r="A36" s="546" t="s">
        <v>1061</v>
      </c>
      <c r="B36" s="547" t="s">
        <v>1062</v>
      </c>
      <c r="C36" s="547" t="s">
        <v>553</v>
      </c>
      <c r="D36" s="547" t="s">
        <v>1038</v>
      </c>
      <c r="E36" s="547" t="s">
        <v>1048</v>
      </c>
      <c r="F36" s="547" t="s">
        <v>1086</v>
      </c>
      <c r="G36" s="547" t="s">
        <v>1087</v>
      </c>
      <c r="H36" s="567">
        <v>1476</v>
      </c>
      <c r="I36" s="567">
        <v>23616</v>
      </c>
      <c r="J36" s="547">
        <v>0.95410471881060122</v>
      </c>
      <c r="K36" s="547">
        <v>16</v>
      </c>
      <c r="L36" s="567">
        <v>1456</v>
      </c>
      <c r="M36" s="567">
        <v>24752</v>
      </c>
      <c r="N36" s="547">
        <v>1</v>
      </c>
      <c r="O36" s="547">
        <v>17</v>
      </c>
      <c r="P36" s="567">
        <v>673</v>
      </c>
      <c r="Q36" s="567">
        <v>11441</v>
      </c>
      <c r="R36" s="552">
        <v>0.46222527472527475</v>
      </c>
      <c r="S36" s="568">
        <v>17</v>
      </c>
    </row>
    <row r="37" spans="1:19" ht="14.4" customHeight="1" x14ac:dyDescent="0.3">
      <c r="A37" s="546" t="s">
        <v>1061</v>
      </c>
      <c r="B37" s="547" t="s">
        <v>1062</v>
      </c>
      <c r="C37" s="547" t="s">
        <v>553</v>
      </c>
      <c r="D37" s="547" t="s">
        <v>1038</v>
      </c>
      <c r="E37" s="547" t="s">
        <v>1048</v>
      </c>
      <c r="F37" s="547" t="s">
        <v>1088</v>
      </c>
      <c r="G37" s="547" t="s">
        <v>1089</v>
      </c>
      <c r="H37" s="567">
        <v>207</v>
      </c>
      <c r="I37" s="567">
        <v>55062</v>
      </c>
      <c r="J37" s="547">
        <v>0.72813107470147176</v>
      </c>
      <c r="K37" s="547">
        <v>266</v>
      </c>
      <c r="L37" s="567">
        <v>277</v>
      </c>
      <c r="M37" s="567">
        <v>75621</v>
      </c>
      <c r="N37" s="547">
        <v>1</v>
      </c>
      <c r="O37" s="547">
        <v>273</v>
      </c>
      <c r="P37" s="567">
        <v>2</v>
      </c>
      <c r="Q37" s="567">
        <v>548</v>
      </c>
      <c r="R37" s="552">
        <v>7.2466642863754779E-3</v>
      </c>
      <c r="S37" s="568">
        <v>274</v>
      </c>
    </row>
    <row r="38" spans="1:19" ht="14.4" customHeight="1" x14ac:dyDescent="0.3">
      <c r="A38" s="546" t="s">
        <v>1061</v>
      </c>
      <c r="B38" s="547" t="s">
        <v>1062</v>
      </c>
      <c r="C38" s="547" t="s">
        <v>553</v>
      </c>
      <c r="D38" s="547" t="s">
        <v>1038</v>
      </c>
      <c r="E38" s="547" t="s">
        <v>1048</v>
      </c>
      <c r="F38" s="547" t="s">
        <v>1090</v>
      </c>
      <c r="G38" s="547" t="s">
        <v>1091</v>
      </c>
      <c r="H38" s="567">
        <v>208</v>
      </c>
      <c r="I38" s="567">
        <v>29328</v>
      </c>
      <c r="J38" s="547">
        <v>0.71713615023474175</v>
      </c>
      <c r="K38" s="547">
        <v>141</v>
      </c>
      <c r="L38" s="567">
        <v>288</v>
      </c>
      <c r="M38" s="567">
        <v>40896</v>
      </c>
      <c r="N38" s="547">
        <v>1</v>
      </c>
      <c r="O38" s="547">
        <v>142</v>
      </c>
      <c r="P38" s="567">
        <v>218</v>
      </c>
      <c r="Q38" s="567">
        <v>30956</v>
      </c>
      <c r="R38" s="552">
        <v>0.75694444444444442</v>
      </c>
      <c r="S38" s="568">
        <v>142</v>
      </c>
    </row>
    <row r="39" spans="1:19" ht="14.4" customHeight="1" x14ac:dyDescent="0.3">
      <c r="A39" s="546" t="s">
        <v>1061</v>
      </c>
      <c r="B39" s="547" t="s">
        <v>1062</v>
      </c>
      <c r="C39" s="547" t="s">
        <v>553</v>
      </c>
      <c r="D39" s="547" t="s">
        <v>1038</v>
      </c>
      <c r="E39" s="547" t="s">
        <v>1048</v>
      </c>
      <c r="F39" s="547" t="s">
        <v>1092</v>
      </c>
      <c r="G39" s="547" t="s">
        <v>1091</v>
      </c>
      <c r="H39" s="567">
        <v>487</v>
      </c>
      <c r="I39" s="567">
        <v>37986</v>
      </c>
      <c r="J39" s="547">
        <v>0.93474088291746638</v>
      </c>
      <c r="K39" s="547">
        <v>78</v>
      </c>
      <c r="L39" s="567">
        <v>521</v>
      </c>
      <c r="M39" s="567">
        <v>40638</v>
      </c>
      <c r="N39" s="547">
        <v>1</v>
      </c>
      <c r="O39" s="547">
        <v>78</v>
      </c>
      <c r="P39" s="567">
        <v>427</v>
      </c>
      <c r="Q39" s="567">
        <v>33306</v>
      </c>
      <c r="R39" s="552">
        <v>0.81957773512476007</v>
      </c>
      <c r="S39" s="568">
        <v>78</v>
      </c>
    </row>
    <row r="40" spans="1:19" ht="14.4" customHeight="1" x14ac:dyDescent="0.3">
      <c r="A40" s="546" t="s">
        <v>1061</v>
      </c>
      <c r="B40" s="547" t="s">
        <v>1062</v>
      </c>
      <c r="C40" s="547" t="s">
        <v>553</v>
      </c>
      <c r="D40" s="547" t="s">
        <v>1038</v>
      </c>
      <c r="E40" s="547" t="s">
        <v>1048</v>
      </c>
      <c r="F40" s="547" t="s">
        <v>1093</v>
      </c>
      <c r="G40" s="547" t="s">
        <v>1094</v>
      </c>
      <c r="H40" s="567">
        <v>209</v>
      </c>
      <c r="I40" s="567">
        <v>64163</v>
      </c>
      <c r="J40" s="547">
        <v>0.71178336883209092</v>
      </c>
      <c r="K40" s="547">
        <v>307</v>
      </c>
      <c r="L40" s="567">
        <v>288</v>
      </c>
      <c r="M40" s="567">
        <v>90144</v>
      </c>
      <c r="N40" s="547">
        <v>1</v>
      </c>
      <c r="O40" s="547">
        <v>313</v>
      </c>
      <c r="P40" s="567">
        <v>214</v>
      </c>
      <c r="Q40" s="567">
        <v>67196</v>
      </c>
      <c r="R40" s="552">
        <v>0.74542953496627617</v>
      </c>
      <c r="S40" s="568">
        <v>314</v>
      </c>
    </row>
    <row r="41" spans="1:19" ht="14.4" customHeight="1" x14ac:dyDescent="0.3">
      <c r="A41" s="546" t="s">
        <v>1061</v>
      </c>
      <c r="B41" s="547" t="s">
        <v>1062</v>
      </c>
      <c r="C41" s="547" t="s">
        <v>553</v>
      </c>
      <c r="D41" s="547" t="s">
        <v>1038</v>
      </c>
      <c r="E41" s="547" t="s">
        <v>1048</v>
      </c>
      <c r="F41" s="547" t="s">
        <v>1095</v>
      </c>
      <c r="G41" s="547" t="s">
        <v>1096</v>
      </c>
      <c r="H41" s="567">
        <v>614</v>
      </c>
      <c r="I41" s="567">
        <v>299018</v>
      </c>
      <c r="J41" s="547">
        <v>1.1201861120268528</v>
      </c>
      <c r="K41" s="547">
        <v>487</v>
      </c>
      <c r="L41" s="567">
        <v>547</v>
      </c>
      <c r="M41" s="567">
        <v>266936</v>
      </c>
      <c r="N41" s="547">
        <v>1</v>
      </c>
      <c r="O41" s="547">
        <v>488</v>
      </c>
      <c r="P41" s="567">
        <v>368</v>
      </c>
      <c r="Q41" s="567">
        <v>120704</v>
      </c>
      <c r="R41" s="552">
        <v>0.45218329487217912</v>
      </c>
      <c r="S41" s="568">
        <v>328</v>
      </c>
    </row>
    <row r="42" spans="1:19" ht="14.4" customHeight="1" x14ac:dyDescent="0.3">
      <c r="A42" s="546" t="s">
        <v>1061</v>
      </c>
      <c r="B42" s="547" t="s">
        <v>1062</v>
      </c>
      <c r="C42" s="547" t="s">
        <v>553</v>
      </c>
      <c r="D42" s="547" t="s">
        <v>1038</v>
      </c>
      <c r="E42" s="547" t="s">
        <v>1048</v>
      </c>
      <c r="F42" s="547" t="s">
        <v>1097</v>
      </c>
      <c r="G42" s="547" t="s">
        <v>1098</v>
      </c>
      <c r="H42" s="567">
        <v>467</v>
      </c>
      <c r="I42" s="567">
        <v>75187</v>
      </c>
      <c r="J42" s="547">
        <v>1.0071396040399712</v>
      </c>
      <c r="K42" s="547">
        <v>161</v>
      </c>
      <c r="L42" s="567">
        <v>458</v>
      </c>
      <c r="M42" s="567">
        <v>74654</v>
      </c>
      <c r="N42" s="547">
        <v>1</v>
      </c>
      <c r="O42" s="547">
        <v>163</v>
      </c>
      <c r="P42" s="567">
        <v>625</v>
      </c>
      <c r="Q42" s="567">
        <v>101875</v>
      </c>
      <c r="R42" s="552">
        <v>1.3646288209606987</v>
      </c>
      <c r="S42" s="568">
        <v>163</v>
      </c>
    </row>
    <row r="43" spans="1:19" ht="14.4" customHeight="1" x14ac:dyDescent="0.3">
      <c r="A43" s="546" t="s">
        <v>1061</v>
      </c>
      <c r="B43" s="547" t="s">
        <v>1062</v>
      </c>
      <c r="C43" s="547" t="s">
        <v>553</v>
      </c>
      <c r="D43" s="547" t="s">
        <v>1038</v>
      </c>
      <c r="E43" s="547" t="s">
        <v>1048</v>
      </c>
      <c r="F43" s="547" t="s">
        <v>1099</v>
      </c>
      <c r="G43" s="547" t="s">
        <v>1100</v>
      </c>
      <c r="H43" s="567">
        <v>585</v>
      </c>
      <c r="I43" s="567">
        <v>137475</v>
      </c>
      <c r="J43" s="547">
        <v>1.086793258284847</v>
      </c>
      <c r="K43" s="547">
        <v>235</v>
      </c>
      <c r="L43" s="567">
        <v>536</v>
      </c>
      <c r="M43" s="567">
        <v>126496</v>
      </c>
      <c r="N43" s="547">
        <v>1</v>
      </c>
      <c r="O43" s="547">
        <v>236</v>
      </c>
      <c r="P43" s="567">
        <v>349</v>
      </c>
      <c r="Q43" s="567">
        <v>78525</v>
      </c>
      <c r="R43" s="552">
        <v>0.62077061725271943</v>
      </c>
      <c r="S43" s="568">
        <v>225</v>
      </c>
    </row>
    <row r="44" spans="1:19" ht="14.4" customHeight="1" x14ac:dyDescent="0.3">
      <c r="A44" s="546" t="s">
        <v>1061</v>
      </c>
      <c r="B44" s="547" t="s">
        <v>1062</v>
      </c>
      <c r="C44" s="547" t="s">
        <v>553</v>
      </c>
      <c r="D44" s="547" t="s">
        <v>1038</v>
      </c>
      <c r="E44" s="547" t="s">
        <v>1048</v>
      </c>
      <c r="F44" s="547" t="s">
        <v>1101</v>
      </c>
      <c r="G44" s="547" t="s">
        <v>1067</v>
      </c>
      <c r="H44" s="567">
        <v>340</v>
      </c>
      <c r="I44" s="567">
        <v>24140</v>
      </c>
      <c r="J44" s="547">
        <v>0.55326365969930325</v>
      </c>
      <c r="K44" s="547">
        <v>71</v>
      </c>
      <c r="L44" s="567">
        <v>606</v>
      </c>
      <c r="M44" s="567">
        <v>43632</v>
      </c>
      <c r="N44" s="547">
        <v>1</v>
      </c>
      <c r="O44" s="547">
        <v>72</v>
      </c>
      <c r="P44" s="567">
        <v>506</v>
      </c>
      <c r="Q44" s="567">
        <v>36432</v>
      </c>
      <c r="R44" s="552">
        <v>0.83498349834983498</v>
      </c>
      <c r="S44" s="568">
        <v>72</v>
      </c>
    </row>
    <row r="45" spans="1:19" ht="14.4" customHeight="1" x14ac:dyDescent="0.3">
      <c r="A45" s="546" t="s">
        <v>1061</v>
      </c>
      <c r="B45" s="547" t="s">
        <v>1062</v>
      </c>
      <c r="C45" s="547" t="s">
        <v>553</v>
      </c>
      <c r="D45" s="547" t="s">
        <v>1038</v>
      </c>
      <c r="E45" s="547" t="s">
        <v>1048</v>
      </c>
      <c r="F45" s="547" t="s">
        <v>1102</v>
      </c>
      <c r="G45" s="547" t="s">
        <v>1103</v>
      </c>
      <c r="H45" s="567">
        <v>192</v>
      </c>
      <c r="I45" s="567">
        <v>14016</v>
      </c>
      <c r="J45" s="547">
        <v>1.5783783783783785</v>
      </c>
      <c r="K45" s="547">
        <v>73</v>
      </c>
      <c r="L45" s="567">
        <v>120</v>
      </c>
      <c r="M45" s="567">
        <v>8880</v>
      </c>
      <c r="N45" s="547">
        <v>1</v>
      </c>
      <c r="O45" s="547">
        <v>74</v>
      </c>
      <c r="P45" s="567">
        <v>92</v>
      </c>
      <c r="Q45" s="567">
        <v>4784</v>
      </c>
      <c r="R45" s="552">
        <v>0.53873873873873879</v>
      </c>
      <c r="S45" s="568">
        <v>52</v>
      </c>
    </row>
    <row r="46" spans="1:19" ht="14.4" customHeight="1" x14ac:dyDescent="0.3">
      <c r="A46" s="546" t="s">
        <v>1061</v>
      </c>
      <c r="B46" s="547" t="s">
        <v>1062</v>
      </c>
      <c r="C46" s="547" t="s">
        <v>553</v>
      </c>
      <c r="D46" s="547" t="s">
        <v>1038</v>
      </c>
      <c r="E46" s="547" t="s">
        <v>1048</v>
      </c>
      <c r="F46" s="547" t="s">
        <v>1104</v>
      </c>
      <c r="G46" s="547" t="s">
        <v>1105</v>
      </c>
      <c r="H46" s="567">
        <v>835</v>
      </c>
      <c r="I46" s="567">
        <v>237140</v>
      </c>
      <c r="J46" s="547">
        <v>1.0159587001692265</v>
      </c>
      <c r="K46" s="547">
        <v>284</v>
      </c>
      <c r="L46" s="567">
        <v>819</v>
      </c>
      <c r="M46" s="567">
        <v>233415</v>
      </c>
      <c r="N46" s="547">
        <v>1</v>
      </c>
      <c r="O46" s="547">
        <v>285</v>
      </c>
      <c r="P46" s="567">
        <v>601</v>
      </c>
      <c r="Q46" s="567">
        <v>288480</v>
      </c>
      <c r="R46" s="552">
        <v>1.2359102885418676</v>
      </c>
      <c r="S46" s="568">
        <v>480</v>
      </c>
    </row>
    <row r="47" spans="1:19" ht="14.4" customHeight="1" x14ac:dyDescent="0.3">
      <c r="A47" s="546" t="s">
        <v>1061</v>
      </c>
      <c r="B47" s="547" t="s">
        <v>1062</v>
      </c>
      <c r="C47" s="547" t="s">
        <v>553</v>
      </c>
      <c r="D47" s="547" t="s">
        <v>1038</v>
      </c>
      <c r="E47" s="547" t="s">
        <v>1048</v>
      </c>
      <c r="F47" s="547" t="s">
        <v>1106</v>
      </c>
      <c r="G47" s="547" t="s">
        <v>1107</v>
      </c>
      <c r="H47" s="567">
        <v>40</v>
      </c>
      <c r="I47" s="567">
        <v>8800</v>
      </c>
      <c r="J47" s="547">
        <v>0.835390165179419</v>
      </c>
      <c r="K47" s="547">
        <v>220</v>
      </c>
      <c r="L47" s="567">
        <v>46</v>
      </c>
      <c r="M47" s="567">
        <v>10534</v>
      </c>
      <c r="N47" s="547">
        <v>1</v>
      </c>
      <c r="O47" s="547">
        <v>229</v>
      </c>
      <c r="P47" s="567">
        <v>3</v>
      </c>
      <c r="Q47" s="567">
        <v>690</v>
      </c>
      <c r="R47" s="552">
        <v>6.5502183406113537E-2</v>
      </c>
      <c r="S47" s="568">
        <v>230</v>
      </c>
    </row>
    <row r="48" spans="1:19" ht="14.4" customHeight="1" x14ac:dyDescent="0.3">
      <c r="A48" s="546" t="s">
        <v>1061</v>
      </c>
      <c r="B48" s="547" t="s">
        <v>1062</v>
      </c>
      <c r="C48" s="547" t="s">
        <v>553</v>
      </c>
      <c r="D48" s="547" t="s">
        <v>1038</v>
      </c>
      <c r="E48" s="547" t="s">
        <v>1048</v>
      </c>
      <c r="F48" s="547" t="s">
        <v>1108</v>
      </c>
      <c r="G48" s="547" t="s">
        <v>1109</v>
      </c>
      <c r="H48" s="567">
        <v>140</v>
      </c>
      <c r="I48" s="567">
        <v>167300</v>
      </c>
      <c r="J48" s="547">
        <v>0.69075144508670516</v>
      </c>
      <c r="K48" s="547">
        <v>1195</v>
      </c>
      <c r="L48" s="567">
        <v>200</v>
      </c>
      <c r="M48" s="567">
        <v>242200</v>
      </c>
      <c r="N48" s="547">
        <v>1</v>
      </c>
      <c r="O48" s="547">
        <v>1211</v>
      </c>
      <c r="P48" s="567">
        <v>216</v>
      </c>
      <c r="Q48" s="567">
        <v>261576</v>
      </c>
      <c r="R48" s="552">
        <v>1.08</v>
      </c>
      <c r="S48" s="568">
        <v>1211</v>
      </c>
    </row>
    <row r="49" spans="1:19" ht="14.4" customHeight="1" x14ac:dyDescent="0.3">
      <c r="A49" s="546" t="s">
        <v>1061</v>
      </c>
      <c r="B49" s="547" t="s">
        <v>1062</v>
      </c>
      <c r="C49" s="547" t="s">
        <v>553</v>
      </c>
      <c r="D49" s="547" t="s">
        <v>1038</v>
      </c>
      <c r="E49" s="547" t="s">
        <v>1048</v>
      </c>
      <c r="F49" s="547" t="s">
        <v>1110</v>
      </c>
      <c r="G49" s="547" t="s">
        <v>1111</v>
      </c>
      <c r="H49" s="567">
        <v>133</v>
      </c>
      <c r="I49" s="567">
        <v>14630</v>
      </c>
      <c r="J49" s="547">
        <v>0.63531353135313529</v>
      </c>
      <c r="K49" s="547">
        <v>110</v>
      </c>
      <c r="L49" s="567">
        <v>202</v>
      </c>
      <c r="M49" s="567">
        <v>23028</v>
      </c>
      <c r="N49" s="547">
        <v>1</v>
      </c>
      <c r="O49" s="547">
        <v>114</v>
      </c>
      <c r="P49" s="567">
        <v>180</v>
      </c>
      <c r="Q49" s="567">
        <v>20520</v>
      </c>
      <c r="R49" s="552">
        <v>0.8910891089108911</v>
      </c>
      <c r="S49" s="568">
        <v>114</v>
      </c>
    </row>
    <row r="50" spans="1:19" ht="14.4" customHeight="1" x14ac:dyDescent="0.3">
      <c r="A50" s="546" t="s">
        <v>1061</v>
      </c>
      <c r="B50" s="547" t="s">
        <v>1062</v>
      </c>
      <c r="C50" s="547" t="s">
        <v>553</v>
      </c>
      <c r="D50" s="547" t="s">
        <v>1038</v>
      </c>
      <c r="E50" s="547" t="s">
        <v>1048</v>
      </c>
      <c r="F50" s="547" t="s">
        <v>1112</v>
      </c>
      <c r="G50" s="547" t="s">
        <v>1113</v>
      </c>
      <c r="H50" s="567">
        <v>6</v>
      </c>
      <c r="I50" s="567">
        <v>1938</v>
      </c>
      <c r="J50" s="547">
        <v>0.80016515276630884</v>
      </c>
      <c r="K50" s="547">
        <v>323</v>
      </c>
      <c r="L50" s="567">
        <v>7</v>
      </c>
      <c r="M50" s="567">
        <v>2422</v>
      </c>
      <c r="N50" s="547">
        <v>1</v>
      </c>
      <c r="O50" s="547">
        <v>346</v>
      </c>
      <c r="P50" s="567">
        <v>2</v>
      </c>
      <c r="Q50" s="567">
        <v>694</v>
      </c>
      <c r="R50" s="552">
        <v>0.2865400495458299</v>
      </c>
      <c r="S50" s="568">
        <v>347</v>
      </c>
    </row>
    <row r="51" spans="1:19" ht="14.4" customHeight="1" x14ac:dyDescent="0.3">
      <c r="A51" s="546" t="s">
        <v>1061</v>
      </c>
      <c r="B51" s="547" t="s">
        <v>1062</v>
      </c>
      <c r="C51" s="547" t="s">
        <v>553</v>
      </c>
      <c r="D51" s="547" t="s">
        <v>1038</v>
      </c>
      <c r="E51" s="547" t="s">
        <v>1048</v>
      </c>
      <c r="F51" s="547" t="s">
        <v>1114</v>
      </c>
      <c r="G51" s="547" t="s">
        <v>1115</v>
      </c>
      <c r="H51" s="567">
        <v>100</v>
      </c>
      <c r="I51" s="567">
        <v>5700</v>
      </c>
      <c r="J51" s="547">
        <v>1.1781727986771393</v>
      </c>
      <c r="K51" s="547">
        <v>57</v>
      </c>
      <c r="L51" s="567">
        <v>82</v>
      </c>
      <c r="M51" s="567">
        <v>4838</v>
      </c>
      <c r="N51" s="547">
        <v>1</v>
      </c>
      <c r="O51" s="547">
        <v>59</v>
      </c>
      <c r="P51" s="567"/>
      <c r="Q51" s="567"/>
      <c r="R51" s="552"/>
      <c r="S51" s="568"/>
    </row>
    <row r="52" spans="1:19" ht="14.4" customHeight="1" x14ac:dyDescent="0.3">
      <c r="A52" s="546" t="s">
        <v>1061</v>
      </c>
      <c r="B52" s="547" t="s">
        <v>1062</v>
      </c>
      <c r="C52" s="547" t="s">
        <v>553</v>
      </c>
      <c r="D52" s="547" t="s">
        <v>1038</v>
      </c>
      <c r="E52" s="547" t="s">
        <v>1048</v>
      </c>
      <c r="F52" s="547" t="s">
        <v>1116</v>
      </c>
      <c r="G52" s="547" t="s">
        <v>1117</v>
      </c>
      <c r="H52" s="567">
        <v>1</v>
      </c>
      <c r="I52" s="567">
        <v>146</v>
      </c>
      <c r="J52" s="547">
        <v>0.97333333333333338</v>
      </c>
      <c r="K52" s="547">
        <v>146</v>
      </c>
      <c r="L52" s="567">
        <v>1</v>
      </c>
      <c r="M52" s="567">
        <v>150</v>
      </c>
      <c r="N52" s="547">
        <v>1</v>
      </c>
      <c r="O52" s="547">
        <v>150</v>
      </c>
      <c r="P52" s="567">
        <v>2</v>
      </c>
      <c r="Q52" s="567">
        <v>300</v>
      </c>
      <c r="R52" s="552">
        <v>2</v>
      </c>
      <c r="S52" s="568">
        <v>150</v>
      </c>
    </row>
    <row r="53" spans="1:19" ht="14.4" customHeight="1" x14ac:dyDescent="0.3">
      <c r="A53" s="546" t="s">
        <v>1061</v>
      </c>
      <c r="B53" s="547" t="s">
        <v>1062</v>
      </c>
      <c r="C53" s="547" t="s">
        <v>553</v>
      </c>
      <c r="D53" s="547" t="s">
        <v>1038</v>
      </c>
      <c r="E53" s="547" t="s">
        <v>1048</v>
      </c>
      <c r="F53" s="547" t="s">
        <v>1118</v>
      </c>
      <c r="G53" s="547" t="s">
        <v>1119</v>
      </c>
      <c r="H53" s="567">
        <v>7</v>
      </c>
      <c r="I53" s="567">
        <v>7231</v>
      </c>
      <c r="J53" s="547">
        <v>0.52277327935222673</v>
      </c>
      <c r="K53" s="547">
        <v>1033</v>
      </c>
      <c r="L53" s="567">
        <v>13</v>
      </c>
      <c r="M53" s="567">
        <v>13832</v>
      </c>
      <c r="N53" s="547">
        <v>1</v>
      </c>
      <c r="O53" s="547">
        <v>1064</v>
      </c>
      <c r="P53" s="567">
        <v>11</v>
      </c>
      <c r="Q53" s="567">
        <v>11715</v>
      </c>
      <c r="R53" s="552">
        <v>0.84694910352805086</v>
      </c>
      <c r="S53" s="568">
        <v>1065</v>
      </c>
    </row>
    <row r="54" spans="1:19" ht="14.4" customHeight="1" x14ac:dyDescent="0.3">
      <c r="A54" s="546" t="s">
        <v>1061</v>
      </c>
      <c r="B54" s="547" t="s">
        <v>1062</v>
      </c>
      <c r="C54" s="547" t="s">
        <v>553</v>
      </c>
      <c r="D54" s="547" t="s">
        <v>1038</v>
      </c>
      <c r="E54" s="547" t="s">
        <v>1048</v>
      </c>
      <c r="F54" s="547" t="s">
        <v>1120</v>
      </c>
      <c r="G54" s="547" t="s">
        <v>1121</v>
      </c>
      <c r="H54" s="567">
        <v>4</v>
      </c>
      <c r="I54" s="567">
        <v>1176</v>
      </c>
      <c r="J54" s="547">
        <v>0.97674418604651159</v>
      </c>
      <c r="K54" s="547">
        <v>294</v>
      </c>
      <c r="L54" s="567">
        <v>4</v>
      </c>
      <c r="M54" s="567">
        <v>1204</v>
      </c>
      <c r="N54" s="547">
        <v>1</v>
      </c>
      <c r="O54" s="547">
        <v>301</v>
      </c>
      <c r="P54" s="567">
        <v>10</v>
      </c>
      <c r="Q54" s="567">
        <v>3020</v>
      </c>
      <c r="R54" s="552">
        <v>2.5083056478405314</v>
      </c>
      <c r="S54" s="568">
        <v>302</v>
      </c>
    </row>
    <row r="55" spans="1:19" ht="14.4" customHeight="1" x14ac:dyDescent="0.3">
      <c r="A55" s="546" t="s">
        <v>1061</v>
      </c>
      <c r="B55" s="547" t="s">
        <v>1062</v>
      </c>
      <c r="C55" s="547" t="s">
        <v>553</v>
      </c>
      <c r="D55" s="547" t="s">
        <v>1038</v>
      </c>
      <c r="E55" s="547" t="s">
        <v>1048</v>
      </c>
      <c r="F55" s="547" t="s">
        <v>1122</v>
      </c>
      <c r="G55" s="547" t="s">
        <v>1123</v>
      </c>
      <c r="H55" s="567"/>
      <c r="I55" s="567"/>
      <c r="J55" s="547"/>
      <c r="K55" s="547"/>
      <c r="L55" s="567">
        <v>1</v>
      </c>
      <c r="M55" s="567">
        <v>812</v>
      </c>
      <c r="N55" s="547">
        <v>1</v>
      </c>
      <c r="O55" s="547">
        <v>812</v>
      </c>
      <c r="P55" s="567"/>
      <c r="Q55" s="567"/>
      <c r="R55" s="552"/>
      <c r="S55" s="568"/>
    </row>
    <row r="56" spans="1:19" ht="14.4" customHeight="1" x14ac:dyDescent="0.3">
      <c r="A56" s="546" t="s">
        <v>1061</v>
      </c>
      <c r="B56" s="547" t="s">
        <v>1062</v>
      </c>
      <c r="C56" s="547" t="s">
        <v>553</v>
      </c>
      <c r="D56" s="547" t="s">
        <v>1038</v>
      </c>
      <c r="E56" s="547" t="s">
        <v>1048</v>
      </c>
      <c r="F56" s="547" t="s">
        <v>1124</v>
      </c>
      <c r="G56" s="547" t="s">
        <v>1125</v>
      </c>
      <c r="H56" s="567">
        <v>1</v>
      </c>
      <c r="I56" s="567">
        <v>732</v>
      </c>
      <c r="J56" s="547">
        <v>0.3249001331557923</v>
      </c>
      <c r="K56" s="547">
        <v>732</v>
      </c>
      <c r="L56" s="567">
        <v>3</v>
      </c>
      <c r="M56" s="567">
        <v>2253</v>
      </c>
      <c r="N56" s="547">
        <v>1</v>
      </c>
      <c r="O56" s="547">
        <v>751</v>
      </c>
      <c r="P56" s="567"/>
      <c r="Q56" s="567"/>
      <c r="R56" s="552"/>
      <c r="S56" s="568"/>
    </row>
    <row r="57" spans="1:19" ht="14.4" customHeight="1" x14ac:dyDescent="0.3">
      <c r="A57" s="546" t="s">
        <v>1061</v>
      </c>
      <c r="B57" s="547" t="s">
        <v>1062</v>
      </c>
      <c r="C57" s="547" t="s">
        <v>558</v>
      </c>
      <c r="D57" s="547" t="s">
        <v>1038</v>
      </c>
      <c r="E57" s="547" t="s">
        <v>1063</v>
      </c>
      <c r="F57" s="547" t="s">
        <v>1064</v>
      </c>
      <c r="G57" s="547" t="s">
        <v>1065</v>
      </c>
      <c r="H57" s="567"/>
      <c r="I57" s="567"/>
      <c r="J57" s="547"/>
      <c r="K57" s="547"/>
      <c r="L57" s="567"/>
      <c r="M57" s="567"/>
      <c r="N57" s="547"/>
      <c r="O57" s="547"/>
      <c r="P57" s="567">
        <v>82</v>
      </c>
      <c r="Q57" s="567">
        <v>85684.260000000009</v>
      </c>
      <c r="R57" s="552"/>
      <c r="S57" s="568">
        <v>1044.93</v>
      </c>
    </row>
    <row r="58" spans="1:19" ht="14.4" customHeight="1" x14ac:dyDescent="0.3">
      <c r="A58" s="546" t="s">
        <v>1061</v>
      </c>
      <c r="B58" s="547" t="s">
        <v>1062</v>
      </c>
      <c r="C58" s="547" t="s">
        <v>558</v>
      </c>
      <c r="D58" s="547" t="s">
        <v>1038</v>
      </c>
      <c r="E58" s="547" t="s">
        <v>1048</v>
      </c>
      <c r="F58" s="547" t="s">
        <v>1084</v>
      </c>
      <c r="G58" s="547" t="s">
        <v>1085</v>
      </c>
      <c r="H58" s="567"/>
      <c r="I58" s="567"/>
      <c r="J58" s="547"/>
      <c r="K58" s="547"/>
      <c r="L58" s="567"/>
      <c r="M58" s="567"/>
      <c r="N58" s="547"/>
      <c r="O58" s="547"/>
      <c r="P58" s="567">
        <v>49</v>
      </c>
      <c r="Q58" s="567">
        <v>17003</v>
      </c>
      <c r="R58" s="552"/>
      <c r="S58" s="568">
        <v>347</v>
      </c>
    </row>
    <row r="59" spans="1:19" ht="14.4" customHeight="1" x14ac:dyDescent="0.3">
      <c r="A59" s="546" t="s">
        <v>1061</v>
      </c>
      <c r="B59" s="547" t="s">
        <v>1062</v>
      </c>
      <c r="C59" s="547" t="s">
        <v>558</v>
      </c>
      <c r="D59" s="547" t="s">
        <v>1038</v>
      </c>
      <c r="E59" s="547" t="s">
        <v>1048</v>
      </c>
      <c r="F59" s="547" t="s">
        <v>1086</v>
      </c>
      <c r="G59" s="547" t="s">
        <v>1087</v>
      </c>
      <c r="H59" s="567"/>
      <c r="I59" s="567"/>
      <c r="J59" s="547"/>
      <c r="K59" s="547"/>
      <c r="L59" s="567"/>
      <c r="M59" s="567"/>
      <c r="N59" s="547"/>
      <c r="O59" s="547"/>
      <c r="P59" s="567">
        <v>49</v>
      </c>
      <c r="Q59" s="567">
        <v>833</v>
      </c>
      <c r="R59" s="552"/>
      <c r="S59" s="568">
        <v>17</v>
      </c>
    </row>
    <row r="60" spans="1:19" ht="14.4" customHeight="1" x14ac:dyDescent="0.3">
      <c r="A60" s="546" t="s">
        <v>1061</v>
      </c>
      <c r="B60" s="547" t="s">
        <v>1062</v>
      </c>
      <c r="C60" s="547" t="s">
        <v>558</v>
      </c>
      <c r="D60" s="547" t="s">
        <v>1038</v>
      </c>
      <c r="E60" s="547" t="s">
        <v>1048</v>
      </c>
      <c r="F60" s="547" t="s">
        <v>1095</v>
      </c>
      <c r="G60" s="547" t="s">
        <v>1096</v>
      </c>
      <c r="H60" s="567"/>
      <c r="I60" s="567"/>
      <c r="J60" s="547"/>
      <c r="K60" s="547"/>
      <c r="L60" s="567"/>
      <c r="M60" s="567"/>
      <c r="N60" s="547"/>
      <c r="O60" s="547"/>
      <c r="P60" s="567">
        <v>49</v>
      </c>
      <c r="Q60" s="567">
        <v>16072</v>
      </c>
      <c r="R60" s="552"/>
      <c r="S60" s="568">
        <v>328</v>
      </c>
    </row>
    <row r="61" spans="1:19" ht="14.4" customHeight="1" x14ac:dyDescent="0.3">
      <c r="A61" s="546" t="s">
        <v>1061</v>
      </c>
      <c r="B61" s="547" t="s">
        <v>1062</v>
      </c>
      <c r="C61" s="547" t="s">
        <v>558</v>
      </c>
      <c r="D61" s="547" t="s">
        <v>1038</v>
      </c>
      <c r="E61" s="547" t="s">
        <v>1048</v>
      </c>
      <c r="F61" s="547" t="s">
        <v>1099</v>
      </c>
      <c r="G61" s="547" t="s">
        <v>1100</v>
      </c>
      <c r="H61" s="567"/>
      <c r="I61" s="567"/>
      <c r="J61" s="547"/>
      <c r="K61" s="547"/>
      <c r="L61" s="567"/>
      <c r="M61" s="567"/>
      <c r="N61" s="547"/>
      <c r="O61" s="547"/>
      <c r="P61" s="567">
        <v>49</v>
      </c>
      <c r="Q61" s="567">
        <v>11025</v>
      </c>
      <c r="R61" s="552"/>
      <c r="S61" s="568">
        <v>225</v>
      </c>
    </row>
    <row r="62" spans="1:19" ht="14.4" customHeight="1" x14ac:dyDescent="0.3">
      <c r="A62" s="546" t="s">
        <v>1061</v>
      </c>
      <c r="B62" s="547" t="s">
        <v>1062</v>
      </c>
      <c r="C62" s="547" t="s">
        <v>558</v>
      </c>
      <c r="D62" s="547" t="s">
        <v>1038</v>
      </c>
      <c r="E62" s="547" t="s">
        <v>1048</v>
      </c>
      <c r="F62" s="547" t="s">
        <v>1104</v>
      </c>
      <c r="G62" s="547" t="s">
        <v>1105</v>
      </c>
      <c r="H62" s="567"/>
      <c r="I62" s="567"/>
      <c r="J62" s="547"/>
      <c r="K62" s="547"/>
      <c r="L62" s="567"/>
      <c r="M62" s="567"/>
      <c r="N62" s="547"/>
      <c r="O62" s="547"/>
      <c r="P62" s="567">
        <v>49</v>
      </c>
      <c r="Q62" s="567">
        <v>23520</v>
      </c>
      <c r="R62" s="552"/>
      <c r="S62" s="568">
        <v>480</v>
      </c>
    </row>
    <row r="63" spans="1:19" ht="14.4" customHeight="1" thickBot="1" x14ac:dyDescent="0.35">
      <c r="A63" s="554" t="s">
        <v>1061</v>
      </c>
      <c r="B63" s="555" t="s">
        <v>1062</v>
      </c>
      <c r="C63" s="555" t="s">
        <v>558</v>
      </c>
      <c r="D63" s="555" t="s">
        <v>1038</v>
      </c>
      <c r="E63" s="555" t="s">
        <v>1048</v>
      </c>
      <c r="F63" s="555" t="s">
        <v>1114</v>
      </c>
      <c r="G63" s="555" t="s">
        <v>1115</v>
      </c>
      <c r="H63" s="569"/>
      <c r="I63" s="569"/>
      <c r="J63" s="555"/>
      <c r="K63" s="555"/>
      <c r="L63" s="569"/>
      <c r="M63" s="569"/>
      <c r="N63" s="555"/>
      <c r="O63" s="555"/>
      <c r="P63" s="569">
        <v>89</v>
      </c>
      <c r="Q63" s="569">
        <v>5251</v>
      </c>
      <c r="R63" s="560"/>
      <c r="S63" s="57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8" t="s">
        <v>127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</row>
    <row r="2" spans="1:19" ht="14.4" customHeight="1" thickBot="1" x14ac:dyDescent="0.35">
      <c r="A2" s="235" t="s">
        <v>291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2188541</v>
      </c>
      <c r="C3" s="222">
        <f t="shared" ref="C3:R3" si="0">SUBTOTAL(9,C6:C1048576)</f>
        <v>27.211554279010276</v>
      </c>
      <c r="D3" s="222">
        <f t="shared" si="0"/>
        <v>2424778</v>
      </c>
      <c r="E3" s="222">
        <f t="shared" si="0"/>
        <v>24</v>
      </c>
      <c r="F3" s="222">
        <f t="shared" si="0"/>
        <v>2317444</v>
      </c>
      <c r="G3" s="225">
        <f>IF(D3&lt;&gt;0,F3/D3,"")</f>
        <v>0.95573450435462548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20" t="s">
        <v>105</v>
      </c>
      <c r="B4" s="421" t="s">
        <v>99</v>
      </c>
      <c r="C4" s="422"/>
      <c r="D4" s="422"/>
      <c r="E4" s="422"/>
      <c r="F4" s="422"/>
      <c r="G4" s="424"/>
      <c r="H4" s="421" t="s">
        <v>100</v>
      </c>
      <c r="I4" s="422"/>
      <c r="J4" s="422"/>
      <c r="K4" s="422"/>
      <c r="L4" s="422"/>
      <c r="M4" s="424"/>
      <c r="N4" s="421" t="s">
        <v>101</v>
      </c>
      <c r="O4" s="422"/>
      <c r="P4" s="422"/>
      <c r="Q4" s="422"/>
      <c r="R4" s="422"/>
      <c r="S4" s="424"/>
    </row>
    <row r="5" spans="1:19" ht="14.4" customHeight="1" thickBot="1" x14ac:dyDescent="0.35">
      <c r="A5" s="623"/>
      <c r="B5" s="624">
        <v>2015</v>
      </c>
      <c r="C5" s="625"/>
      <c r="D5" s="625">
        <v>2016</v>
      </c>
      <c r="E5" s="625"/>
      <c r="F5" s="625">
        <v>2017</v>
      </c>
      <c r="G5" s="663" t="s">
        <v>2</v>
      </c>
      <c r="H5" s="624">
        <v>2015</v>
      </c>
      <c r="I5" s="625"/>
      <c r="J5" s="625">
        <v>2016</v>
      </c>
      <c r="K5" s="625"/>
      <c r="L5" s="625">
        <v>2017</v>
      </c>
      <c r="M5" s="663" t="s">
        <v>2</v>
      </c>
      <c r="N5" s="624">
        <v>2015</v>
      </c>
      <c r="O5" s="625"/>
      <c r="P5" s="625">
        <v>2016</v>
      </c>
      <c r="Q5" s="625"/>
      <c r="R5" s="625">
        <v>2017</v>
      </c>
      <c r="S5" s="663" t="s">
        <v>2</v>
      </c>
    </row>
    <row r="6" spans="1:19" ht="14.4" customHeight="1" x14ac:dyDescent="0.3">
      <c r="A6" s="578" t="s">
        <v>1128</v>
      </c>
      <c r="B6" s="645">
        <v>130587</v>
      </c>
      <c r="C6" s="540">
        <v>1.0091419121510927</v>
      </c>
      <c r="D6" s="645">
        <v>129404</v>
      </c>
      <c r="E6" s="540">
        <v>1</v>
      </c>
      <c r="F6" s="645">
        <v>116935</v>
      </c>
      <c r="G6" s="545">
        <v>0.90364285493493246</v>
      </c>
      <c r="H6" s="645"/>
      <c r="I6" s="540"/>
      <c r="J6" s="645"/>
      <c r="K6" s="540"/>
      <c r="L6" s="645"/>
      <c r="M6" s="545"/>
      <c r="N6" s="645"/>
      <c r="O6" s="540"/>
      <c r="P6" s="645"/>
      <c r="Q6" s="540"/>
      <c r="R6" s="645"/>
      <c r="S6" s="122"/>
    </row>
    <row r="7" spans="1:19" ht="14.4" customHeight="1" x14ac:dyDescent="0.3">
      <c r="A7" s="581" t="s">
        <v>1129</v>
      </c>
      <c r="B7" s="647">
        <v>110492</v>
      </c>
      <c r="C7" s="547">
        <v>0.54365817416034401</v>
      </c>
      <c r="D7" s="647">
        <v>203238</v>
      </c>
      <c r="E7" s="547">
        <v>1</v>
      </c>
      <c r="F7" s="647">
        <v>142727</v>
      </c>
      <c r="G7" s="552">
        <v>0.70226532439799638</v>
      </c>
      <c r="H7" s="647"/>
      <c r="I7" s="547"/>
      <c r="J7" s="647"/>
      <c r="K7" s="547"/>
      <c r="L7" s="647"/>
      <c r="M7" s="552"/>
      <c r="N7" s="647"/>
      <c r="O7" s="547"/>
      <c r="P7" s="647"/>
      <c r="Q7" s="547"/>
      <c r="R7" s="647"/>
      <c r="S7" s="553"/>
    </row>
    <row r="8" spans="1:19" ht="14.4" customHeight="1" x14ac:dyDescent="0.3">
      <c r="A8" s="581" t="s">
        <v>1130</v>
      </c>
      <c r="B8" s="647">
        <v>100125</v>
      </c>
      <c r="C8" s="547">
        <v>1.3664651372265364</v>
      </c>
      <c r="D8" s="647">
        <v>73273</v>
      </c>
      <c r="E8" s="547">
        <v>1</v>
      </c>
      <c r="F8" s="647">
        <v>122469</v>
      </c>
      <c r="G8" s="552">
        <v>1.6714069302471579</v>
      </c>
      <c r="H8" s="647"/>
      <c r="I8" s="547"/>
      <c r="J8" s="647"/>
      <c r="K8" s="547"/>
      <c r="L8" s="647"/>
      <c r="M8" s="552"/>
      <c r="N8" s="647"/>
      <c r="O8" s="547"/>
      <c r="P8" s="647"/>
      <c r="Q8" s="547"/>
      <c r="R8" s="647"/>
      <c r="S8" s="553"/>
    </row>
    <row r="9" spans="1:19" ht="14.4" customHeight="1" x14ac:dyDescent="0.3">
      <c r="A9" s="581" t="s">
        <v>1131</v>
      </c>
      <c r="B9" s="647">
        <v>165797</v>
      </c>
      <c r="C9" s="547">
        <v>0.80787128399284691</v>
      </c>
      <c r="D9" s="647">
        <v>205227</v>
      </c>
      <c r="E9" s="547">
        <v>1</v>
      </c>
      <c r="F9" s="647">
        <v>198827</v>
      </c>
      <c r="G9" s="552">
        <v>0.96881501946624959</v>
      </c>
      <c r="H9" s="647"/>
      <c r="I9" s="547"/>
      <c r="J9" s="647"/>
      <c r="K9" s="547"/>
      <c r="L9" s="647"/>
      <c r="M9" s="552"/>
      <c r="N9" s="647"/>
      <c r="O9" s="547"/>
      <c r="P9" s="647"/>
      <c r="Q9" s="547"/>
      <c r="R9" s="647"/>
      <c r="S9" s="553"/>
    </row>
    <row r="10" spans="1:19" ht="14.4" customHeight="1" x14ac:dyDescent="0.3">
      <c r="A10" s="581" t="s">
        <v>1132</v>
      </c>
      <c r="B10" s="647">
        <v>91727</v>
      </c>
      <c r="C10" s="547">
        <v>1.0112561462306793</v>
      </c>
      <c r="D10" s="647">
        <v>90706</v>
      </c>
      <c r="E10" s="547">
        <v>1</v>
      </c>
      <c r="F10" s="647">
        <v>92135</v>
      </c>
      <c r="G10" s="552">
        <v>1.0157541948713427</v>
      </c>
      <c r="H10" s="647"/>
      <c r="I10" s="547"/>
      <c r="J10" s="647"/>
      <c r="K10" s="547"/>
      <c r="L10" s="647"/>
      <c r="M10" s="552"/>
      <c r="N10" s="647"/>
      <c r="O10" s="547"/>
      <c r="P10" s="647"/>
      <c r="Q10" s="547"/>
      <c r="R10" s="647"/>
      <c r="S10" s="553"/>
    </row>
    <row r="11" spans="1:19" ht="14.4" customHeight="1" x14ac:dyDescent="0.3">
      <c r="A11" s="581" t="s">
        <v>1133</v>
      </c>
      <c r="B11" s="647">
        <v>143887</v>
      </c>
      <c r="C11" s="547">
        <v>1.0934825893332116</v>
      </c>
      <c r="D11" s="647">
        <v>131586</v>
      </c>
      <c r="E11" s="547">
        <v>1</v>
      </c>
      <c r="F11" s="647">
        <v>114311</v>
      </c>
      <c r="G11" s="552">
        <v>0.86871703676682932</v>
      </c>
      <c r="H11" s="647"/>
      <c r="I11" s="547"/>
      <c r="J11" s="647"/>
      <c r="K11" s="547"/>
      <c r="L11" s="647"/>
      <c r="M11" s="552"/>
      <c r="N11" s="647"/>
      <c r="O11" s="547"/>
      <c r="P11" s="647"/>
      <c r="Q11" s="547"/>
      <c r="R11" s="647"/>
      <c r="S11" s="553"/>
    </row>
    <row r="12" spans="1:19" ht="14.4" customHeight="1" x14ac:dyDescent="0.3">
      <c r="A12" s="581" t="s">
        <v>1134</v>
      </c>
      <c r="B12" s="647">
        <v>101057</v>
      </c>
      <c r="C12" s="547">
        <v>1.0928152778078162</v>
      </c>
      <c r="D12" s="647">
        <v>92474</v>
      </c>
      <c r="E12" s="547">
        <v>1</v>
      </c>
      <c r="F12" s="647">
        <v>109089</v>
      </c>
      <c r="G12" s="552">
        <v>1.1796721240564916</v>
      </c>
      <c r="H12" s="647"/>
      <c r="I12" s="547"/>
      <c r="J12" s="647"/>
      <c r="K12" s="547"/>
      <c r="L12" s="647"/>
      <c r="M12" s="552"/>
      <c r="N12" s="647"/>
      <c r="O12" s="547"/>
      <c r="P12" s="647"/>
      <c r="Q12" s="547"/>
      <c r="R12" s="647"/>
      <c r="S12" s="553"/>
    </row>
    <row r="13" spans="1:19" ht="14.4" customHeight="1" x14ac:dyDescent="0.3">
      <c r="A13" s="581" t="s">
        <v>1135</v>
      </c>
      <c r="B13" s="647">
        <v>62485</v>
      </c>
      <c r="C13" s="547">
        <v>0.84426639283349769</v>
      </c>
      <c r="D13" s="647">
        <v>74011</v>
      </c>
      <c r="E13" s="547">
        <v>1</v>
      </c>
      <c r="F13" s="647">
        <v>103416</v>
      </c>
      <c r="G13" s="552">
        <v>1.3973058058937184</v>
      </c>
      <c r="H13" s="647"/>
      <c r="I13" s="547"/>
      <c r="J13" s="647"/>
      <c r="K13" s="547"/>
      <c r="L13" s="647"/>
      <c r="M13" s="552"/>
      <c r="N13" s="647"/>
      <c r="O13" s="547"/>
      <c r="P13" s="647"/>
      <c r="Q13" s="547"/>
      <c r="R13" s="647"/>
      <c r="S13" s="553"/>
    </row>
    <row r="14" spans="1:19" ht="14.4" customHeight="1" x14ac:dyDescent="0.3">
      <c r="A14" s="581" t="s">
        <v>1136</v>
      </c>
      <c r="B14" s="647">
        <v>202051</v>
      </c>
      <c r="C14" s="547">
        <v>0.9533675578246058</v>
      </c>
      <c r="D14" s="647">
        <v>211934</v>
      </c>
      <c r="E14" s="547">
        <v>1</v>
      </c>
      <c r="F14" s="647">
        <v>178573</v>
      </c>
      <c r="G14" s="552">
        <v>0.84258778676380386</v>
      </c>
      <c r="H14" s="647"/>
      <c r="I14" s="547"/>
      <c r="J14" s="647"/>
      <c r="K14" s="547"/>
      <c r="L14" s="647"/>
      <c r="M14" s="552"/>
      <c r="N14" s="647"/>
      <c r="O14" s="547"/>
      <c r="P14" s="647"/>
      <c r="Q14" s="547"/>
      <c r="R14" s="647"/>
      <c r="S14" s="553"/>
    </row>
    <row r="15" spans="1:19" ht="14.4" customHeight="1" x14ac:dyDescent="0.3">
      <c r="A15" s="581" t="s">
        <v>1137</v>
      </c>
      <c r="B15" s="647">
        <v>26886</v>
      </c>
      <c r="C15" s="547">
        <v>0.74805931944019366</v>
      </c>
      <c r="D15" s="647">
        <v>35941</v>
      </c>
      <c r="E15" s="547">
        <v>1</v>
      </c>
      <c r="F15" s="647">
        <v>36668</v>
      </c>
      <c r="G15" s="552">
        <v>1.0202275952255084</v>
      </c>
      <c r="H15" s="647"/>
      <c r="I15" s="547"/>
      <c r="J15" s="647"/>
      <c r="K15" s="547"/>
      <c r="L15" s="647"/>
      <c r="M15" s="552"/>
      <c r="N15" s="647"/>
      <c r="O15" s="547"/>
      <c r="P15" s="647"/>
      <c r="Q15" s="547"/>
      <c r="R15" s="647"/>
      <c r="S15" s="553"/>
    </row>
    <row r="16" spans="1:19" ht="14.4" customHeight="1" x14ac:dyDescent="0.3">
      <c r="A16" s="581" t="s">
        <v>1138</v>
      </c>
      <c r="B16" s="647">
        <v>160824</v>
      </c>
      <c r="C16" s="547">
        <v>0.6884088058660115</v>
      </c>
      <c r="D16" s="647">
        <v>233617</v>
      </c>
      <c r="E16" s="547">
        <v>1</v>
      </c>
      <c r="F16" s="647">
        <v>133345</v>
      </c>
      <c r="G16" s="552">
        <v>0.57078466036290165</v>
      </c>
      <c r="H16" s="647"/>
      <c r="I16" s="547"/>
      <c r="J16" s="647"/>
      <c r="K16" s="547"/>
      <c r="L16" s="647"/>
      <c r="M16" s="552"/>
      <c r="N16" s="647"/>
      <c r="O16" s="547"/>
      <c r="P16" s="647"/>
      <c r="Q16" s="547"/>
      <c r="R16" s="647"/>
      <c r="S16" s="553"/>
    </row>
    <row r="17" spans="1:19" ht="14.4" customHeight="1" x14ac:dyDescent="0.3">
      <c r="A17" s="581" t="s">
        <v>1139</v>
      </c>
      <c r="B17" s="647">
        <v>102690</v>
      </c>
      <c r="C17" s="547">
        <v>1.2122965044211222</v>
      </c>
      <c r="D17" s="647">
        <v>84707</v>
      </c>
      <c r="E17" s="547">
        <v>1</v>
      </c>
      <c r="F17" s="647">
        <v>76217</v>
      </c>
      <c r="G17" s="552">
        <v>0.89977215578405567</v>
      </c>
      <c r="H17" s="647"/>
      <c r="I17" s="547"/>
      <c r="J17" s="647"/>
      <c r="K17" s="547"/>
      <c r="L17" s="647"/>
      <c r="M17" s="552"/>
      <c r="N17" s="647"/>
      <c r="O17" s="547"/>
      <c r="P17" s="647"/>
      <c r="Q17" s="547"/>
      <c r="R17" s="647"/>
      <c r="S17" s="553"/>
    </row>
    <row r="18" spans="1:19" ht="14.4" customHeight="1" x14ac:dyDescent="0.3">
      <c r="A18" s="581" t="s">
        <v>1140</v>
      </c>
      <c r="B18" s="647">
        <v>4517</v>
      </c>
      <c r="C18" s="547">
        <v>0.87318770539338875</v>
      </c>
      <c r="D18" s="647">
        <v>5173</v>
      </c>
      <c r="E18" s="547">
        <v>1</v>
      </c>
      <c r="F18" s="647">
        <v>18963</v>
      </c>
      <c r="G18" s="552">
        <v>3.6657645466847089</v>
      </c>
      <c r="H18" s="647"/>
      <c r="I18" s="547"/>
      <c r="J18" s="647"/>
      <c r="K18" s="547"/>
      <c r="L18" s="647"/>
      <c r="M18" s="552"/>
      <c r="N18" s="647"/>
      <c r="O18" s="547"/>
      <c r="P18" s="647"/>
      <c r="Q18" s="547"/>
      <c r="R18" s="647"/>
      <c r="S18" s="553"/>
    </row>
    <row r="19" spans="1:19" ht="14.4" customHeight="1" x14ac:dyDescent="0.3">
      <c r="A19" s="581" t="s">
        <v>1141</v>
      </c>
      <c r="B19" s="647"/>
      <c r="C19" s="547"/>
      <c r="D19" s="647">
        <v>822</v>
      </c>
      <c r="E19" s="547">
        <v>1</v>
      </c>
      <c r="F19" s="647"/>
      <c r="G19" s="552"/>
      <c r="H19" s="647"/>
      <c r="I19" s="547"/>
      <c r="J19" s="647"/>
      <c r="K19" s="547"/>
      <c r="L19" s="647"/>
      <c r="M19" s="552"/>
      <c r="N19" s="647"/>
      <c r="O19" s="547"/>
      <c r="P19" s="647"/>
      <c r="Q19" s="547"/>
      <c r="R19" s="647"/>
      <c r="S19" s="553"/>
    </row>
    <row r="20" spans="1:19" ht="14.4" customHeight="1" x14ac:dyDescent="0.3">
      <c r="A20" s="581" t="s">
        <v>1142</v>
      </c>
      <c r="B20" s="647">
        <v>36327</v>
      </c>
      <c r="C20" s="547">
        <v>0.88842965100638316</v>
      </c>
      <c r="D20" s="647">
        <v>40889</v>
      </c>
      <c r="E20" s="547">
        <v>1</v>
      </c>
      <c r="F20" s="647">
        <v>44936</v>
      </c>
      <c r="G20" s="552">
        <v>1.0989752745237105</v>
      </c>
      <c r="H20" s="647"/>
      <c r="I20" s="547"/>
      <c r="J20" s="647"/>
      <c r="K20" s="547"/>
      <c r="L20" s="647"/>
      <c r="M20" s="552"/>
      <c r="N20" s="647"/>
      <c r="O20" s="547"/>
      <c r="P20" s="647"/>
      <c r="Q20" s="547"/>
      <c r="R20" s="647"/>
      <c r="S20" s="553"/>
    </row>
    <row r="21" spans="1:19" ht="14.4" customHeight="1" x14ac:dyDescent="0.3">
      <c r="A21" s="581" t="s">
        <v>1143</v>
      </c>
      <c r="B21" s="647">
        <v>4092</v>
      </c>
      <c r="C21" s="547">
        <v>0.7268206039076377</v>
      </c>
      <c r="D21" s="647">
        <v>5630</v>
      </c>
      <c r="E21" s="547">
        <v>1</v>
      </c>
      <c r="F21" s="647">
        <v>10676</v>
      </c>
      <c r="G21" s="552">
        <v>1.8962699822380107</v>
      </c>
      <c r="H21" s="647"/>
      <c r="I21" s="547"/>
      <c r="J21" s="647"/>
      <c r="K21" s="547"/>
      <c r="L21" s="647"/>
      <c r="M21" s="552"/>
      <c r="N21" s="647"/>
      <c r="O21" s="547"/>
      <c r="P21" s="647"/>
      <c r="Q21" s="547"/>
      <c r="R21" s="647"/>
      <c r="S21" s="553"/>
    </row>
    <row r="22" spans="1:19" ht="14.4" customHeight="1" x14ac:dyDescent="0.3">
      <c r="A22" s="581" t="s">
        <v>1144</v>
      </c>
      <c r="B22" s="647">
        <v>4430</v>
      </c>
      <c r="C22" s="547">
        <v>6.4860907759882869</v>
      </c>
      <c r="D22" s="647">
        <v>683</v>
      </c>
      <c r="E22" s="547">
        <v>1</v>
      </c>
      <c r="F22" s="647"/>
      <c r="G22" s="552"/>
      <c r="H22" s="647"/>
      <c r="I22" s="547"/>
      <c r="J22" s="647"/>
      <c r="K22" s="547"/>
      <c r="L22" s="647"/>
      <c r="M22" s="552"/>
      <c r="N22" s="647"/>
      <c r="O22" s="547"/>
      <c r="P22" s="647"/>
      <c r="Q22" s="547"/>
      <c r="R22" s="647"/>
      <c r="S22" s="553"/>
    </row>
    <row r="23" spans="1:19" ht="14.4" customHeight="1" x14ac:dyDescent="0.3">
      <c r="A23" s="581" t="s">
        <v>1145</v>
      </c>
      <c r="B23" s="647">
        <v>53773</v>
      </c>
      <c r="C23" s="547">
        <v>1.1490448309756827</v>
      </c>
      <c r="D23" s="647">
        <v>46798</v>
      </c>
      <c r="E23" s="547">
        <v>1</v>
      </c>
      <c r="F23" s="647">
        <v>110298</v>
      </c>
      <c r="G23" s="552">
        <v>2.3568955938287961</v>
      </c>
      <c r="H23" s="647"/>
      <c r="I23" s="547"/>
      <c r="J23" s="647"/>
      <c r="K23" s="547"/>
      <c r="L23" s="647"/>
      <c r="M23" s="552"/>
      <c r="N23" s="647"/>
      <c r="O23" s="547"/>
      <c r="P23" s="647"/>
      <c r="Q23" s="547"/>
      <c r="R23" s="647"/>
      <c r="S23" s="553"/>
    </row>
    <row r="24" spans="1:19" ht="14.4" customHeight="1" x14ac:dyDescent="0.3">
      <c r="A24" s="581" t="s">
        <v>1146</v>
      </c>
      <c r="B24" s="647">
        <v>2611</v>
      </c>
      <c r="C24" s="547">
        <v>0.2918949133594187</v>
      </c>
      <c r="D24" s="647">
        <v>8945</v>
      </c>
      <c r="E24" s="547">
        <v>1</v>
      </c>
      <c r="F24" s="647">
        <v>26549</v>
      </c>
      <c r="G24" s="552">
        <v>2.9680268306316377</v>
      </c>
      <c r="H24" s="647"/>
      <c r="I24" s="547"/>
      <c r="J24" s="647"/>
      <c r="K24" s="547"/>
      <c r="L24" s="647"/>
      <c r="M24" s="552"/>
      <c r="N24" s="647"/>
      <c r="O24" s="547"/>
      <c r="P24" s="647"/>
      <c r="Q24" s="547"/>
      <c r="R24" s="647"/>
      <c r="S24" s="553"/>
    </row>
    <row r="25" spans="1:19" ht="14.4" customHeight="1" x14ac:dyDescent="0.3">
      <c r="A25" s="581" t="s">
        <v>1147</v>
      </c>
      <c r="B25" s="647">
        <v>670</v>
      </c>
      <c r="C25" s="547"/>
      <c r="D25" s="647"/>
      <c r="E25" s="547"/>
      <c r="F25" s="647">
        <v>692</v>
      </c>
      <c r="G25" s="552"/>
      <c r="H25" s="647"/>
      <c r="I25" s="547"/>
      <c r="J25" s="647"/>
      <c r="K25" s="547"/>
      <c r="L25" s="647"/>
      <c r="M25" s="552"/>
      <c r="N25" s="647"/>
      <c r="O25" s="547"/>
      <c r="P25" s="647"/>
      <c r="Q25" s="547"/>
      <c r="R25" s="647"/>
      <c r="S25" s="553"/>
    </row>
    <row r="26" spans="1:19" ht="14.4" customHeight="1" x14ac:dyDescent="0.3">
      <c r="A26" s="581" t="s">
        <v>1148</v>
      </c>
      <c r="B26" s="647">
        <v>25816</v>
      </c>
      <c r="C26" s="547">
        <v>1.8293650793650793</v>
      </c>
      <c r="D26" s="647">
        <v>14112</v>
      </c>
      <c r="E26" s="547">
        <v>1</v>
      </c>
      <c r="F26" s="647">
        <v>1925</v>
      </c>
      <c r="G26" s="552">
        <v>0.13640873015873015</v>
      </c>
      <c r="H26" s="647"/>
      <c r="I26" s="547"/>
      <c r="J26" s="647"/>
      <c r="K26" s="547"/>
      <c r="L26" s="647"/>
      <c r="M26" s="552"/>
      <c r="N26" s="647"/>
      <c r="O26" s="547"/>
      <c r="P26" s="647"/>
      <c r="Q26" s="547"/>
      <c r="R26" s="647"/>
      <c r="S26" s="553"/>
    </row>
    <row r="27" spans="1:19" ht="14.4" customHeight="1" x14ac:dyDescent="0.3">
      <c r="A27" s="581" t="s">
        <v>1149</v>
      </c>
      <c r="B27" s="647">
        <v>65461</v>
      </c>
      <c r="C27" s="547">
        <v>0.95418634481954401</v>
      </c>
      <c r="D27" s="647">
        <v>68604</v>
      </c>
      <c r="E27" s="547">
        <v>1</v>
      </c>
      <c r="F27" s="647">
        <v>73515</v>
      </c>
      <c r="G27" s="552">
        <v>1.0715847472450586</v>
      </c>
      <c r="H27" s="647"/>
      <c r="I27" s="547"/>
      <c r="J27" s="647"/>
      <c r="K27" s="547"/>
      <c r="L27" s="647"/>
      <c r="M27" s="552"/>
      <c r="N27" s="647"/>
      <c r="O27" s="547"/>
      <c r="P27" s="647"/>
      <c r="Q27" s="547"/>
      <c r="R27" s="647"/>
      <c r="S27" s="553"/>
    </row>
    <row r="28" spans="1:19" ht="14.4" customHeight="1" x14ac:dyDescent="0.3">
      <c r="A28" s="581" t="s">
        <v>1150</v>
      </c>
      <c r="B28" s="647">
        <v>347733</v>
      </c>
      <c r="C28" s="547">
        <v>0.88728221929636553</v>
      </c>
      <c r="D28" s="647">
        <v>391908</v>
      </c>
      <c r="E28" s="547">
        <v>1</v>
      </c>
      <c r="F28" s="647">
        <v>311646</v>
      </c>
      <c r="G28" s="552">
        <v>0.79520193514804494</v>
      </c>
      <c r="H28" s="647"/>
      <c r="I28" s="547"/>
      <c r="J28" s="647"/>
      <c r="K28" s="547"/>
      <c r="L28" s="647"/>
      <c r="M28" s="552"/>
      <c r="N28" s="647"/>
      <c r="O28" s="547"/>
      <c r="P28" s="647"/>
      <c r="Q28" s="547"/>
      <c r="R28" s="647"/>
      <c r="S28" s="553"/>
    </row>
    <row r="29" spans="1:19" ht="14.4" customHeight="1" x14ac:dyDescent="0.3">
      <c r="A29" s="581" t="s">
        <v>1151</v>
      </c>
      <c r="B29" s="647">
        <v>151181</v>
      </c>
      <c r="C29" s="547">
        <v>0.95416648258364212</v>
      </c>
      <c r="D29" s="647">
        <v>158443</v>
      </c>
      <c r="E29" s="547">
        <v>1</v>
      </c>
      <c r="F29" s="647">
        <v>128870</v>
      </c>
      <c r="G29" s="552">
        <v>0.81335243589177175</v>
      </c>
      <c r="H29" s="647"/>
      <c r="I29" s="547"/>
      <c r="J29" s="647"/>
      <c r="K29" s="547"/>
      <c r="L29" s="647"/>
      <c r="M29" s="552"/>
      <c r="N29" s="647"/>
      <c r="O29" s="547"/>
      <c r="P29" s="647"/>
      <c r="Q29" s="547"/>
      <c r="R29" s="647"/>
      <c r="S29" s="553"/>
    </row>
    <row r="30" spans="1:19" ht="14.4" customHeight="1" thickBot="1" x14ac:dyDescent="0.35">
      <c r="A30" s="651" t="s">
        <v>1152</v>
      </c>
      <c r="B30" s="649">
        <v>93322</v>
      </c>
      <c r="C30" s="555">
        <v>0.7999965710268917</v>
      </c>
      <c r="D30" s="649">
        <v>116653</v>
      </c>
      <c r="E30" s="555">
        <v>1</v>
      </c>
      <c r="F30" s="649">
        <v>164662</v>
      </c>
      <c r="G30" s="560">
        <v>1.411553924888344</v>
      </c>
      <c r="H30" s="649"/>
      <c r="I30" s="555"/>
      <c r="J30" s="649"/>
      <c r="K30" s="555"/>
      <c r="L30" s="649"/>
      <c r="M30" s="560"/>
      <c r="N30" s="649"/>
      <c r="O30" s="555"/>
      <c r="P30" s="649"/>
      <c r="Q30" s="555"/>
      <c r="R30" s="649"/>
      <c r="S30" s="56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3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6" t="s">
        <v>1178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</row>
    <row r="2" spans="1:17" ht="14.4" customHeight="1" thickBot="1" x14ac:dyDescent="0.35">
      <c r="A2" s="235" t="s">
        <v>291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13900</v>
      </c>
      <c r="G3" s="103">
        <f t="shared" si="0"/>
        <v>2188541</v>
      </c>
      <c r="H3" s="103"/>
      <c r="I3" s="103"/>
      <c r="J3" s="103">
        <f t="shared" si="0"/>
        <v>14510</v>
      </c>
      <c r="K3" s="103">
        <f t="shared" si="0"/>
        <v>2424778</v>
      </c>
      <c r="L3" s="103"/>
      <c r="M3" s="103"/>
      <c r="N3" s="103">
        <f t="shared" si="0"/>
        <v>13338</v>
      </c>
      <c r="O3" s="103">
        <f t="shared" si="0"/>
        <v>2317444</v>
      </c>
      <c r="P3" s="75">
        <f>IF(K3=0,0,O3/K3)</f>
        <v>0.95573450435462548</v>
      </c>
      <c r="Q3" s="104">
        <f>IF(N3=0,0,O3/N3)</f>
        <v>173.74748837906733</v>
      </c>
    </row>
    <row r="4" spans="1:17" ht="14.4" customHeight="1" x14ac:dyDescent="0.3">
      <c r="A4" s="429" t="s">
        <v>69</v>
      </c>
      <c r="B4" s="427" t="s">
        <v>95</v>
      </c>
      <c r="C4" s="429" t="s">
        <v>96</v>
      </c>
      <c r="D4" s="438" t="s">
        <v>97</v>
      </c>
      <c r="E4" s="430" t="s">
        <v>70</v>
      </c>
      <c r="F4" s="436">
        <v>2015</v>
      </c>
      <c r="G4" s="437"/>
      <c r="H4" s="105"/>
      <c r="I4" s="105"/>
      <c r="J4" s="436">
        <v>2016</v>
      </c>
      <c r="K4" s="437"/>
      <c r="L4" s="105"/>
      <c r="M4" s="105"/>
      <c r="N4" s="436">
        <v>2017</v>
      </c>
      <c r="O4" s="437"/>
      <c r="P4" s="439" t="s">
        <v>2</v>
      </c>
      <c r="Q4" s="428" t="s">
        <v>98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72</v>
      </c>
      <c r="G5" s="666" t="s">
        <v>14</v>
      </c>
      <c r="H5" s="667"/>
      <c r="I5" s="667"/>
      <c r="J5" s="665" t="s">
        <v>72</v>
      </c>
      <c r="K5" s="666" t="s">
        <v>14</v>
      </c>
      <c r="L5" s="667"/>
      <c r="M5" s="667"/>
      <c r="N5" s="665" t="s">
        <v>72</v>
      </c>
      <c r="O5" s="666" t="s">
        <v>14</v>
      </c>
      <c r="P5" s="668"/>
      <c r="Q5" s="661"/>
    </row>
    <row r="6" spans="1:17" ht="14.4" customHeight="1" x14ac:dyDescent="0.3">
      <c r="A6" s="539" t="s">
        <v>1153</v>
      </c>
      <c r="B6" s="540" t="s">
        <v>1062</v>
      </c>
      <c r="C6" s="540" t="s">
        <v>1048</v>
      </c>
      <c r="D6" s="540" t="s">
        <v>1066</v>
      </c>
      <c r="E6" s="540" t="s">
        <v>1067</v>
      </c>
      <c r="F6" s="116">
        <v>62</v>
      </c>
      <c r="G6" s="116">
        <v>12772</v>
      </c>
      <c r="H6" s="116">
        <v>0.8070774091627172</v>
      </c>
      <c r="I6" s="116">
        <v>206</v>
      </c>
      <c r="J6" s="116">
        <v>75</v>
      </c>
      <c r="K6" s="116">
        <v>15825</v>
      </c>
      <c r="L6" s="116">
        <v>1</v>
      </c>
      <c r="M6" s="116">
        <v>211</v>
      </c>
      <c r="N6" s="116">
        <v>26</v>
      </c>
      <c r="O6" s="116">
        <v>5486</v>
      </c>
      <c r="P6" s="545">
        <v>0.34666666666666668</v>
      </c>
      <c r="Q6" s="566">
        <v>211</v>
      </c>
    </row>
    <row r="7" spans="1:17" ht="14.4" customHeight="1" x14ac:dyDescent="0.3">
      <c r="A7" s="546" t="s">
        <v>1153</v>
      </c>
      <c r="B7" s="547" t="s">
        <v>1062</v>
      </c>
      <c r="C7" s="547" t="s">
        <v>1048</v>
      </c>
      <c r="D7" s="547" t="s">
        <v>1068</v>
      </c>
      <c r="E7" s="547" t="s">
        <v>1067</v>
      </c>
      <c r="F7" s="567"/>
      <c r="G7" s="567"/>
      <c r="H7" s="567"/>
      <c r="I7" s="567"/>
      <c r="J7" s="567"/>
      <c r="K7" s="567"/>
      <c r="L7" s="567"/>
      <c r="M7" s="567"/>
      <c r="N7" s="567">
        <v>2</v>
      </c>
      <c r="O7" s="567">
        <v>174</v>
      </c>
      <c r="P7" s="552"/>
      <c r="Q7" s="568">
        <v>87</v>
      </c>
    </row>
    <row r="8" spans="1:17" ht="14.4" customHeight="1" x14ac:dyDescent="0.3">
      <c r="A8" s="546" t="s">
        <v>1153</v>
      </c>
      <c r="B8" s="547" t="s">
        <v>1062</v>
      </c>
      <c r="C8" s="547" t="s">
        <v>1048</v>
      </c>
      <c r="D8" s="547" t="s">
        <v>1069</v>
      </c>
      <c r="E8" s="547" t="s">
        <v>1070</v>
      </c>
      <c r="F8" s="567">
        <v>75</v>
      </c>
      <c r="G8" s="567">
        <v>22125</v>
      </c>
      <c r="H8" s="567">
        <v>1.2673272998052469</v>
      </c>
      <c r="I8" s="567">
        <v>295</v>
      </c>
      <c r="J8" s="567">
        <v>58</v>
      </c>
      <c r="K8" s="567">
        <v>17458</v>
      </c>
      <c r="L8" s="567">
        <v>1</v>
      </c>
      <c r="M8" s="567">
        <v>301</v>
      </c>
      <c r="N8" s="567">
        <v>54</v>
      </c>
      <c r="O8" s="567">
        <v>16254</v>
      </c>
      <c r="P8" s="552">
        <v>0.93103448275862066</v>
      </c>
      <c r="Q8" s="568">
        <v>301</v>
      </c>
    </row>
    <row r="9" spans="1:17" ht="14.4" customHeight="1" x14ac:dyDescent="0.3">
      <c r="A9" s="546" t="s">
        <v>1153</v>
      </c>
      <c r="B9" s="547" t="s">
        <v>1062</v>
      </c>
      <c r="C9" s="547" t="s">
        <v>1048</v>
      </c>
      <c r="D9" s="547" t="s">
        <v>1071</v>
      </c>
      <c r="E9" s="547" t="s">
        <v>1072</v>
      </c>
      <c r="F9" s="567"/>
      <c r="G9" s="567"/>
      <c r="H9" s="567"/>
      <c r="I9" s="567"/>
      <c r="J9" s="567">
        <v>3</v>
      </c>
      <c r="K9" s="567">
        <v>297</v>
      </c>
      <c r="L9" s="567">
        <v>1</v>
      </c>
      <c r="M9" s="567">
        <v>99</v>
      </c>
      <c r="N9" s="567">
        <v>9</v>
      </c>
      <c r="O9" s="567">
        <v>891</v>
      </c>
      <c r="P9" s="552">
        <v>3</v>
      </c>
      <c r="Q9" s="568">
        <v>99</v>
      </c>
    </row>
    <row r="10" spans="1:17" ht="14.4" customHeight="1" x14ac:dyDescent="0.3">
      <c r="A10" s="546" t="s">
        <v>1153</v>
      </c>
      <c r="B10" s="547" t="s">
        <v>1062</v>
      </c>
      <c r="C10" s="547" t="s">
        <v>1048</v>
      </c>
      <c r="D10" s="547" t="s">
        <v>1073</v>
      </c>
      <c r="E10" s="547" t="s">
        <v>1074</v>
      </c>
      <c r="F10" s="567"/>
      <c r="G10" s="567"/>
      <c r="H10" s="567"/>
      <c r="I10" s="567"/>
      <c r="J10" s="567"/>
      <c r="K10" s="567"/>
      <c r="L10" s="567"/>
      <c r="M10" s="567"/>
      <c r="N10" s="567">
        <v>1</v>
      </c>
      <c r="O10" s="567">
        <v>232</v>
      </c>
      <c r="P10" s="552"/>
      <c r="Q10" s="568">
        <v>232</v>
      </c>
    </row>
    <row r="11" spans="1:17" ht="14.4" customHeight="1" x14ac:dyDescent="0.3">
      <c r="A11" s="546" t="s">
        <v>1153</v>
      </c>
      <c r="B11" s="547" t="s">
        <v>1062</v>
      </c>
      <c r="C11" s="547" t="s">
        <v>1048</v>
      </c>
      <c r="D11" s="547" t="s">
        <v>1075</v>
      </c>
      <c r="E11" s="547" t="s">
        <v>1076</v>
      </c>
      <c r="F11" s="567">
        <v>18</v>
      </c>
      <c r="G11" s="567">
        <v>2430</v>
      </c>
      <c r="H11" s="567">
        <v>0.77118375119009841</v>
      </c>
      <c r="I11" s="567">
        <v>135</v>
      </c>
      <c r="J11" s="567">
        <v>23</v>
      </c>
      <c r="K11" s="567">
        <v>3151</v>
      </c>
      <c r="L11" s="567">
        <v>1</v>
      </c>
      <c r="M11" s="567">
        <v>137</v>
      </c>
      <c r="N11" s="567">
        <v>32</v>
      </c>
      <c r="O11" s="567">
        <v>4384</v>
      </c>
      <c r="P11" s="552">
        <v>1.3913043478260869</v>
      </c>
      <c r="Q11" s="568">
        <v>137</v>
      </c>
    </row>
    <row r="12" spans="1:17" ht="14.4" customHeight="1" x14ac:dyDescent="0.3">
      <c r="A12" s="546" t="s">
        <v>1153</v>
      </c>
      <c r="B12" s="547" t="s">
        <v>1062</v>
      </c>
      <c r="C12" s="547" t="s">
        <v>1048</v>
      </c>
      <c r="D12" s="547" t="s">
        <v>1077</v>
      </c>
      <c r="E12" s="547" t="s">
        <v>1076</v>
      </c>
      <c r="F12" s="567"/>
      <c r="G12" s="567"/>
      <c r="H12" s="567"/>
      <c r="I12" s="567"/>
      <c r="J12" s="567"/>
      <c r="K12" s="567"/>
      <c r="L12" s="567"/>
      <c r="M12" s="567"/>
      <c r="N12" s="567">
        <v>2</v>
      </c>
      <c r="O12" s="567">
        <v>366</v>
      </c>
      <c r="P12" s="552"/>
      <c r="Q12" s="568">
        <v>183</v>
      </c>
    </row>
    <row r="13" spans="1:17" ht="14.4" customHeight="1" x14ac:dyDescent="0.3">
      <c r="A13" s="546" t="s">
        <v>1153</v>
      </c>
      <c r="B13" s="547" t="s">
        <v>1062</v>
      </c>
      <c r="C13" s="547" t="s">
        <v>1048</v>
      </c>
      <c r="D13" s="547" t="s">
        <v>1078</v>
      </c>
      <c r="E13" s="547" t="s">
        <v>1079</v>
      </c>
      <c r="F13" s="567"/>
      <c r="G13" s="567"/>
      <c r="H13" s="567"/>
      <c r="I13" s="567"/>
      <c r="J13" s="567">
        <v>1</v>
      </c>
      <c r="K13" s="567">
        <v>639</v>
      </c>
      <c r="L13" s="567">
        <v>1</v>
      </c>
      <c r="M13" s="567">
        <v>639</v>
      </c>
      <c r="N13" s="567">
        <v>1</v>
      </c>
      <c r="O13" s="567">
        <v>639</v>
      </c>
      <c r="P13" s="552">
        <v>1</v>
      </c>
      <c r="Q13" s="568">
        <v>639</v>
      </c>
    </row>
    <row r="14" spans="1:17" ht="14.4" customHeight="1" x14ac:dyDescent="0.3">
      <c r="A14" s="546" t="s">
        <v>1153</v>
      </c>
      <c r="B14" s="547" t="s">
        <v>1062</v>
      </c>
      <c r="C14" s="547" t="s">
        <v>1048</v>
      </c>
      <c r="D14" s="547" t="s">
        <v>1082</v>
      </c>
      <c r="E14" s="547" t="s">
        <v>1083</v>
      </c>
      <c r="F14" s="567">
        <v>2</v>
      </c>
      <c r="G14" s="567">
        <v>322</v>
      </c>
      <c r="H14" s="567">
        <v>0.62042389210019266</v>
      </c>
      <c r="I14" s="567">
        <v>161</v>
      </c>
      <c r="J14" s="567">
        <v>3</v>
      </c>
      <c r="K14" s="567">
        <v>519</v>
      </c>
      <c r="L14" s="567">
        <v>1</v>
      </c>
      <c r="M14" s="567">
        <v>173</v>
      </c>
      <c r="N14" s="567">
        <v>1</v>
      </c>
      <c r="O14" s="567">
        <v>173</v>
      </c>
      <c r="P14" s="552">
        <v>0.33333333333333331</v>
      </c>
      <c r="Q14" s="568">
        <v>173</v>
      </c>
    </row>
    <row r="15" spans="1:17" ht="14.4" customHeight="1" x14ac:dyDescent="0.3">
      <c r="A15" s="546" t="s">
        <v>1153</v>
      </c>
      <c r="B15" s="547" t="s">
        <v>1062</v>
      </c>
      <c r="C15" s="547" t="s">
        <v>1048</v>
      </c>
      <c r="D15" s="547" t="s">
        <v>1084</v>
      </c>
      <c r="E15" s="547" t="s">
        <v>1085</v>
      </c>
      <c r="F15" s="567">
        <v>55</v>
      </c>
      <c r="G15" s="567">
        <v>21065</v>
      </c>
      <c r="H15" s="567">
        <v>1.5237991898148149</v>
      </c>
      <c r="I15" s="567">
        <v>383</v>
      </c>
      <c r="J15" s="567">
        <v>36</v>
      </c>
      <c r="K15" s="567">
        <v>13824</v>
      </c>
      <c r="L15" s="567">
        <v>1</v>
      </c>
      <c r="M15" s="567">
        <v>384</v>
      </c>
      <c r="N15" s="567">
        <v>40</v>
      </c>
      <c r="O15" s="567">
        <v>13880</v>
      </c>
      <c r="P15" s="552">
        <v>1.0040509259259258</v>
      </c>
      <c r="Q15" s="568">
        <v>347</v>
      </c>
    </row>
    <row r="16" spans="1:17" ht="14.4" customHeight="1" x14ac:dyDescent="0.3">
      <c r="A16" s="546" t="s">
        <v>1153</v>
      </c>
      <c r="B16" s="547" t="s">
        <v>1062</v>
      </c>
      <c r="C16" s="547" t="s">
        <v>1048</v>
      </c>
      <c r="D16" s="547" t="s">
        <v>1086</v>
      </c>
      <c r="E16" s="547" t="s">
        <v>1087</v>
      </c>
      <c r="F16" s="567">
        <v>189</v>
      </c>
      <c r="G16" s="567">
        <v>3024</v>
      </c>
      <c r="H16" s="567">
        <v>0.91221719457013573</v>
      </c>
      <c r="I16" s="567">
        <v>16</v>
      </c>
      <c r="J16" s="567">
        <v>195</v>
      </c>
      <c r="K16" s="567">
        <v>3315</v>
      </c>
      <c r="L16" s="567">
        <v>1</v>
      </c>
      <c r="M16" s="567">
        <v>17</v>
      </c>
      <c r="N16" s="567">
        <v>186</v>
      </c>
      <c r="O16" s="567">
        <v>3162</v>
      </c>
      <c r="P16" s="552">
        <v>0.9538461538461539</v>
      </c>
      <c r="Q16" s="568">
        <v>17</v>
      </c>
    </row>
    <row r="17" spans="1:17" ht="14.4" customHeight="1" x14ac:dyDescent="0.3">
      <c r="A17" s="546" t="s">
        <v>1153</v>
      </c>
      <c r="B17" s="547" t="s">
        <v>1062</v>
      </c>
      <c r="C17" s="547" t="s">
        <v>1048</v>
      </c>
      <c r="D17" s="547" t="s">
        <v>1088</v>
      </c>
      <c r="E17" s="547" t="s">
        <v>1089</v>
      </c>
      <c r="F17" s="567">
        <v>11</v>
      </c>
      <c r="G17" s="567">
        <v>2926</v>
      </c>
      <c r="H17" s="567">
        <v>1.1908831908831909</v>
      </c>
      <c r="I17" s="567">
        <v>266</v>
      </c>
      <c r="J17" s="567">
        <v>9</v>
      </c>
      <c r="K17" s="567">
        <v>2457</v>
      </c>
      <c r="L17" s="567">
        <v>1</v>
      </c>
      <c r="M17" s="567">
        <v>273</v>
      </c>
      <c r="N17" s="567"/>
      <c r="O17" s="567"/>
      <c r="P17" s="552"/>
      <c r="Q17" s="568"/>
    </row>
    <row r="18" spans="1:17" ht="14.4" customHeight="1" x14ac:dyDescent="0.3">
      <c r="A18" s="546" t="s">
        <v>1153</v>
      </c>
      <c r="B18" s="547" t="s">
        <v>1062</v>
      </c>
      <c r="C18" s="547" t="s">
        <v>1048</v>
      </c>
      <c r="D18" s="547" t="s">
        <v>1090</v>
      </c>
      <c r="E18" s="547" t="s">
        <v>1091</v>
      </c>
      <c r="F18" s="567">
        <v>13</v>
      </c>
      <c r="G18" s="567">
        <v>1833</v>
      </c>
      <c r="H18" s="567">
        <v>0.8067781690140845</v>
      </c>
      <c r="I18" s="567">
        <v>141</v>
      </c>
      <c r="J18" s="567">
        <v>16</v>
      </c>
      <c r="K18" s="567">
        <v>2272</v>
      </c>
      <c r="L18" s="567">
        <v>1</v>
      </c>
      <c r="M18" s="567">
        <v>142</v>
      </c>
      <c r="N18" s="567">
        <v>7</v>
      </c>
      <c r="O18" s="567">
        <v>994</v>
      </c>
      <c r="P18" s="552">
        <v>0.4375</v>
      </c>
      <c r="Q18" s="568">
        <v>142</v>
      </c>
    </row>
    <row r="19" spans="1:17" ht="14.4" customHeight="1" x14ac:dyDescent="0.3">
      <c r="A19" s="546" t="s">
        <v>1153</v>
      </c>
      <c r="B19" s="547" t="s">
        <v>1062</v>
      </c>
      <c r="C19" s="547" t="s">
        <v>1048</v>
      </c>
      <c r="D19" s="547" t="s">
        <v>1092</v>
      </c>
      <c r="E19" s="547" t="s">
        <v>1091</v>
      </c>
      <c r="F19" s="567">
        <v>18</v>
      </c>
      <c r="G19" s="567">
        <v>1404</v>
      </c>
      <c r="H19" s="567">
        <v>0.78260869565217395</v>
      </c>
      <c r="I19" s="567">
        <v>78</v>
      </c>
      <c r="J19" s="567">
        <v>23</v>
      </c>
      <c r="K19" s="567">
        <v>1794</v>
      </c>
      <c r="L19" s="567">
        <v>1</v>
      </c>
      <c r="M19" s="567">
        <v>78</v>
      </c>
      <c r="N19" s="567">
        <v>32</v>
      </c>
      <c r="O19" s="567">
        <v>2496</v>
      </c>
      <c r="P19" s="552">
        <v>1.3913043478260869</v>
      </c>
      <c r="Q19" s="568">
        <v>78</v>
      </c>
    </row>
    <row r="20" spans="1:17" ht="14.4" customHeight="1" x14ac:dyDescent="0.3">
      <c r="A20" s="546" t="s">
        <v>1153</v>
      </c>
      <c r="B20" s="547" t="s">
        <v>1062</v>
      </c>
      <c r="C20" s="547" t="s">
        <v>1048</v>
      </c>
      <c r="D20" s="547" t="s">
        <v>1093</v>
      </c>
      <c r="E20" s="547" t="s">
        <v>1094</v>
      </c>
      <c r="F20" s="567">
        <v>13</v>
      </c>
      <c r="G20" s="567">
        <v>3991</v>
      </c>
      <c r="H20" s="567">
        <v>0.79692492012779548</v>
      </c>
      <c r="I20" s="567">
        <v>307</v>
      </c>
      <c r="J20" s="567">
        <v>16</v>
      </c>
      <c r="K20" s="567">
        <v>5008</v>
      </c>
      <c r="L20" s="567">
        <v>1</v>
      </c>
      <c r="M20" s="567">
        <v>313</v>
      </c>
      <c r="N20" s="567">
        <v>7</v>
      </c>
      <c r="O20" s="567">
        <v>2198</v>
      </c>
      <c r="P20" s="552">
        <v>0.43889776357827476</v>
      </c>
      <c r="Q20" s="568">
        <v>314</v>
      </c>
    </row>
    <row r="21" spans="1:17" ht="14.4" customHeight="1" x14ac:dyDescent="0.3">
      <c r="A21" s="546" t="s">
        <v>1153</v>
      </c>
      <c r="B21" s="547" t="s">
        <v>1062</v>
      </c>
      <c r="C21" s="547" t="s">
        <v>1048</v>
      </c>
      <c r="D21" s="547" t="s">
        <v>1095</v>
      </c>
      <c r="E21" s="547" t="s">
        <v>1096</v>
      </c>
      <c r="F21" s="567">
        <v>81</v>
      </c>
      <c r="G21" s="567">
        <v>39447</v>
      </c>
      <c r="H21" s="567">
        <v>0.99795081967213117</v>
      </c>
      <c r="I21" s="567">
        <v>487</v>
      </c>
      <c r="J21" s="567">
        <v>81</v>
      </c>
      <c r="K21" s="567">
        <v>39528</v>
      </c>
      <c r="L21" s="567">
        <v>1</v>
      </c>
      <c r="M21" s="567">
        <v>488</v>
      </c>
      <c r="N21" s="567">
        <v>93</v>
      </c>
      <c r="O21" s="567">
        <v>30504</v>
      </c>
      <c r="P21" s="552">
        <v>0.77170613236187002</v>
      </c>
      <c r="Q21" s="568">
        <v>328</v>
      </c>
    </row>
    <row r="22" spans="1:17" ht="14.4" customHeight="1" x14ac:dyDescent="0.3">
      <c r="A22" s="546" t="s">
        <v>1153</v>
      </c>
      <c r="B22" s="547" t="s">
        <v>1062</v>
      </c>
      <c r="C22" s="547" t="s">
        <v>1048</v>
      </c>
      <c r="D22" s="547" t="s">
        <v>1097</v>
      </c>
      <c r="E22" s="547" t="s">
        <v>1098</v>
      </c>
      <c r="F22" s="567">
        <v>76</v>
      </c>
      <c r="G22" s="567">
        <v>12236</v>
      </c>
      <c r="H22" s="567">
        <v>0.8530395984383714</v>
      </c>
      <c r="I22" s="567">
        <v>161</v>
      </c>
      <c r="J22" s="567">
        <v>88</v>
      </c>
      <c r="K22" s="567">
        <v>14344</v>
      </c>
      <c r="L22" s="567">
        <v>1</v>
      </c>
      <c r="M22" s="567">
        <v>163</v>
      </c>
      <c r="N22" s="567">
        <v>114</v>
      </c>
      <c r="O22" s="567">
        <v>18582</v>
      </c>
      <c r="P22" s="552">
        <v>1.2954545454545454</v>
      </c>
      <c r="Q22" s="568">
        <v>163</v>
      </c>
    </row>
    <row r="23" spans="1:17" ht="14.4" customHeight="1" x14ac:dyDescent="0.3">
      <c r="A23" s="546" t="s">
        <v>1153</v>
      </c>
      <c r="B23" s="547" t="s">
        <v>1062</v>
      </c>
      <c r="C23" s="547" t="s">
        <v>1048</v>
      </c>
      <c r="D23" s="547" t="s">
        <v>1101</v>
      </c>
      <c r="E23" s="547" t="s">
        <v>1067</v>
      </c>
      <c r="F23" s="567">
        <v>62</v>
      </c>
      <c r="G23" s="567">
        <v>4402</v>
      </c>
      <c r="H23" s="567">
        <v>0.86111111111111116</v>
      </c>
      <c r="I23" s="567">
        <v>71</v>
      </c>
      <c r="J23" s="567">
        <v>71</v>
      </c>
      <c r="K23" s="567">
        <v>5112</v>
      </c>
      <c r="L23" s="567">
        <v>1</v>
      </c>
      <c r="M23" s="567">
        <v>72</v>
      </c>
      <c r="N23" s="567">
        <v>101</v>
      </c>
      <c r="O23" s="567">
        <v>7272</v>
      </c>
      <c r="P23" s="552">
        <v>1.4225352112676057</v>
      </c>
      <c r="Q23" s="568">
        <v>72</v>
      </c>
    </row>
    <row r="24" spans="1:17" ht="14.4" customHeight="1" x14ac:dyDescent="0.3">
      <c r="A24" s="546" t="s">
        <v>1153</v>
      </c>
      <c r="B24" s="547" t="s">
        <v>1062</v>
      </c>
      <c r="C24" s="547" t="s">
        <v>1048</v>
      </c>
      <c r="D24" s="547" t="s">
        <v>1108</v>
      </c>
      <c r="E24" s="547" t="s">
        <v>1109</v>
      </c>
      <c r="F24" s="567">
        <v>2</v>
      </c>
      <c r="G24" s="567">
        <v>2390</v>
      </c>
      <c r="H24" s="567">
        <v>0.65785851913019544</v>
      </c>
      <c r="I24" s="567">
        <v>1195</v>
      </c>
      <c r="J24" s="567">
        <v>3</v>
      </c>
      <c r="K24" s="567">
        <v>3633</v>
      </c>
      <c r="L24" s="567">
        <v>1</v>
      </c>
      <c r="M24" s="567">
        <v>1211</v>
      </c>
      <c r="N24" s="567">
        <v>6</v>
      </c>
      <c r="O24" s="567">
        <v>7266</v>
      </c>
      <c r="P24" s="552">
        <v>2</v>
      </c>
      <c r="Q24" s="568">
        <v>1211</v>
      </c>
    </row>
    <row r="25" spans="1:17" ht="14.4" customHeight="1" x14ac:dyDescent="0.3">
      <c r="A25" s="546" t="s">
        <v>1153</v>
      </c>
      <c r="B25" s="547" t="s">
        <v>1062</v>
      </c>
      <c r="C25" s="547" t="s">
        <v>1048</v>
      </c>
      <c r="D25" s="547" t="s">
        <v>1110</v>
      </c>
      <c r="E25" s="547" t="s">
        <v>1111</v>
      </c>
      <c r="F25" s="567">
        <v>2</v>
      </c>
      <c r="G25" s="567">
        <v>220</v>
      </c>
      <c r="H25" s="567">
        <v>0.96491228070175439</v>
      </c>
      <c r="I25" s="567">
        <v>110</v>
      </c>
      <c r="J25" s="567">
        <v>2</v>
      </c>
      <c r="K25" s="567">
        <v>228</v>
      </c>
      <c r="L25" s="567">
        <v>1</v>
      </c>
      <c r="M25" s="567">
        <v>114</v>
      </c>
      <c r="N25" s="567">
        <v>5</v>
      </c>
      <c r="O25" s="567">
        <v>570</v>
      </c>
      <c r="P25" s="552">
        <v>2.5</v>
      </c>
      <c r="Q25" s="568">
        <v>114</v>
      </c>
    </row>
    <row r="26" spans="1:17" ht="14.4" customHeight="1" x14ac:dyDescent="0.3">
      <c r="A26" s="546" t="s">
        <v>1153</v>
      </c>
      <c r="B26" s="547" t="s">
        <v>1062</v>
      </c>
      <c r="C26" s="547" t="s">
        <v>1048</v>
      </c>
      <c r="D26" s="547" t="s">
        <v>1112</v>
      </c>
      <c r="E26" s="547" t="s">
        <v>1113</v>
      </c>
      <c r="F26" s="567"/>
      <c r="G26" s="567"/>
      <c r="H26" s="567"/>
      <c r="I26" s="567"/>
      <c r="J26" s="567"/>
      <c r="K26" s="567"/>
      <c r="L26" s="567"/>
      <c r="M26" s="567"/>
      <c r="N26" s="567">
        <v>1</v>
      </c>
      <c r="O26" s="567">
        <v>347</v>
      </c>
      <c r="P26" s="552"/>
      <c r="Q26" s="568">
        <v>347</v>
      </c>
    </row>
    <row r="27" spans="1:17" ht="14.4" customHeight="1" x14ac:dyDescent="0.3">
      <c r="A27" s="546" t="s">
        <v>1153</v>
      </c>
      <c r="B27" s="547" t="s">
        <v>1062</v>
      </c>
      <c r="C27" s="547" t="s">
        <v>1048</v>
      </c>
      <c r="D27" s="547" t="s">
        <v>1118</v>
      </c>
      <c r="E27" s="547" t="s">
        <v>1119</v>
      </c>
      <c r="F27" s="567"/>
      <c r="G27" s="567"/>
      <c r="H27" s="567"/>
      <c r="I27" s="567"/>
      <c r="J27" s="567"/>
      <c r="K27" s="567"/>
      <c r="L27" s="567"/>
      <c r="M27" s="567"/>
      <c r="N27" s="567">
        <v>1</v>
      </c>
      <c r="O27" s="567">
        <v>1065</v>
      </c>
      <c r="P27" s="552"/>
      <c r="Q27" s="568">
        <v>1065</v>
      </c>
    </row>
    <row r="28" spans="1:17" ht="14.4" customHeight="1" x14ac:dyDescent="0.3">
      <c r="A28" s="546" t="s">
        <v>1154</v>
      </c>
      <c r="B28" s="547" t="s">
        <v>1062</v>
      </c>
      <c r="C28" s="547" t="s">
        <v>1048</v>
      </c>
      <c r="D28" s="547" t="s">
        <v>1066</v>
      </c>
      <c r="E28" s="547" t="s">
        <v>1067</v>
      </c>
      <c r="F28" s="567">
        <v>162</v>
      </c>
      <c r="G28" s="567">
        <v>33372</v>
      </c>
      <c r="H28" s="567">
        <v>0.97031372663041893</v>
      </c>
      <c r="I28" s="567">
        <v>206</v>
      </c>
      <c r="J28" s="567">
        <v>163</v>
      </c>
      <c r="K28" s="567">
        <v>34393</v>
      </c>
      <c r="L28" s="567">
        <v>1</v>
      </c>
      <c r="M28" s="567">
        <v>211</v>
      </c>
      <c r="N28" s="567">
        <v>207</v>
      </c>
      <c r="O28" s="567">
        <v>43677</v>
      </c>
      <c r="P28" s="552">
        <v>1.2699386503067485</v>
      </c>
      <c r="Q28" s="568">
        <v>211</v>
      </c>
    </row>
    <row r="29" spans="1:17" ht="14.4" customHeight="1" x14ac:dyDescent="0.3">
      <c r="A29" s="546" t="s">
        <v>1154</v>
      </c>
      <c r="B29" s="547" t="s">
        <v>1062</v>
      </c>
      <c r="C29" s="547" t="s">
        <v>1048</v>
      </c>
      <c r="D29" s="547" t="s">
        <v>1068</v>
      </c>
      <c r="E29" s="547" t="s">
        <v>1067</v>
      </c>
      <c r="F29" s="567">
        <v>2</v>
      </c>
      <c r="G29" s="567">
        <v>170</v>
      </c>
      <c r="H29" s="567">
        <v>0.65134099616858232</v>
      </c>
      <c r="I29" s="567">
        <v>85</v>
      </c>
      <c r="J29" s="567">
        <v>3</v>
      </c>
      <c r="K29" s="567">
        <v>261</v>
      </c>
      <c r="L29" s="567">
        <v>1</v>
      </c>
      <c r="M29" s="567">
        <v>87</v>
      </c>
      <c r="N29" s="567">
        <v>1</v>
      </c>
      <c r="O29" s="567">
        <v>87</v>
      </c>
      <c r="P29" s="552">
        <v>0.33333333333333331</v>
      </c>
      <c r="Q29" s="568">
        <v>87</v>
      </c>
    </row>
    <row r="30" spans="1:17" ht="14.4" customHeight="1" x14ac:dyDescent="0.3">
      <c r="A30" s="546" t="s">
        <v>1154</v>
      </c>
      <c r="B30" s="547" t="s">
        <v>1062</v>
      </c>
      <c r="C30" s="547" t="s">
        <v>1048</v>
      </c>
      <c r="D30" s="547" t="s">
        <v>1069</v>
      </c>
      <c r="E30" s="547" t="s">
        <v>1070</v>
      </c>
      <c r="F30" s="567">
        <v>48</v>
      </c>
      <c r="G30" s="567">
        <v>14160</v>
      </c>
      <c r="H30" s="567">
        <v>0.15175222377022826</v>
      </c>
      <c r="I30" s="567">
        <v>295</v>
      </c>
      <c r="J30" s="567">
        <v>310</v>
      </c>
      <c r="K30" s="567">
        <v>93310</v>
      </c>
      <c r="L30" s="567">
        <v>1</v>
      </c>
      <c r="M30" s="567">
        <v>301</v>
      </c>
      <c r="N30" s="567">
        <v>129</v>
      </c>
      <c r="O30" s="567">
        <v>38829</v>
      </c>
      <c r="P30" s="552">
        <v>0.41612903225806452</v>
      </c>
      <c r="Q30" s="568">
        <v>301</v>
      </c>
    </row>
    <row r="31" spans="1:17" ht="14.4" customHeight="1" x14ac:dyDescent="0.3">
      <c r="A31" s="546" t="s">
        <v>1154</v>
      </c>
      <c r="B31" s="547" t="s">
        <v>1062</v>
      </c>
      <c r="C31" s="547" t="s">
        <v>1048</v>
      </c>
      <c r="D31" s="547" t="s">
        <v>1071</v>
      </c>
      <c r="E31" s="547" t="s">
        <v>1072</v>
      </c>
      <c r="F31" s="567"/>
      <c r="G31" s="567"/>
      <c r="H31" s="567"/>
      <c r="I31" s="567"/>
      <c r="J31" s="567">
        <v>9</v>
      </c>
      <c r="K31" s="567">
        <v>891</v>
      </c>
      <c r="L31" s="567">
        <v>1</v>
      </c>
      <c r="M31" s="567">
        <v>99</v>
      </c>
      <c r="N31" s="567"/>
      <c r="O31" s="567"/>
      <c r="P31" s="552"/>
      <c r="Q31" s="568"/>
    </row>
    <row r="32" spans="1:17" ht="14.4" customHeight="1" x14ac:dyDescent="0.3">
      <c r="A32" s="546" t="s">
        <v>1154</v>
      </c>
      <c r="B32" s="547" t="s">
        <v>1062</v>
      </c>
      <c r="C32" s="547" t="s">
        <v>1048</v>
      </c>
      <c r="D32" s="547" t="s">
        <v>1075</v>
      </c>
      <c r="E32" s="547" t="s">
        <v>1076</v>
      </c>
      <c r="F32" s="567">
        <v>42</v>
      </c>
      <c r="G32" s="567">
        <v>5670</v>
      </c>
      <c r="H32" s="567">
        <v>1.0346715328467153</v>
      </c>
      <c r="I32" s="567">
        <v>135</v>
      </c>
      <c r="J32" s="567">
        <v>40</v>
      </c>
      <c r="K32" s="567">
        <v>5480</v>
      </c>
      <c r="L32" s="567">
        <v>1</v>
      </c>
      <c r="M32" s="567">
        <v>137</v>
      </c>
      <c r="N32" s="567">
        <v>41</v>
      </c>
      <c r="O32" s="567">
        <v>5617</v>
      </c>
      <c r="P32" s="552">
        <v>1.0249999999999999</v>
      </c>
      <c r="Q32" s="568">
        <v>137</v>
      </c>
    </row>
    <row r="33" spans="1:17" ht="14.4" customHeight="1" x14ac:dyDescent="0.3">
      <c r="A33" s="546" t="s">
        <v>1154</v>
      </c>
      <c r="B33" s="547" t="s">
        <v>1062</v>
      </c>
      <c r="C33" s="547" t="s">
        <v>1048</v>
      </c>
      <c r="D33" s="547" t="s">
        <v>1077</v>
      </c>
      <c r="E33" s="547" t="s">
        <v>1076</v>
      </c>
      <c r="F33" s="567">
        <v>1</v>
      </c>
      <c r="G33" s="567">
        <v>178</v>
      </c>
      <c r="H33" s="567">
        <v>0.97267759562841527</v>
      </c>
      <c r="I33" s="567">
        <v>178</v>
      </c>
      <c r="J33" s="567">
        <v>1</v>
      </c>
      <c r="K33" s="567">
        <v>183</v>
      </c>
      <c r="L33" s="567">
        <v>1</v>
      </c>
      <c r="M33" s="567">
        <v>183</v>
      </c>
      <c r="N33" s="567">
        <v>1</v>
      </c>
      <c r="O33" s="567">
        <v>183</v>
      </c>
      <c r="P33" s="552">
        <v>1</v>
      </c>
      <c r="Q33" s="568">
        <v>183</v>
      </c>
    </row>
    <row r="34" spans="1:17" ht="14.4" customHeight="1" x14ac:dyDescent="0.3">
      <c r="A34" s="546" t="s">
        <v>1154</v>
      </c>
      <c r="B34" s="547" t="s">
        <v>1062</v>
      </c>
      <c r="C34" s="547" t="s">
        <v>1048</v>
      </c>
      <c r="D34" s="547" t="s">
        <v>1078</v>
      </c>
      <c r="E34" s="547" t="s">
        <v>1079</v>
      </c>
      <c r="F34" s="567"/>
      <c r="G34" s="567"/>
      <c r="H34" s="567"/>
      <c r="I34" s="567"/>
      <c r="J34" s="567">
        <v>1</v>
      </c>
      <c r="K34" s="567">
        <v>639</v>
      </c>
      <c r="L34" s="567">
        <v>1</v>
      </c>
      <c r="M34" s="567">
        <v>639</v>
      </c>
      <c r="N34" s="567"/>
      <c r="O34" s="567"/>
      <c r="P34" s="552"/>
      <c r="Q34" s="568"/>
    </row>
    <row r="35" spans="1:17" ht="14.4" customHeight="1" x14ac:dyDescent="0.3">
      <c r="A35" s="546" t="s">
        <v>1154</v>
      </c>
      <c r="B35" s="547" t="s">
        <v>1062</v>
      </c>
      <c r="C35" s="547" t="s">
        <v>1048</v>
      </c>
      <c r="D35" s="547" t="s">
        <v>1080</v>
      </c>
      <c r="E35" s="547" t="s">
        <v>1081</v>
      </c>
      <c r="F35" s="567"/>
      <c r="G35" s="567"/>
      <c r="H35" s="567"/>
      <c r="I35" s="567"/>
      <c r="J35" s="567"/>
      <c r="K35" s="567"/>
      <c r="L35" s="567"/>
      <c r="M35" s="567"/>
      <c r="N35" s="567">
        <v>1</v>
      </c>
      <c r="O35" s="567">
        <v>608</v>
      </c>
      <c r="P35" s="552"/>
      <c r="Q35" s="568">
        <v>608</v>
      </c>
    </row>
    <row r="36" spans="1:17" ht="14.4" customHeight="1" x14ac:dyDescent="0.3">
      <c r="A36" s="546" t="s">
        <v>1154</v>
      </c>
      <c r="B36" s="547" t="s">
        <v>1062</v>
      </c>
      <c r="C36" s="547" t="s">
        <v>1048</v>
      </c>
      <c r="D36" s="547" t="s">
        <v>1082</v>
      </c>
      <c r="E36" s="547" t="s">
        <v>1083</v>
      </c>
      <c r="F36" s="567">
        <v>2</v>
      </c>
      <c r="G36" s="567">
        <v>322</v>
      </c>
      <c r="H36" s="567">
        <v>0.26589595375722541</v>
      </c>
      <c r="I36" s="567">
        <v>161</v>
      </c>
      <c r="J36" s="567">
        <v>7</v>
      </c>
      <c r="K36" s="567">
        <v>1211</v>
      </c>
      <c r="L36" s="567">
        <v>1</v>
      </c>
      <c r="M36" s="567">
        <v>173</v>
      </c>
      <c r="N36" s="567">
        <v>7</v>
      </c>
      <c r="O36" s="567">
        <v>1211</v>
      </c>
      <c r="P36" s="552">
        <v>1</v>
      </c>
      <c r="Q36" s="568">
        <v>173</v>
      </c>
    </row>
    <row r="37" spans="1:17" ht="14.4" customHeight="1" x14ac:dyDescent="0.3">
      <c r="A37" s="546" t="s">
        <v>1154</v>
      </c>
      <c r="B37" s="547" t="s">
        <v>1062</v>
      </c>
      <c r="C37" s="547" t="s">
        <v>1048</v>
      </c>
      <c r="D37" s="547" t="s">
        <v>1086</v>
      </c>
      <c r="E37" s="547" t="s">
        <v>1087</v>
      </c>
      <c r="F37" s="567">
        <v>96</v>
      </c>
      <c r="G37" s="567">
        <v>1536</v>
      </c>
      <c r="H37" s="567">
        <v>0.94117647058823528</v>
      </c>
      <c r="I37" s="567">
        <v>16</v>
      </c>
      <c r="J37" s="567">
        <v>96</v>
      </c>
      <c r="K37" s="567">
        <v>1632</v>
      </c>
      <c r="L37" s="567">
        <v>1</v>
      </c>
      <c r="M37" s="567">
        <v>17</v>
      </c>
      <c r="N37" s="567">
        <v>3</v>
      </c>
      <c r="O37" s="567">
        <v>51</v>
      </c>
      <c r="P37" s="552">
        <v>3.125E-2</v>
      </c>
      <c r="Q37" s="568">
        <v>17</v>
      </c>
    </row>
    <row r="38" spans="1:17" ht="14.4" customHeight="1" x14ac:dyDescent="0.3">
      <c r="A38" s="546" t="s">
        <v>1154</v>
      </c>
      <c r="B38" s="547" t="s">
        <v>1062</v>
      </c>
      <c r="C38" s="547" t="s">
        <v>1048</v>
      </c>
      <c r="D38" s="547" t="s">
        <v>1088</v>
      </c>
      <c r="E38" s="547" t="s">
        <v>1089</v>
      </c>
      <c r="F38" s="567">
        <v>39</v>
      </c>
      <c r="G38" s="567">
        <v>10374</v>
      </c>
      <c r="H38" s="567">
        <v>1.0555555555555556</v>
      </c>
      <c r="I38" s="567">
        <v>266</v>
      </c>
      <c r="J38" s="567">
        <v>36</v>
      </c>
      <c r="K38" s="567">
        <v>9828</v>
      </c>
      <c r="L38" s="567">
        <v>1</v>
      </c>
      <c r="M38" s="567">
        <v>273</v>
      </c>
      <c r="N38" s="567"/>
      <c r="O38" s="567"/>
      <c r="P38" s="552"/>
      <c r="Q38" s="568"/>
    </row>
    <row r="39" spans="1:17" ht="14.4" customHeight="1" x14ac:dyDescent="0.3">
      <c r="A39" s="546" t="s">
        <v>1154</v>
      </c>
      <c r="B39" s="547" t="s">
        <v>1062</v>
      </c>
      <c r="C39" s="547" t="s">
        <v>1048</v>
      </c>
      <c r="D39" s="547" t="s">
        <v>1090</v>
      </c>
      <c r="E39" s="547" t="s">
        <v>1091</v>
      </c>
      <c r="F39" s="567">
        <v>50</v>
      </c>
      <c r="G39" s="567">
        <v>7050</v>
      </c>
      <c r="H39" s="567">
        <v>1.034330985915493</v>
      </c>
      <c r="I39" s="567">
        <v>141</v>
      </c>
      <c r="J39" s="567">
        <v>48</v>
      </c>
      <c r="K39" s="567">
        <v>6816</v>
      </c>
      <c r="L39" s="567">
        <v>1</v>
      </c>
      <c r="M39" s="567">
        <v>142</v>
      </c>
      <c r="N39" s="567">
        <v>48</v>
      </c>
      <c r="O39" s="567">
        <v>6816</v>
      </c>
      <c r="P39" s="552">
        <v>1</v>
      </c>
      <c r="Q39" s="568">
        <v>142</v>
      </c>
    </row>
    <row r="40" spans="1:17" ht="14.4" customHeight="1" x14ac:dyDescent="0.3">
      <c r="A40" s="546" t="s">
        <v>1154</v>
      </c>
      <c r="B40" s="547" t="s">
        <v>1062</v>
      </c>
      <c r="C40" s="547" t="s">
        <v>1048</v>
      </c>
      <c r="D40" s="547" t="s">
        <v>1092</v>
      </c>
      <c r="E40" s="547" t="s">
        <v>1091</v>
      </c>
      <c r="F40" s="567">
        <v>42</v>
      </c>
      <c r="G40" s="567">
        <v>3276</v>
      </c>
      <c r="H40" s="567">
        <v>1.05</v>
      </c>
      <c r="I40" s="567">
        <v>78</v>
      </c>
      <c r="J40" s="567">
        <v>40</v>
      </c>
      <c r="K40" s="567">
        <v>3120</v>
      </c>
      <c r="L40" s="567">
        <v>1</v>
      </c>
      <c r="M40" s="567">
        <v>78</v>
      </c>
      <c r="N40" s="567">
        <v>41</v>
      </c>
      <c r="O40" s="567">
        <v>3198</v>
      </c>
      <c r="P40" s="552">
        <v>1.0249999999999999</v>
      </c>
      <c r="Q40" s="568">
        <v>78</v>
      </c>
    </row>
    <row r="41" spans="1:17" ht="14.4" customHeight="1" x14ac:dyDescent="0.3">
      <c r="A41" s="546" t="s">
        <v>1154</v>
      </c>
      <c r="B41" s="547" t="s">
        <v>1062</v>
      </c>
      <c r="C41" s="547" t="s">
        <v>1048</v>
      </c>
      <c r="D41" s="547" t="s">
        <v>1093</v>
      </c>
      <c r="E41" s="547" t="s">
        <v>1094</v>
      </c>
      <c r="F41" s="567">
        <v>50</v>
      </c>
      <c r="G41" s="567">
        <v>15350</v>
      </c>
      <c r="H41" s="567">
        <v>1.0216986155484558</v>
      </c>
      <c r="I41" s="567">
        <v>307</v>
      </c>
      <c r="J41" s="567">
        <v>48</v>
      </c>
      <c r="K41" s="567">
        <v>15024</v>
      </c>
      <c r="L41" s="567">
        <v>1</v>
      </c>
      <c r="M41" s="567">
        <v>313</v>
      </c>
      <c r="N41" s="567">
        <v>48</v>
      </c>
      <c r="O41" s="567">
        <v>15072</v>
      </c>
      <c r="P41" s="552">
        <v>1.0031948881789137</v>
      </c>
      <c r="Q41" s="568">
        <v>314</v>
      </c>
    </row>
    <row r="42" spans="1:17" ht="14.4" customHeight="1" x14ac:dyDescent="0.3">
      <c r="A42" s="546" t="s">
        <v>1154</v>
      </c>
      <c r="B42" s="547" t="s">
        <v>1062</v>
      </c>
      <c r="C42" s="547" t="s">
        <v>1048</v>
      </c>
      <c r="D42" s="547" t="s">
        <v>1097</v>
      </c>
      <c r="E42" s="547" t="s">
        <v>1098</v>
      </c>
      <c r="F42" s="567">
        <v>29</v>
      </c>
      <c r="G42" s="567">
        <v>4669</v>
      </c>
      <c r="H42" s="567">
        <v>1.0608952510793002</v>
      </c>
      <c r="I42" s="567">
        <v>161</v>
      </c>
      <c r="J42" s="567">
        <v>27</v>
      </c>
      <c r="K42" s="567">
        <v>4401</v>
      </c>
      <c r="L42" s="567">
        <v>1</v>
      </c>
      <c r="M42" s="567">
        <v>163</v>
      </c>
      <c r="N42" s="567">
        <v>82</v>
      </c>
      <c r="O42" s="567">
        <v>13366</v>
      </c>
      <c r="P42" s="552">
        <v>3.0370370370370372</v>
      </c>
      <c r="Q42" s="568">
        <v>163</v>
      </c>
    </row>
    <row r="43" spans="1:17" ht="14.4" customHeight="1" x14ac:dyDescent="0.3">
      <c r="A43" s="546" t="s">
        <v>1154</v>
      </c>
      <c r="B43" s="547" t="s">
        <v>1062</v>
      </c>
      <c r="C43" s="547" t="s">
        <v>1048</v>
      </c>
      <c r="D43" s="547" t="s">
        <v>1101</v>
      </c>
      <c r="E43" s="547" t="s">
        <v>1067</v>
      </c>
      <c r="F43" s="567">
        <v>154</v>
      </c>
      <c r="G43" s="567">
        <v>10934</v>
      </c>
      <c r="H43" s="567">
        <v>1.0473180076628352</v>
      </c>
      <c r="I43" s="567">
        <v>71</v>
      </c>
      <c r="J43" s="567">
        <v>145</v>
      </c>
      <c r="K43" s="567">
        <v>10440</v>
      </c>
      <c r="L43" s="567">
        <v>1</v>
      </c>
      <c r="M43" s="567">
        <v>72</v>
      </c>
      <c r="N43" s="567">
        <v>121</v>
      </c>
      <c r="O43" s="567">
        <v>8712</v>
      </c>
      <c r="P43" s="552">
        <v>0.83448275862068966</v>
      </c>
      <c r="Q43" s="568">
        <v>72</v>
      </c>
    </row>
    <row r="44" spans="1:17" ht="14.4" customHeight="1" x14ac:dyDescent="0.3">
      <c r="A44" s="546" t="s">
        <v>1154</v>
      </c>
      <c r="B44" s="547" t="s">
        <v>1062</v>
      </c>
      <c r="C44" s="547" t="s">
        <v>1048</v>
      </c>
      <c r="D44" s="547" t="s">
        <v>1106</v>
      </c>
      <c r="E44" s="547" t="s">
        <v>1107</v>
      </c>
      <c r="F44" s="567">
        <v>3</v>
      </c>
      <c r="G44" s="567">
        <v>660</v>
      </c>
      <c r="H44" s="567">
        <v>2.8820960698689957</v>
      </c>
      <c r="I44" s="567">
        <v>220</v>
      </c>
      <c r="J44" s="567">
        <v>1</v>
      </c>
      <c r="K44" s="567">
        <v>229</v>
      </c>
      <c r="L44" s="567">
        <v>1</v>
      </c>
      <c r="M44" s="567">
        <v>229</v>
      </c>
      <c r="N44" s="567"/>
      <c r="O44" s="567"/>
      <c r="P44" s="552"/>
      <c r="Q44" s="568"/>
    </row>
    <row r="45" spans="1:17" ht="14.4" customHeight="1" x14ac:dyDescent="0.3">
      <c r="A45" s="546" t="s">
        <v>1154</v>
      </c>
      <c r="B45" s="547" t="s">
        <v>1062</v>
      </c>
      <c r="C45" s="547" t="s">
        <v>1048</v>
      </c>
      <c r="D45" s="547" t="s">
        <v>1108</v>
      </c>
      <c r="E45" s="547" t="s">
        <v>1109</v>
      </c>
      <c r="F45" s="567">
        <v>1</v>
      </c>
      <c r="G45" s="567">
        <v>1195</v>
      </c>
      <c r="H45" s="567">
        <v>9.8678777869529319E-2</v>
      </c>
      <c r="I45" s="567">
        <v>1195</v>
      </c>
      <c r="J45" s="567">
        <v>10</v>
      </c>
      <c r="K45" s="567">
        <v>12110</v>
      </c>
      <c r="L45" s="567">
        <v>1</v>
      </c>
      <c r="M45" s="567">
        <v>1211</v>
      </c>
      <c r="N45" s="567">
        <v>4</v>
      </c>
      <c r="O45" s="567">
        <v>4844</v>
      </c>
      <c r="P45" s="552">
        <v>0.4</v>
      </c>
      <c r="Q45" s="568">
        <v>1211</v>
      </c>
    </row>
    <row r="46" spans="1:17" ht="14.4" customHeight="1" x14ac:dyDescent="0.3">
      <c r="A46" s="546" t="s">
        <v>1154</v>
      </c>
      <c r="B46" s="547" t="s">
        <v>1062</v>
      </c>
      <c r="C46" s="547" t="s">
        <v>1048</v>
      </c>
      <c r="D46" s="547" t="s">
        <v>1110</v>
      </c>
      <c r="E46" s="547" t="s">
        <v>1111</v>
      </c>
      <c r="F46" s="567">
        <v>2</v>
      </c>
      <c r="G46" s="567">
        <v>220</v>
      </c>
      <c r="H46" s="567">
        <v>0.2412280701754386</v>
      </c>
      <c r="I46" s="567">
        <v>110</v>
      </c>
      <c r="J46" s="567">
        <v>8</v>
      </c>
      <c r="K46" s="567">
        <v>912</v>
      </c>
      <c r="L46" s="567">
        <v>1</v>
      </c>
      <c r="M46" s="567">
        <v>114</v>
      </c>
      <c r="N46" s="567">
        <v>4</v>
      </c>
      <c r="O46" s="567">
        <v>456</v>
      </c>
      <c r="P46" s="552">
        <v>0.5</v>
      </c>
      <c r="Q46" s="568">
        <v>114</v>
      </c>
    </row>
    <row r="47" spans="1:17" ht="14.4" customHeight="1" x14ac:dyDescent="0.3">
      <c r="A47" s="546" t="s">
        <v>1154</v>
      </c>
      <c r="B47" s="547" t="s">
        <v>1062</v>
      </c>
      <c r="C47" s="547" t="s">
        <v>1048</v>
      </c>
      <c r="D47" s="547" t="s">
        <v>1112</v>
      </c>
      <c r="E47" s="547" t="s">
        <v>1113</v>
      </c>
      <c r="F47" s="567">
        <v>1</v>
      </c>
      <c r="G47" s="567">
        <v>323</v>
      </c>
      <c r="H47" s="567">
        <v>0.4667630057803468</v>
      </c>
      <c r="I47" s="567">
        <v>323</v>
      </c>
      <c r="J47" s="567">
        <v>2</v>
      </c>
      <c r="K47" s="567">
        <v>692</v>
      </c>
      <c r="L47" s="567">
        <v>1</v>
      </c>
      <c r="M47" s="567">
        <v>346</v>
      </c>
      <c r="N47" s="567"/>
      <c r="O47" s="567"/>
      <c r="P47" s="552"/>
      <c r="Q47" s="568"/>
    </row>
    <row r="48" spans="1:17" ht="14.4" customHeight="1" x14ac:dyDescent="0.3">
      <c r="A48" s="546" t="s">
        <v>1154</v>
      </c>
      <c r="B48" s="547" t="s">
        <v>1062</v>
      </c>
      <c r="C48" s="547" t="s">
        <v>1048</v>
      </c>
      <c r="D48" s="547" t="s">
        <v>1118</v>
      </c>
      <c r="E48" s="547" t="s">
        <v>1119</v>
      </c>
      <c r="F48" s="567">
        <v>1</v>
      </c>
      <c r="G48" s="567">
        <v>1033</v>
      </c>
      <c r="H48" s="567">
        <v>0.97086466165413532</v>
      </c>
      <c r="I48" s="567">
        <v>1033</v>
      </c>
      <c r="J48" s="567">
        <v>1</v>
      </c>
      <c r="K48" s="567">
        <v>1064</v>
      </c>
      <c r="L48" s="567">
        <v>1</v>
      </c>
      <c r="M48" s="567">
        <v>1064</v>
      </c>
      <c r="N48" s="567"/>
      <c r="O48" s="567"/>
      <c r="P48" s="552"/>
      <c r="Q48" s="568"/>
    </row>
    <row r="49" spans="1:17" ht="14.4" customHeight="1" x14ac:dyDescent="0.3">
      <c r="A49" s="546" t="s">
        <v>1154</v>
      </c>
      <c r="B49" s="547" t="s">
        <v>1062</v>
      </c>
      <c r="C49" s="547" t="s">
        <v>1048</v>
      </c>
      <c r="D49" s="547" t="s">
        <v>1120</v>
      </c>
      <c r="E49" s="547" t="s">
        <v>1121</v>
      </c>
      <c r="F49" s="567"/>
      <c r="G49" s="567"/>
      <c r="H49" s="567"/>
      <c r="I49" s="567"/>
      <c r="J49" s="567">
        <v>2</v>
      </c>
      <c r="K49" s="567">
        <v>602</v>
      </c>
      <c r="L49" s="567">
        <v>1</v>
      </c>
      <c r="M49" s="567">
        <v>301</v>
      </c>
      <c r="N49" s="567"/>
      <c r="O49" s="567"/>
      <c r="P49" s="552"/>
      <c r="Q49" s="568"/>
    </row>
    <row r="50" spans="1:17" ht="14.4" customHeight="1" x14ac:dyDescent="0.3">
      <c r="A50" s="546" t="s">
        <v>1155</v>
      </c>
      <c r="B50" s="547" t="s">
        <v>1062</v>
      </c>
      <c r="C50" s="547" t="s">
        <v>1048</v>
      </c>
      <c r="D50" s="547" t="s">
        <v>1066</v>
      </c>
      <c r="E50" s="547" t="s">
        <v>1067</v>
      </c>
      <c r="F50" s="567">
        <v>33</v>
      </c>
      <c r="G50" s="567">
        <v>6798</v>
      </c>
      <c r="H50" s="567">
        <v>1.1109658440921719</v>
      </c>
      <c r="I50" s="567">
        <v>206</v>
      </c>
      <c r="J50" s="567">
        <v>29</v>
      </c>
      <c r="K50" s="567">
        <v>6119</v>
      </c>
      <c r="L50" s="567">
        <v>1</v>
      </c>
      <c r="M50" s="567">
        <v>211</v>
      </c>
      <c r="N50" s="567">
        <v>38</v>
      </c>
      <c r="O50" s="567">
        <v>8018</v>
      </c>
      <c r="P50" s="552">
        <v>1.3103448275862069</v>
      </c>
      <c r="Q50" s="568">
        <v>211</v>
      </c>
    </row>
    <row r="51" spans="1:17" ht="14.4" customHeight="1" x14ac:dyDescent="0.3">
      <c r="A51" s="546" t="s">
        <v>1155</v>
      </c>
      <c r="B51" s="547" t="s">
        <v>1062</v>
      </c>
      <c r="C51" s="547" t="s">
        <v>1048</v>
      </c>
      <c r="D51" s="547" t="s">
        <v>1068</v>
      </c>
      <c r="E51" s="547" t="s">
        <v>1067</v>
      </c>
      <c r="F51" s="567">
        <v>4</v>
      </c>
      <c r="G51" s="567">
        <v>340</v>
      </c>
      <c r="H51" s="567">
        <v>0.7816091954022989</v>
      </c>
      <c r="I51" s="567">
        <v>85</v>
      </c>
      <c r="J51" s="567">
        <v>5</v>
      </c>
      <c r="K51" s="567">
        <v>435</v>
      </c>
      <c r="L51" s="567">
        <v>1</v>
      </c>
      <c r="M51" s="567">
        <v>87</v>
      </c>
      <c r="N51" s="567">
        <v>3</v>
      </c>
      <c r="O51" s="567">
        <v>261</v>
      </c>
      <c r="P51" s="552">
        <v>0.6</v>
      </c>
      <c r="Q51" s="568">
        <v>87</v>
      </c>
    </row>
    <row r="52" spans="1:17" ht="14.4" customHeight="1" x14ac:dyDescent="0.3">
      <c r="A52" s="546" t="s">
        <v>1155</v>
      </c>
      <c r="B52" s="547" t="s">
        <v>1062</v>
      </c>
      <c r="C52" s="547" t="s">
        <v>1048</v>
      </c>
      <c r="D52" s="547" t="s">
        <v>1069</v>
      </c>
      <c r="E52" s="547" t="s">
        <v>1070</v>
      </c>
      <c r="F52" s="567">
        <v>169</v>
      </c>
      <c r="G52" s="567">
        <v>49855</v>
      </c>
      <c r="H52" s="567">
        <v>2.1234772978959024</v>
      </c>
      <c r="I52" s="567">
        <v>295</v>
      </c>
      <c r="J52" s="567">
        <v>78</v>
      </c>
      <c r="K52" s="567">
        <v>23478</v>
      </c>
      <c r="L52" s="567">
        <v>1</v>
      </c>
      <c r="M52" s="567">
        <v>301</v>
      </c>
      <c r="N52" s="567">
        <v>177</v>
      </c>
      <c r="O52" s="567">
        <v>53277</v>
      </c>
      <c r="P52" s="552">
        <v>2.2692307692307692</v>
      </c>
      <c r="Q52" s="568">
        <v>301</v>
      </c>
    </row>
    <row r="53" spans="1:17" ht="14.4" customHeight="1" x14ac:dyDescent="0.3">
      <c r="A53" s="546" t="s">
        <v>1155</v>
      </c>
      <c r="B53" s="547" t="s">
        <v>1062</v>
      </c>
      <c r="C53" s="547" t="s">
        <v>1048</v>
      </c>
      <c r="D53" s="547" t="s">
        <v>1071</v>
      </c>
      <c r="E53" s="547" t="s">
        <v>1072</v>
      </c>
      <c r="F53" s="567">
        <v>16</v>
      </c>
      <c r="G53" s="567">
        <v>1520</v>
      </c>
      <c r="H53" s="567">
        <v>1.0235690235690236</v>
      </c>
      <c r="I53" s="567">
        <v>95</v>
      </c>
      <c r="J53" s="567">
        <v>15</v>
      </c>
      <c r="K53" s="567">
        <v>1485</v>
      </c>
      <c r="L53" s="567">
        <v>1</v>
      </c>
      <c r="M53" s="567">
        <v>99</v>
      </c>
      <c r="N53" s="567">
        <v>18</v>
      </c>
      <c r="O53" s="567">
        <v>1782</v>
      </c>
      <c r="P53" s="552">
        <v>1.2</v>
      </c>
      <c r="Q53" s="568">
        <v>99</v>
      </c>
    </row>
    <row r="54" spans="1:17" ht="14.4" customHeight="1" x14ac:dyDescent="0.3">
      <c r="A54" s="546" t="s">
        <v>1155</v>
      </c>
      <c r="B54" s="547" t="s">
        <v>1062</v>
      </c>
      <c r="C54" s="547" t="s">
        <v>1048</v>
      </c>
      <c r="D54" s="547" t="s">
        <v>1073</v>
      </c>
      <c r="E54" s="547" t="s">
        <v>1074</v>
      </c>
      <c r="F54" s="567">
        <v>1</v>
      </c>
      <c r="G54" s="567">
        <v>224</v>
      </c>
      <c r="H54" s="567">
        <v>0.96969696969696972</v>
      </c>
      <c r="I54" s="567">
        <v>224</v>
      </c>
      <c r="J54" s="567">
        <v>1</v>
      </c>
      <c r="K54" s="567">
        <v>231</v>
      </c>
      <c r="L54" s="567">
        <v>1</v>
      </c>
      <c r="M54" s="567">
        <v>231</v>
      </c>
      <c r="N54" s="567"/>
      <c r="O54" s="567"/>
      <c r="P54" s="552"/>
      <c r="Q54" s="568"/>
    </row>
    <row r="55" spans="1:17" ht="14.4" customHeight="1" x14ac:dyDescent="0.3">
      <c r="A55" s="546" t="s">
        <v>1155</v>
      </c>
      <c r="B55" s="547" t="s">
        <v>1062</v>
      </c>
      <c r="C55" s="547" t="s">
        <v>1048</v>
      </c>
      <c r="D55" s="547" t="s">
        <v>1075</v>
      </c>
      <c r="E55" s="547" t="s">
        <v>1076</v>
      </c>
      <c r="F55" s="567">
        <v>45</v>
      </c>
      <c r="G55" s="567">
        <v>6075</v>
      </c>
      <c r="H55" s="567">
        <v>0.90496052435572771</v>
      </c>
      <c r="I55" s="567">
        <v>135</v>
      </c>
      <c r="J55" s="567">
        <v>49</v>
      </c>
      <c r="K55" s="567">
        <v>6713</v>
      </c>
      <c r="L55" s="567">
        <v>1</v>
      </c>
      <c r="M55" s="567">
        <v>137</v>
      </c>
      <c r="N55" s="567">
        <v>42</v>
      </c>
      <c r="O55" s="567">
        <v>5754</v>
      </c>
      <c r="P55" s="552">
        <v>0.8571428571428571</v>
      </c>
      <c r="Q55" s="568">
        <v>137</v>
      </c>
    </row>
    <row r="56" spans="1:17" ht="14.4" customHeight="1" x14ac:dyDescent="0.3">
      <c r="A56" s="546" t="s">
        <v>1155</v>
      </c>
      <c r="B56" s="547" t="s">
        <v>1062</v>
      </c>
      <c r="C56" s="547" t="s">
        <v>1048</v>
      </c>
      <c r="D56" s="547" t="s">
        <v>1077</v>
      </c>
      <c r="E56" s="547" t="s">
        <v>1076</v>
      </c>
      <c r="F56" s="567">
        <v>4</v>
      </c>
      <c r="G56" s="567">
        <v>712</v>
      </c>
      <c r="H56" s="567">
        <v>1.2969034608378871</v>
      </c>
      <c r="I56" s="567">
        <v>178</v>
      </c>
      <c r="J56" s="567">
        <v>3</v>
      </c>
      <c r="K56" s="567">
        <v>549</v>
      </c>
      <c r="L56" s="567">
        <v>1</v>
      </c>
      <c r="M56" s="567">
        <v>183</v>
      </c>
      <c r="N56" s="567">
        <v>3</v>
      </c>
      <c r="O56" s="567">
        <v>549</v>
      </c>
      <c r="P56" s="552">
        <v>1</v>
      </c>
      <c r="Q56" s="568">
        <v>183</v>
      </c>
    </row>
    <row r="57" spans="1:17" ht="14.4" customHeight="1" x14ac:dyDescent="0.3">
      <c r="A57" s="546" t="s">
        <v>1155</v>
      </c>
      <c r="B57" s="547" t="s">
        <v>1062</v>
      </c>
      <c r="C57" s="547" t="s">
        <v>1048</v>
      </c>
      <c r="D57" s="547" t="s">
        <v>1078</v>
      </c>
      <c r="E57" s="547" t="s">
        <v>1079</v>
      </c>
      <c r="F57" s="567"/>
      <c r="G57" s="567"/>
      <c r="H57" s="567"/>
      <c r="I57" s="567"/>
      <c r="J57" s="567">
        <v>1</v>
      </c>
      <c r="K57" s="567">
        <v>639</v>
      </c>
      <c r="L57" s="567">
        <v>1</v>
      </c>
      <c r="M57" s="567">
        <v>639</v>
      </c>
      <c r="N57" s="567">
        <v>1</v>
      </c>
      <c r="O57" s="567">
        <v>639</v>
      </c>
      <c r="P57" s="552">
        <v>1</v>
      </c>
      <c r="Q57" s="568">
        <v>639</v>
      </c>
    </row>
    <row r="58" spans="1:17" ht="14.4" customHeight="1" x14ac:dyDescent="0.3">
      <c r="A58" s="546" t="s">
        <v>1155</v>
      </c>
      <c r="B58" s="547" t="s">
        <v>1062</v>
      </c>
      <c r="C58" s="547" t="s">
        <v>1048</v>
      </c>
      <c r="D58" s="547" t="s">
        <v>1080</v>
      </c>
      <c r="E58" s="547" t="s">
        <v>1081</v>
      </c>
      <c r="F58" s="567">
        <v>2</v>
      </c>
      <c r="G58" s="567">
        <v>1186</v>
      </c>
      <c r="H58" s="567"/>
      <c r="I58" s="567">
        <v>593</v>
      </c>
      <c r="J58" s="567"/>
      <c r="K58" s="567"/>
      <c r="L58" s="567"/>
      <c r="M58" s="567"/>
      <c r="N58" s="567">
        <v>2</v>
      </c>
      <c r="O58" s="567">
        <v>1216</v>
      </c>
      <c r="P58" s="552"/>
      <c r="Q58" s="568">
        <v>608</v>
      </c>
    </row>
    <row r="59" spans="1:17" ht="14.4" customHeight="1" x14ac:dyDescent="0.3">
      <c r="A59" s="546" t="s">
        <v>1155</v>
      </c>
      <c r="B59" s="547" t="s">
        <v>1062</v>
      </c>
      <c r="C59" s="547" t="s">
        <v>1048</v>
      </c>
      <c r="D59" s="547" t="s">
        <v>1082</v>
      </c>
      <c r="E59" s="547" t="s">
        <v>1083</v>
      </c>
      <c r="F59" s="567">
        <v>16</v>
      </c>
      <c r="G59" s="567">
        <v>2576</v>
      </c>
      <c r="H59" s="567">
        <v>3.7225433526011562</v>
      </c>
      <c r="I59" s="567">
        <v>161</v>
      </c>
      <c r="J59" s="567">
        <v>4</v>
      </c>
      <c r="K59" s="567">
        <v>692</v>
      </c>
      <c r="L59" s="567">
        <v>1</v>
      </c>
      <c r="M59" s="567">
        <v>173</v>
      </c>
      <c r="N59" s="567">
        <v>14</v>
      </c>
      <c r="O59" s="567">
        <v>2422</v>
      </c>
      <c r="P59" s="552">
        <v>3.5</v>
      </c>
      <c r="Q59" s="568">
        <v>173</v>
      </c>
    </row>
    <row r="60" spans="1:17" ht="14.4" customHeight="1" x14ac:dyDescent="0.3">
      <c r="A60" s="546" t="s">
        <v>1155</v>
      </c>
      <c r="B60" s="547" t="s">
        <v>1062</v>
      </c>
      <c r="C60" s="547" t="s">
        <v>1048</v>
      </c>
      <c r="D60" s="547" t="s">
        <v>1086</v>
      </c>
      <c r="E60" s="547" t="s">
        <v>1087</v>
      </c>
      <c r="F60" s="567">
        <v>64</v>
      </c>
      <c r="G60" s="567">
        <v>1024</v>
      </c>
      <c r="H60" s="567">
        <v>0.8990342405618964</v>
      </c>
      <c r="I60" s="567">
        <v>16</v>
      </c>
      <c r="J60" s="567">
        <v>67</v>
      </c>
      <c r="K60" s="567">
        <v>1139</v>
      </c>
      <c r="L60" s="567">
        <v>1</v>
      </c>
      <c r="M60" s="567">
        <v>17</v>
      </c>
      <c r="N60" s="567">
        <v>11</v>
      </c>
      <c r="O60" s="567">
        <v>187</v>
      </c>
      <c r="P60" s="552">
        <v>0.16417910447761194</v>
      </c>
      <c r="Q60" s="568">
        <v>17</v>
      </c>
    </row>
    <row r="61" spans="1:17" ht="14.4" customHeight="1" x14ac:dyDescent="0.3">
      <c r="A61" s="546" t="s">
        <v>1155</v>
      </c>
      <c r="B61" s="547" t="s">
        <v>1062</v>
      </c>
      <c r="C61" s="547" t="s">
        <v>1048</v>
      </c>
      <c r="D61" s="547" t="s">
        <v>1088</v>
      </c>
      <c r="E61" s="547" t="s">
        <v>1089</v>
      </c>
      <c r="F61" s="567">
        <v>10</v>
      </c>
      <c r="G61" s="567">
        <v>2660</v>
      </c>
      <c r="H61" s="567">
        <v>1.3919413919413919</v>
      </c>
      <c r="I61" s="567">
        <v>266</v>
      </c>
      <c r="J61" s="567">
        <v>7</v>
      </c>
      <c r="K61" s="567">
        <v>1911</v>
      </c>
      <c r="L61" s="567">
        <v>1</v>
      </c>
      <c r="M61" s="567">
        <v>273</v>
      </c>
      <c r="N61" s="567"/>
      <c r="O61" s="567"/>
      <c r="P61" s="552"/>
      <c r="Q61" s="568"/>
    </row>
    <row r="62" spans="1:17" ht="14.4" customHeight="1" x14ac:dyDescent="0.3">
      <c r="A62" s="546" t="s">
        <v>1155</v>
      </c>
      <c r="B62" s="547" t="s">
        <v>1062</v>
      </c>
      <c r="C62" s="547" t="s">
        <v>1048</v>
      </c>
      <c r="D62" s="547" t="s">
        <v>1090</v>
      </c>
      <c r="E62" s="547" t="s">
        <v>1091</v>
      </c>
      <c r="F62" s="567">
        <v>10</v>
      </c>
      <c r="G62" s="567">
        <v>1410</v>
      </c>
      <c r="H62" s="567">
        <v>0.99295774647887325</v>
      </c>
      <c r="I62" s="567">
        <v>141</v>
      </c>
      <c r="J62" s="567">
        <v>10</v>
      </c>
      <c r="K62" s="567">
        <v>1420</v>
      </c>
      <c r="L62" s="567">
        <v>1</v>
      </c>
      <c r="M62" s="567">
        <v>142</v>
      </c>
      <c r="N62" s="567">
        <v>11</v>
      </c>
      <c r="O62" s="567">
        <v>1562</v>
      </c>
      <c r="P62" s="552">
        <v>1.1000000000000001</v>
      </c>
      <c r="Q62" s="568">
        <v>142</v>
      </c>
    </row>
    <row r="63" spans="1:17" ht="14.4" customHeight="1" x14ac:dyDescent="0.3">
      <c r="A63" s="546" t="s">
        <v>1155</v>
      </c>
      <c r="B63" s="547" t="s">
        <v>1062</v>
      </c>
      <c r="C63" s="547" t="s">
        <v>1048</v>
      </c>
      <c r="D63" s="547" t="s">
        <v>1092</v>
      </c>
      <c r="E63" s="547" t="s">
        <v>1091</v>
      </c>
      <c r="F63" s="567">
        <v>44</v>
      </c>
      <c r="G63" s="567">
        <v>3432</v>
      </c>
      <c r="H63" s="567">
        <v>0.93617021276595747</v>
      </c>
      <c r="I63" s="567">
        <v>78</v>
      </c>
      <c r="J63" s="567">
        <v>47</v>
      </c>
      <c r="K63" s="567">
        <v>3666</v>
      </c>
      <c r="L63" s="567">
        <v>1</v>
      </c>
      <c r="M63" s="567">
        <v>78</v>
      </c>
      <c r="N63" s="567">
        <v>41</v>
      </c>
      <c r="O63" s="567">
        <v>3198</v>
      </c>
      <c r="P63" s="552">
        <v>0.87234042553191493</v>
      </c>
      <c r="Q63" s="568">
        <v>78</v>
      </c>
    </row>
    <row r="64" spans="1:17" ht="14.4" customHeight="1" x14ac:dyDescent="0.3">
      <c r="A64" s="546" t="s">
        <v>1155</v>
      </c>
      <c r="B64" s="547" t="s">
        <v>1062</v>
      </c>
      <c r="C64" s="547" t="s">
        <v>1048</v>
      </c>
      <c r="D64" s="547" t="s">
        <v>1093</v>
      </c>
      <c r="E64" s="547" t="s">
        <v>1094</v>
      </c>
      <c r="F64" s="567">
        <v>10</v>
      </c>
      <c r="G64" s="567">
        <v>3070</v>
      </c>
      <c r="H64" s="567">
        <v>0.98083067092651754</v>
      </c>
      <c r="I64" s="567">
        <v>307</v>
      </c>
      <c r="J64" s="567">
        <v>10</v>
      </c>
      <c r="K64" s="567">
        <v>3130</v>
      </c>
      <c r="L64" s="567">
        <v>1</v>
      </c>
      <c r="M64" s="567">
        <v>313</v>
      </c>
      <c r="N64" s="567">
        <v>11</v>
      </c>
      <c r="O64" s="567">
        <v>3454</v>
      </c>
      <c r="P64" s="552">
        <v>1.1035143769968052</v>
      </c>
      <c r="Q64" s="568">
        <v>314</v>
      </c>
    </row>
    <row r="65" spans="1:17" ht="14.4" customHeight="1" x14ac:dyDescent="0.3">
      <c r="A65" s="546" t="s">
        <v>1155</v>
      </c>
      <c r="B65" s="547" t="s">
        <v>1062</v>
      </c>
      <c r="C65" s="547" t="s">
        <v>1048</v>
      </c>
      <c r="D65" s="547" t="s">
        <v>1097</v>
      </c>
      <c r="E65" s="547" t="s">
        <v>1098</v>
      </c>
      <c r="F65" s="567">
        <v>21</v>
      </c>
      <c r="G65" s="567">
        <v>3381</v>
      </c>
      <c r="H65" s="567">
        <v>0.5606035483336097</v>
      </c>
      <c r="I65" s="567">
        <v>161</v>
      </c>
      <c r="J65" s="567">
        <v>37</v>
      </c>
      <c r="K65" s="567">
        <v>6031</v>
      </c>
      <c r="L65" s="567">
        <v>1</v>
      </c>
      <c r="M65" s="567">
        <v>163</v>
      </c>
      <c r="N65" s="567">
        <v>40</v>
      </c>
      <c r="O65" s="567">
        <v>6520</v>
      </c>
      <c r="P65" s="552">
        <v>1.0810810810810811</v>
      </c>
      <c r="Q65" s="568">
        <v>163</v>
      </c>
    </row>
    <row r="66" spans="1:17" ht="14.4" customHeight="1" x14ac:dyDescent="0.3">
      <c r="A66" s="546" t="s">
        <v>1155</v>
      </c>
      <c r="B66" s="547" t="s">
        <v>1062</v>
      </c>
      <c r="C66" s="547" t="s">
        <v>1048</v>
      </c>
      <c r="D66" s="547" t="s">
        <v>1101</v>
      </c>
      <c r="E66" s="547" t="s">
        <v>1067</v>
      </c>
      <c r="F66" s="567">
        <v>96</v>
      </c>
      <c r="G66" s="567">
        <v>6816</v>
      </c>
      <c r="H66" s="567">
        <v>0.96598639455782309</v>
      </c>
      <c r="I66" s="567">
        <v>71</v>
      </c>
      <c r="J66" s="567">
        <v>98</v>
      </c>
      <c r="K66" s="567">
        <v>7056</v>
      </c>
      <c r="L66" s="567">
        <v>1</v>
      </c>
      <c r="M66" s="567">
        <v>72</v>
      </c>
      <c r="N66" s="567">
        <v>101</v>
      </c>
      <c r="O66" s="567">
        <v>7272</v>
      </c>
      <c r="P66" s="552">
        <v>1.0306122448979591</v>
      </c>
      <c r="Q66" s="568">
        <v>72</v>
      </c>
    </row>
    <row r="67" spans="1:17" ht="14.4" customHeight="1" x14ac:dyDescent="0.3">
      <c r="A67" s="546" t="s">
        <v>1155</v>
      </c>
      <c r="B67" s="547" t="s">
        <v>1062</v>
      </c>
      <c r="C67" s="547" t="s">
        <v>1048</v>
      </c>
      <c r="D67" s="547" t="s">
        <v>1106</v>
      </c>
      <c r="E67" s="547" t="s">
        <v>1107</v>
      </c>
      <c r="F67" s="567">
        <v>4</v>
      </c>
      <c r="G67" s="567">
        <v>880</v>
      </c>
      <c r="H67" s="567">
        <v>0.76855895196506552</v>
      </c>
      <c r="I67" s="567">
        <v>220</v>
      </c>
      <c r="J67" s="567">
        <v>5</v>
      </c>
      <c r="K67" s="567">
        <v>1145</v>
      </c>
      <c r="L67" s="567">
        <v>1</v>
      </c>
      <c r="M67" s="567">
        <v>229</v>
      </c>
      <c r="N67" s="567">
        <v>1</v>
      </c>
      <c r="O67" s="567">
        <v>230</v>
      </c>
      <c r="P67" s="552">
        <v>0.20087336244541484</v>
      </c>
      <c r="Q67" s="568">
        <v>230</v>
      </c>
    </row>
    <row r="68" spans="1:17" ht="14.4" customHeight="1" x14ac:dyDescent="0.3">
      <c r="A68" s="546" t="s">
        <v>1155</v>
      </c>
      <c r="B68" s="547" t="s">
        <v>1062</v>
      </c>
      <c r="C68" s="547" t="s">
        <v>1048</v>
      </c>
      <c r="D68" s="547" t="s">
        <v>1108</v>
      </c>
      <c r="E68" s="547" t="s">
        <v>1109</v>
      </c>
      <c r="F68" s="567">
        <v>4</v>
      </c>
      <c r="G68" s="567">
        <v>4780</v>
      </c>
      <c r="H68" s="567">
        <v>1.3157170382603909</v>
      </c>
      <c r="I68" s="567">
        <v>1195</v>
      </c>
      <c r="J68" s="567">
        <v>3</v>
      </c>
      <c r="K68" s="567">
        <v>3633</v>
      </c>
      <c r="L68" s="567">
        <v>1</v>
      </c>
      <c r="M68" s="567">
        <v>1211</v>
      </c>
      <c r="N68" s="567">
        <v>18</v>
      </c>
      <c r="O68" s="567">
        <v>21798</v>
      </c>
      <c r="P68" s="552">
        <v>6</v>
      </c>
      <c r="Q68" s="568">
        <v>1211</v>
      </c>
    </row>
    <row r="69" spans="1:17" ht="14.4" customHeight="1" x14ac:dyDescent="0.3">
      <c r="A69" s="546" t="s">
        <v>1155</v>
      </c>
      <c r="B69" s="547" t="s">
        <v>1062</v>
      </c>
      <c r="C69" s="547" t="s">
        <v>1048</v>
      </c>
      <c r="D69" s="547" t="s">
        <v>1110</v>
      </c>
      <c r="E69" s="547" t="s">
        <v>1111</v>
      </c>
      <c r="F69" s="567">
        <v>12</v>
      </c>
      <c r="G69" s="567">
        <v>1320</v>
      </c>
      <c r="H69" s="567">
        <v>1.2865497076023391</v>
      </c>
      <c r="I69" s="567">
        <v>110</v>
      </c>
      <c r="J69" s="567">
        <v>9</v>
      </c>
      <c r="K69" s="567">
        <v>1026</v>
      </c>
      <c r="L69" s="567">
        <v>1</v>
      </c>
      <c r="M69" s="567">
        <v>114</v>
      </c>
      <c r="N69" s="567">
        <v>14</v>
      </c>
      <c r="O69" s="567">
        <v>1596</v>
      </c>
      <c r="P69" s="552">
        <v>1.5555555555555556</v>
      </c>
      <c r="Q69" s="568">
        <v>114</v>
      </c>
    </row>
    <row r="70" spans="1:17" ht="14.4" customHeight="1" x14ac:dyDescent="0.3">
      <c r="A70" s="546" t="s">
        <v>1155</v>
      </c>
      <c r="B70" s="547" t="s">
        <v>1062</v>
      </c>
      <c r="C70" s="547" t="s">
        <v>1048</v>
      </c>
      <c r="D70" s="547" t="s">
        <v>1112</v>
      </c>
      <c r="E70" s="547" t="s">
        <v>1113</v>
      </c>
      <c r="F70" s="567"/>
      <c r="G70" s="567"/>
      <c r="H70" s="567"/>
      <c r="I70" s="567"/>
      <c r="J70" s="567">
        <v>1</v>
      </c>
      <c r="K70" s="567">
        <v>346</v>
      </c>
      <c r="L70" s="567">
        <v>1</v>
      </c>
      <c r="M70" s="567">
        <v>346</v>
      </c>
      <c r="N70" s="567"/>
      <c r="O70" s="567"/>
      <c r="P70" s="552"/>
      <c r="Q70" s="568"/>
    </row>
    <row r="71" spans="1:17" ht="14.4" customHeight="1" x14ac:dyDescent="0.3">
      <c r="A71" s="546" t="s">
        <v>1155</v>
      </c>
      <c r="B71" s="547" t="s">
        <v>1062</v>
      </c>
      <c r="C71" s="547" t="s">
        <v>1048</v>
      </c>
      <c r="D71" s="547" t="s">
        <v>1118</v>
      </c>
      <c r="E71" s="547" t="s">
        <v>1119</v>
      </c>
      <c r="F71" s="567">
        <v>2</v>
      </c>
      <c r="G71" s="567">
        <v>2066</v>
      </c>
      <c r="H71" s="567">
        <v>0.97086466165413532</v>
      </c>
      <c r="I71" s="567">
        <v>1033</v>
      </c>
      <c r="J71" s="567">
        <v>2</v>
      </c>
      <c r="K71" s="567">
        <v>2128</v>
      </c>
      <c r="L71" s="567">
        <v>1</v>
      </c>
      <c r="M71" s="567">
        <v>1064</v>
      </c>
      <c r="N71" s="567">
        <v>2</v>
      </c>
      <c r="O71" s="567">
        <v>2130</v>
      </c>
      <c r="P71" s="552">
        <v>1.0009398496240602</v>
      </c>
      <c r="Q71" s="568">
        <v>1065</v>
      </c>
    </row>
    <row r="72" spans="1:17" ht="14.4" customHeight="1" x14ac:dyDescent="0.3">
      <c r="A72" s="546" t="s">
        <v>1155</v>
      </c>
      <c r="B72" s="547" t="s">
        <v>1062</v>
      </c>
      <c r="C72" s="547" t="s">
        <v>1048</v>
      </c>
      <c r="D72" s="547" t="s">
        <v>1120</v>
      </c>
      <c r="E72" s="547" t="s">
        <v>1121</v>
      </c>
      <c r="F72" s="567"/>
      <c r="G72" s="567"/>
      <c r="H72" s="567"/>
      <c r="I72" s="567"/>
      <c r="J72" s="567">
        <v>1</v>
      </c>
      <c r="K72" s="567">
        <v>301</v>
      </c>
      <c r="L72" s="567">
        <v>1</v>
      </c>
      <c r="M72" s="567">
        <v>301</v>
      </c>
      <c r="N72" s="567">
        <v>2</v>
      </c>
      <c r="O72" s="567">
        <v>604</v>
      </c>
      <c r="P72" s="552">
        <v>2.0066445182724251</v>
      </c>
      <c r="Q72" s="568">
        <v>302</v>
      </c>
    </row>
    <row r="73" spans="1:17" ht="14.4" customHeight="1" x14ac:dyDescent="0.3">
      <c r="A73" s="546" t="s">
        <v>1156</v>
      </c>
      <c r="B73" s="547" t="s">
        <v>1062</v>
      </c>
      <c r="C73" s="547" t="s">
        <v>1048</v>
      </c>
      <c r="D73" s="547" t="s">
        <v>1066</v>
      </c>
      <c r="E73" s="547" t="s">
        <v>1067</v>
      </c>
      <c r="F73" s="567">
        <v>143</v>
      </c>
      <c r="G73" s="567">
        <v>29458</v>
      </c>
      <c r="H73" s="567">
        <v>0.8836162937188794</v>
      </c>
      <c r="I73" s="567">
        <v>206</v>
      </c>
      <c r="J73" s="567">
        <v>158</v>
      </c>
      <c r="K73" s="567">
        <v>33338</v>
      </c>
      <c r="L73" s="567">
        <v>1</v>
      </c>
      <c r="M73" s="567">
        <v>211</v>
      </c>
      <c r="N73" s="567">
        <v>98</v>
      </c>
      <c r="O73" s="567">
        <v>20678</v>
      </c>
      <c r="P73" s="552">
        <v>0.620253164556962</v>
      </c>
      <c r="Q73" s="568">
        <v>211</v>
      </c>
    </row>
    <row r="74" spans="1:17" ht="14.4" customHeight="1" x14ac:dyDescent="0.3">
      <c r="A74" s="546" t="s">
        <v>1156</v>
      </c>
      <c r="B74" s="547" t="s">
        <v>1062</v>
      </c>
      <c r="C74" s="547" t="s">
        <v>1048</v>
      </c>
      <c r="D74" s="547" t="s">
        <v>1069</v>
      </c>
      <c r="E74" s="547" t="s">
        <v>1070</v>
      </c>
      <c r="F74" s="567">
        <v>110</v>
      </c>
      <c r="G74" s="567">
        <v>32450</v>
      </c>
      <c r="H74" s="567">
        <v>0.56443617261832291</v>
      </c>
      <c r="I74" s="567">
        <v>295</v>
      </c>
      <c r="J74" s="567">
        <v>191</v>
      </c>
      <c r="K74" s="567">
        <v>57491</v>
      </c>
      <c r="L74" s="567">
        <v>1</v>
      </c>
      <c r="M74" s="567">
        <v>301</v>
      </c>
      <c r="N74" s="567">
        <v>195</v>
      </c>
      <c r="O74" s="567">
        <v>58695</v>
      </c>
      <c r="P74" s="552">
        <v>1.0209424083769634</v>
      </c>
      <c r="Q74" s="568">
        <v>301</v>
      </c>
    </row>
    <row r="75" spans="1:17" ht="14.4" customHeight="1" x14ac:dyDescent="0.3">
      <c r="A75" s="546" t="s">
        <v>1156</v>
      </c>
      <c r="B75" s="547" t="s">
        <v>1062</v>
      </c>
      <c r="C75" s="547" t="s">
        <v>1048</v>
      </c>
      <c r="D75" s="547" t="s">
        <v>1071</v>
      </c>
      <c r="E75" s="547" t="s">
        <v>1072</v>
      </c>
      <c r="F75" s="567">
        <v>7</v>
      </c>
      <c r="G75" s="567">
        <v>665</v>
      </c>
      <c r="H75" s="567"/>
      <c r="I75" s="567">
        <v>95</v>
      </c>
      <c r="J75" s="567"/>
      <c r="K75" s="567"/>
      <c r="L75" s="567"/>
      <c r="M75" s="567"/>
      <c r="N75" s="567">
        <v>3</v>
      </c>
      <c r="O75" s="567">
        <v>297</v>
      </c>
      <c r="P75" s="552"/>
      <c r="Q75" s="568">
        <v>99</v>
      </c>
    </row>
    <row r="76" spans="1:17" ht="14.4" customHeight="1" x14ac:dyDescent="0.3">
      <c r="A76" s="546" t="s">
        <v>1156</v>
      </c>
      <c r="B76" s="547" t="s">
        <v>1062</v>
      </c>
      <c r="C76" s="547" t="s">
        <v>1048</v>
      </c>
      <c r="D76" s="547" t="s">
        <v>1075</v>
      </c>
      <c r="E76" s="547" t="s">
        <v>1076</v>
      </c>
      <c r="F76" s="567">
        <v>135</v>
      </c>
      <c r="G76" s="567">
        <v>18225</v>
      </c>
      <c r="H76" s="567">
        <v>0.92381386861313863</v>
      </c>
      <c r="I76" s="567">
        <v>135</v>
      </c>
      <c r="J76" s="567">
        <v>144</v>
      </c>
      <c r="K76" s="567">
        <v>19728</v>
      </c>
      <c r="L76" s="567">
        <v>1</v>
      </c>
      <c r="M76" s="567">
        <v>137</v>
      </c>
      <c r="N76" s="567">
        <v>157</v>
      </c>
      <c r="O76" s="567">
        <v>21509</v>
      </c>
      <c r="P76" s="552">
        <v>1.0902777777777777</v>
      </c>
      <c r="Q76" s="568">
        <v>137</v>
      </c>
    </row>
    <row r="77" spans="1:17" ht="14.4" customHeight="1" x14ac:dyDescent="0.3">
      <c r="A77" s="546" t="s">
        <v>1156</v>
      </c>
      <c r="B77" s="547" t="s">
        <v>1062</v>
      </c>
      <c r="C77" s="547" t="s">
        <v>1048</v>
      </c>
      <c r="D77" s="547" t="s">
        <v>1077</v>
      </c>
      <c r="E77" s="547" t="s">
        <v>1076</v>
      </c>
      <c r="F77" s="567"/>
      <c r="G77" s="567"/>
      <c r="H77" s="567"/>
      <c r="I77" s="567"/>
      <c r="J77" s="567"/>
      <c r="K77" s="567"/>
      <c r="L77" s="567"/>
      <c r="M77" s="567"/>
      <c r="N77" s="567">
        <v>1</v>
      </c>
      <c r="O77" s="567">
        <v>183</v>
      </c>
      <c r="P77" s="552"/>
      <c r="Q77" s="568">
        <v>183</v>
      </c>
    </row>
    <row r="78" spans="1:17" ht="14.4" customHeight="1" x14ac:dyDescent="0.3">
      <c r="A78" s="546" t="s">
        <v>1156</v>
      </c>
      <c r="B78" s="547" t="s">
        <v>1062</v>
      </c>
      <c r="C78" s="547" t="s">
        <v>1048</v>
      </c>
      <c r="D78" s="547" t="s">
        <v>1078</v>
      </c>
      <c r="E78" s="547" t="s">
        <v>1079</v>
      </c>
      <c r="F78" s="567"/>
      <c r="G78" s="567"/>
      <c r="H78" s="567"/>
      <c r="I78" s="567"/>
      <c r="J78" s="567">
        <v>1</v>
      </c>
      <c r="K78" s="567">
        <v>639</v>
      </c>
      <c r="L78" s="567">
        <v>1</v>
      </c>
      <c r="M78" s="567">
        <v>639</v>
      </c>
      <c r="N78" s="567"/>
      <c r="O78" s="567"/>
      <c r="P78" s="552"/>
      <c r="Q78" s="568"/>
    </row>
    <row r="79" spans="1:17" ht="14.4" customHeight="1" x14ac:dyDescent="0.3">
      <c r="A79" s="546" t="s">
        <v>1156</v>
      </c>
      <c r="B79" s="547" t="s">
        <v>1062</v>
      </c>
      <c r="C79" s="547" t="s">
        <v>1048</v>
      </c>
      <c r="D79" s="547" t="s">
        <v>1082</v>
      </c>
      <c r="E79" s="547" t="s">
        <v>1083</v>
      </c>
      <c r="F79" s="567">
        <v>4</v>
      </c>
      <c r="G79" s="567">
        <v>644</v>
      </c>
      <c r="H79" s="567">
        <v>0.46531791907514453</v>
      </c>
      <c r="I79" s="567">
        <v>161</v>
      </c>
      <c r="J79" s="567">
        <v>8</v>
      </c>
      <c r="K79" s="567">
        <v>1384</v>
      </c>
      <c r="L79" s="567">
        <v>1</v>
      </c>
      <c r="M79" s="567">
        <v>173</v>
      </c>
      <c r="N79" s="567">
        <v>10</v>
      </c>
      <c r="O79" s="567">
        <v>1730</v>
      </c>
      <c r="P79" s="552">
        <v>1.25</v>
      </c>
      <c r="Q79" s="568">
        <v>173</v>
      </c>
    </row>
    <row r="80" spans="1:17" ht="14.4" customHeight="1" x14ac:dyDescent="0.3">
      <c r="A80" s="546" t="s">
        <v>1156</v>
      </c>
      <c r="B80" s="547" t="s">
        <v>1062</v>
      </c>
      <c r="C80" s="547" t="s">
        <v>1048</v>
      </c>
      <c r="D80" s="547" t="s">
        <v>1084</v>
      </c>
      <c r="E80" s="547" t="s">
        <v>1085</v>
      </c>
      <c r="F80" s="567"/>
      <c r="G80" s="567"/>
      <c r="H80" s="567"/>
      <c r="I80" s="567"/>
      <c r="J80" s="567"/>
      <c r="K80" s="567"/>
      <c r="L80" s="567"/>
      <c r="M80" s="567"/>
      <c r="N80" s="567">
        <v>1</v>
      </c>
      <c r="O80" s="567">
        <v>347</v>
      </c>
      <c r="P80" s="552"/>
      <c r="Q80" s="568">
        <v>347</v>
      </c>
    </row>
    <row r="81" spans="1:17" ht="14.4" customHeight="1" x14ac:dyDescent="0.3">
      <c r="A81" s="546" t="s">
        <v>1156</v>
      </c>
      <c r="B81" s="547" t="s">
        <v>1062</v>
      </c>
      <c r="C81" s="547" t="s">
        <v>1048</v>
      </c>
      <c r="D81" s="547" t="s">
        <v>1086</v>
      </c>
      <c r="E81" s="547" t="s">
        <v>1087</v>
      </c>
      <c r="F81" s="567">
        <v>171</v>
      </c>
      <c r="G81" s="567">
        <v>2736</v>
      </c>
      <c r="H81" s="567">
        <v>0.86527514231499048</v>
      </c>
      <c r="I81" s="567">
        <v>16</v>
      </c>
      <c r="J81" s="567">
        <v>186</v>
      </c>
      <c r="K81" s="567">
        <v>3162</v>
      </c>
      <c r="L81" s="567">
        <v>1</v>
      </c>
      <c r="M81" s="567">
        <v>17</v>
      </c>
      <c r="N81" s="567">
        <v>5</v>
      </c>
      <c r="O81" s="567">
        <v>85</v>
      </c>
      <c r="P81" s="552">
        <v>2.6881720430107527E-2</v>
      </c>
      <c r="Q81" s="568">
        <v>17</v>
      </c>
    </row>
    <row r="82" spans="1:17" ht="14.4" customHeight="1" x14ac:dyDescent="0.3">
      <c r="A82" s="546" t="s">
        <v>1156</v>
      </c>
      <c r="B82" s="547" t="s">
        <v>1062</v>
      </c>
      <c r="C82" s="547" t="s">
        <v>1048</v>
      </c>
      <c r="D82" s="547" t="s">
        <v>1088</v>
      </c>
      <c r="E82" s="547" t="s">
        <v>1089</v>
      </c>
      <c r="F82" s="567">
        <v>24</v>
      </c>
      <c r="G82" s="567">
        <v>6384</v>
      </c>
      <c r="H82" s="567">
        <v>0.97435897435897434</v>
      </c>
      <c r="I82" s="567">
        <v>266</v>
      </c>
      <c r="J82" s="567">
        <v>24</v>
      </c>
      <c r="K82" s="567">
        <v>6552</v>
      </c>
      <c r="L82" s="567">
        <v>1</v>
      </c>
      <c r="M82" s="567">
        <v>273</v>
      </c>
      <c r="N82" s="567"/>
      <c r="O82" s="567"/>
      <c r="P82" s="552"/>
      <c r="Q82" s="568"/>
    </row>
    <row r="83" spans="1:17" ht="14.4" customHeight="1" x14ac:dyDescent="0.3">
      <c r="A83" s="546" t="s">
        <v>1156</v>
      </c>
      <c r="B83" s="547" t="s">
        <v>1062</v>
      </c>
      <c r="C83" s="547" t="s">
        <v>1048</v>
      </c>
      <c r="D83" s="547" t="s">
        <v>1090</v>
      </c>
      <c r="E83" s="547" t="s">
        <v>1091</v>
      </c>
      <c r="F83" s="567">
        <v>34</v>
      </c>
      <c r="G83" s="567">
        <v>4794</v>
      </c>
      <c r="H83" s="567">
        <v>0.82342837512882172</v>
      </c>
      <c r="I83" s="567">
        <v>141</v>
      </c>
      <c r="J83" s="567">
        <v>41</v>
      </c>
      <c r="K83" s="567">
        <v>5822</v>
      </c>
      <c r="L83" s="567">
        <v>1</v>
      </c>
      <c r="M83" s="567">
        <v>142</v>
      </c>
      <c r="N83" s="567">
        <v>22</v>
      </c>
      <c r="O83" s="567">
        <v>3124</v>
      </c>
      <c r="P83" s="552">
        <v>0.53658536585365857</v>
      </c>
      <c r="Q83" s="568">
        <v>142</v>
      </c>
    </row>
    <row r="84" spans="1:17" ht="14.4" customHeight="1" x14ac:dyDescent="0.3">
      <c r="A84" s="546" t="s">
        <v>1156</v>
      </c>
      <c r="B84" s="547" t="s">
        <v>1062</v>
      </c>
      <c r="C84" s="547" t="s">
        <v>1048</v>
      </c>
      <c r="D84" s="547" t="s">
        <v>1092</v>
      </c>
      <c r="E84" s="547" t="s">
        <v>1091</v>
      </c>
      <c r="F84" s="567">
        <v>135</v>
      </c>
      <c r="G84" s="567">
        <v>10530</v>
      </c>
      <c r="H84" s="567">
        <v>0.9375</v>
      </c>
      <c r="I84" s="567">
        <v>78</v>
      </c>
      <c r="J84" s="567">
        <v>144</v>
      </c>
      <c r="K84" s="567">
        <v>11232</v>
      </c>
      <c r="L84" s="567">
        <v>1</v>
      </c>
      <c r="M84" s="567">
        <v>78</v>
      </c>
      <c r="N84" s="567">
        <v>157</v>
      </c>
      <c r="O84" s="567">
        <v>12246</v>
      </c>
      <c r="P84" s="552">
        <v>1.0902777777777777</v>
      </c>
      <c r="Q84" s="568">
        <v>78</v>
      </c>
    </row>
    <row r="85" spans="1:17" ht="14.4" customHeight="1" x14ac:dyDescent="0.3">
      <c r="A85" s="546" t="s">
        <v>1156</v>
      </c>
      <c r="B85" s="547" t="s">
        <v>1062</v>
      </c>
      <c r="C85" s="547" t="s">
        <v>1048</v>
      </c>
      <c r="D85" s="547" t="s">
        <v>1093</v>
      </c>
      <c r="E85" s="547" t="s">
        <v>1094</v>
      </c>
      <c r="F85" s="567">
        <v>34</v>
      </c>
      <c r="G85" s="567">
        <v>10438</v>
      </c>
      <c r="H85" s="567">
        <v>0.81337177589028287</v>
      </c>
      <c r="I85" s="567">
        <v>307</v>
      </c>
      <c r="J85" s="567">
        <v>41</v>
      </c>
      <c r="K85" s="567">
        <v>12833</v>
      </c>
      <c r="L85" s="567">
        <v>1</v>
      </c>
      <c r="M85" s="567">
        <v>313</v>
      </c>
      <c r="N85" s="567">
        <v>22</v>
      </c>
      <c r="O85" s="567">
        <v>6908</v>
      </c>
      <c r="P85" s="552">
        <v>0.53829969609600248</v>
      </c>
      <c r="Q85" s="568">
        <v>314</v>
      </c>
    </row>
    <row r="86" spans="1:17" ht="14.4" customHeight="1" x14ac:dyDescent="0.3">
      <c r="A86" s="546" t="s">
        <v>1156</v>
      </c>
      <c r="B86" s="547" t="s">
        <v>1062</v>
      </c>
      <c r="C86" s="547" t="s">
        <v>1048</v>
      </c>
      <c r="D86" s="547" t="s">
        <v>1095</v>
      </c>
      <c r="E86" s="547" t="s">
        <v>1096</v>
      </c>
      <c r="F86" s="567"/>
      <c r="G86" s="567"/>
      <c r="H86" s="567"/>
      <c r="I86" s="567"/>
      <c r="J86" s="567"/>
      <c r="K86" s="567"/>
      <c r="L86" s="567"/>
      <c r="M86" s="567"/>
      <c r="N86" s="567">
        <v>2</v>
      </c>
      <c r="O86" s="567">
        <v>656</v>
      </c>
      <c r="P86" s="552"/>
      <c r="Q86" s="568">
        <v>328</v>
      </c>
    </row>
    <row r="87" spans="1:17" ht="14.4" customHeight="1" x14ac:dyDescent="0.3">
      <c r="A87" s="546" t="s">
        <v>1156</v>
      </c>
      <c r="B87" s="547" t="s">
        <v>1062</v>
      </c>
      <c r="C87" s="547" t="s">
        <v>1048</v>
      </c>
      <c r="D87" s="547" t="s">
        <v>1097</v>
      </c>
      <c r="E87" s="547" t="s">
        <v>1098</v>
      </c>
      <c r="F87" s="567">
        <v>108</v>
      </c>
      <c r="G87" s="567">
        <v>17388</v>
      </c>
      <c r="H87" s="567">
        <v>0.90402412394717691</v>
      </c>
      <c r="I87" s="567">
        <v>161</v>
      </c>
      <c r="J87" s="567">
        <v>118</v>
      </c>
      <c r="K87" s="567">
        <v>19234</v>
      </c>
      <c r="L87" s="567">
        <v>1</v>
      </c>
      <c r="M87" s="567">
        <v>163</v>
      </c>
      <c r="N87" s="567">
        <v>176</v>
      </c>
      <c r="O87" s="567">
        <v>28688</v>
      </c>
      <c r="P87" s="552">
        <v>1.4915254237288136</v>
      </c>
      <c r="Q87" s="568">
        <v>163</v>
      </c>
    </row>
    <row r="88" spans="1:17" ht="14.4" customHeight="1" x14ac:dyDescent="0.3">
      <c r="A88" s="546" t="s">
        <v>1156</v>
      </c>
      <c r="B88" s="547" t="s">
        <v>1062</v>
      </c>
      <c r="C88" s="547" t="s">
        <v>1048</v>
      </c>
      <c r="D88" s="547" t="s">
        <v>1101</v>
      </c>
      <c r="E88" s="547" t="s">
        <v>1067</v>
      </c>
      <c r="F88" s="567">
        <v>360</v>
      </c>
      <c r="G88" s="567">
        <v>25560</v>
      </c>
      <c r="H88" s="567">
        <v>0.89646464646464652</v>
      </c>
      <c r="I88" s="567">
        <v>71</v>
      </c>
      <c r="J88" s="567">
        <v>396</v>
      </c>
      <c r="K88" s="567">
        <v>28512</v>
      </c>
      <c r="L88" s="567">
        <v>1</v>
      </c>
      <c r="M88" s="567">
        <v>72</v>
      </c>
      <c r="N88" s="567">
        <v>409</v>
      </c>
      <c r="O88" s="567">
        <v>29448</v>
      </c>
      <c r="P88" s="552">
        <v>1.0328282828282829</v>
      </c>
      <c r="Q88" s="568">
        <v>72</v>
      </c>
    </row>
    <row r="89" spans="1:17" ht="14.4" customHeight="1" x14ac:dyDescent="0.3">
      <c r="A89" s="546" t="s">
        <v>1156</v>
      </c>
      <c r="B89" s="547" t="s">
        <v>1062</v>
      </c>
      <c r="C89" s="547" t="s">
        <v>1048</v>
      </c>
      <c r="D89" s="547" t="s">
        <v>1108</v>
      </c>
      <c r="E89" s="547" t="s">
        <v>1109</v>
      </c>
      <c r="F89" s="567">
        <v>5</v>
      </c>
      <c r="G89" s="567">
        <v>5975</v>
      </c>
      <c r="H89" s="567">
        <v>1.2334847233691164</v>
      </c>
      <c r="I89" s="567">
        <v>1195</v>
      </c>
      <c r="J89" s="567">
        <v>4</v>
      </c>
      <c r="K89" s="567">
        <v>4844</v>
      </c>
      <c r="L89" s="567">
        <v>1</v>
      </c>
      <c r="M89" s="567">
        <v>1211</v>
      </c>
      <c r="N89" s="567">
        <v>11</v>
      </c>
      <c r="O89" s="567">
        <v>13321</v>
      </c>
      <c r="P89" s="552">
        <v>2.75</v>
      </c>
      <c r="Q89" s="568">
        <v>1211</v>
      </c>
    </row>
    <row r="90" spans="1:17" ht="14.4" customHeight="1" x14ac:dyDescent="0.3">
      <c r="A90" s="546" t="s">
        <v>1156</v>
      </c>
      <c r="B90" s="547" t="s">
        <v>1062</v>
      </c>
      <c r="C90" s="547" t="s">
        <v>1048</v>
      </c>
      <c r="D90" s="547" t="s">
        <v>1110</v>
      </c>
      <c r="E90" s="547" t="s">
        <v>1111</v>
      </c>
      <c r="F90" s="567">
        <v>5</v>
      </c>
      <c r="G90" s="567">
        <v>550</v>
      </c>
      <c r="H90" s="567">
        <v>1.2061403508771931</v>
      </c>
      <c r="I90" s="567">
        <v>110</v>
      </c>
      <c r="J90" s="567">
        <v>4</v>
      </c>
      <c r="K90" s="567">
        <v>456</v>
      </c>
      <c r="L90" s="567">
        <v>1</v>
      </c>
      <c r="M90" s="567">
        <v>114</v>
      </c>
      <c r="N90" s="567">
        <v>8</v>
      </c>
      <c r="O90" s="567">
        <v>912</v>
      </c>
      <c r="P90" s="552">
        <v>2</v>
      </c>
      <c r="Q90" s="568">
        <v>114</v>
      </c>
    </row>
    <row r="91" spans="1:17" ht="14.4" customHeight="1" x14ac:dyDescent="0.3">
      <c r="A91" s="546" t="s">
        <v>1157</v>
      </c>
      <c r="B91" s="547" t="s">
        <v>1062</v>
      </c>
      <c r="C91" s="547" t="s">
        <v>1048</v>
      </c>
      <c r="D91" s="547" t="s">
        <v>1066</v>
      </c>
      <c r="E91" s="547" t="s">
        <v>1067</v>
      </c>
      <c r="F91" s="567">
        <v>99</v>
      </c>
      <c r="G91" s="567">
        <v>20394</v>
      </c>
      <c r="H91" s="567">
        <v>1.208175355450237</v>
      </c>
      <c r="I91" s="567">
        <v>206</v>
      </c>
      <c r="J91" s="567">
        <v>80</v>
      </c>
      <c r="K91" s="567">
        <v>16880</v>
      </c>
      <c r="L91" s="567">
        <v>1</v>
      </c>
      <c r="M91" s="567">
        <v>211</v>
      </c>
      <c r="N91" s="567">
        <v>92</v>
      </c>
      <c r="O91" s="567">
        <v>19412</v>
      </c>
      <c r="P91" s="552">
        <v>1.1499999999999999</v>
      </c>
      <c r="Q91" s="568">
        <v>211</v>
      </c>
    </row>
    <row r="92" spans="1:17" ht="14.4" customHeight="1" x14ac:dyDescent="0.3">
      <c r="A92" s="546" t="s">
        <v>1157</v>
      </c>
      <c r="B92" s="547" t="s">
        <v>1062</v>
      </c>
      <c r="C92" s="547" t="s">
        <v>1048</v>
      </c>
      <c r="D92" s="547" t="s">
        <v>1069</v>
      </c>
      <c r="E92" s="547" t="s">
        <v>1070</v>
      </c>
      <c r="F92" s="567">
        <v>76</v>
      </c>
      <c r="G92" s="567">
        <v>22420</v>
      </c>
      <c r="H92" s="567">
        <v>0.8974102389624945</v>
      </c>
      <c r="I92" s="567">
        <v>295</v>
      </c>
      <c r="J92" s="567">
        <v>83</v>
      </c>
      <c r="K92" s="567">
        <v>24983</v>
      </c>
      <c r="L92" s="567">
        <v>1</v>
      </c>
      <c r="M92" s="567">
        <v>301</v>
      </c>
      <c r="N92" s="567">
        <v>99</v>
      </c>
      <c r="O92" s="567">
        <v>29799</v>
      </c>
      <c r="P92" s="552">
        <v>1.1927710843373494</v>
      </c>
      <c r="Q92" s="568">
        <v>301</v>
      </c>
    </row>
    <row r="93" spans="1:17" ht="14.4" customHeight="1" x14ac:dyDescent="0.3">
      <c r="A93" s="546" t="s">
        <v>1157</v>
      </c>
      <c r="B93" s="547" t="s">
        <v>1062</v>
      </c>
      <c r="C93" s="547" t="s">
        <v>1048</v>
      </c>
      <c r="D93" s="547" t="s">
        <v>1071</v>
      </c>
      <c r="E93" s="547" t="s">
        <v>1072</v>
      </c>
      <c r="F93" s="567">
        <v>3</v>
      </c>
      <c r="G93" s="567">
        <v>285</v>
      </c>
      <c r="H93" s="567"/>
      <c r="I93" s="567">
        <v>95</v>
      </c>
      <c r="J93" s="567"/>
      <c r="K93" s="567"/>
      <c r="L93" s="567"/>
      <c r="M93" s="567"/>
      <c r="N93" s="567"/>
      <c r="O93" s="567"/>
      <c r="P93" s="552"/>
      <c r="Q93" s="568"/>
    </row>
    <row r="94" spans="1:17" ht="14.4" customHeight="1" x14ac:dyDescent="0.3">
      <c r="A94" s="546" t="s">
        <v>1157</v>
      </c>
      <c r="B94" s="547" t="s">
        <v>1062</v>
      </c>
      <c r="C94" s="547" t="s">
        <v>1048</v>
      </c>
      <c r="D94" s="547" t="s">
        <v>1075</v>
      </c>
      <c r="E94" s="547" t="s">
        <v>1076</v>
      </c>
      <c r="F94" s="567">
        <v>50</v>
      </c>
      <c r="G94" s="567">
        <v>6750</v>
      </c>
      <c r="H94" s="567">
        <v>1.3686131386861313</v>
      </c>
      <c r="I94" s="567">
        <v>135</v>
      </c>
      <c r="J94" s="567">
        <v>36</v>
      </c>
      <c r="K94" s="567">
        <v>4932</v>
      </c>
      <c r="L94" s="567">
        <v>1</v>
      </c>
      <c r="M94" s="567">
        <v>137</v>
      </c>
      <c r="N94" s="567">
        <v>39</v>
      </c>
      <c r="O94" s="567">
        <v>5343</v>
      </c>
      <c r="P94" s="552">
        <v>1.0833333333333333</v>
      </c>
      <c r="Q94" s="568">
        <v>137</v>
      </c>
    </row>
    <row r="95" spans="1:17" ht="14.4" customHeight="1" x14ac:dyDescent="0.3">
      <c r="A95" s="546" t="s">
        <v>1157</v>
      </c>
      <c r="B95" s="547" t="s">
        <v>1062</v>
      </c>
      <c r="C95" s="547" t="s">
        <v>1048</v>
      </c>
      <c r="D95" s="547" t="s">
        <v>1082</v>
      </c>
      <c r="E95" s="547" t="s">
        <v>1083</v>
      </c>
      <c r="F95" s="567">
        <v>3</v>
      </c>
      <c r="G95" s="567">
        <v>483</v>
      </c>
      <c r="H95" s="567">
        <v>0.69797687861271673</v>
      </c>
      <c r="I95" s="567">
        <v>161</v>
      </c>
      <c r="J95" s="567">
        <v>4</v>
      </c>
      <c r="K95" s="567">
        <v>692</v>
      </c>
      <c r="L95" s="567">
        <v>1</v>
      </c>
      <c r="M95" s="567">
        <v>173</v>
      </c>
      <c r="N95" s="567">
        <v>3</v>
      </c>
      <c r="O95" s="567">
        <v>519</v>
      </c>
      <c r="P95" s="552">
        <v>0.75</v>
      </c>
      <c r="Q95" s="568">
        <v>173</v>
      </c>
    </row>
    <row r="96" spans="1:17" ht="14.4" customHeight="1" x14ac:dyDescent="0.3">
      <c r="A96" s="546" t="s">
        <v>1157</v>
      </c>
      <c r="B96" s="547" t="s">
        <v>1062</v>
      </c>
      <c r="C96" s="547" t="s">
        <v>1048</v>
      </c>
      <c r="D96" s="547" t="s">
        <v>1084</v>
      </c>
      <c r="E96" s="547" t="s">
        <v>1085</v>
      </c>
      <c r="F96" s="567">
        <v>1</v>
      </c>
      <c r="G96" s="567">
        <v>383</v>
      </c>
      <c r="H96" s="567">
        <v>0.33246527777777779</v>
      </c>
      <c r="I96" s="567">
        <v>383</v>
      </c>
      <c r="J96" s="567">
        <v>3</v>
      </c>
      <c r="K96" s="567">
        <v>1152</v>
      </c>
      <c r="L96" s="567">
        <v>1</v>
      </c>
      <c r="M96" s="567">
        <v>384</v>
      </c>
      <c r="N96" s="567"/>
      <c r="O96" s="567"/>
      <c r="P96" s="552"/>
      <c r="Q96" s="568"/>
    </row>
    <row r="97" spans="1:17" ht="14.4" customHeight="1" x14ac:dyDescent="0.3">
      <c r="A97" s="546" t="s">
        <v>1157</v>
      </c>
      <c r="B97" s="547" t="s">
        <v>1062</v>
      </c>
      <c r="C97" s="547" t="s">
        <v>1048</v>
      </c>
      <c r="D97" s="547" t="s">
        <v>1086</v>
      </c>
      <c r="E97" s="547" t="s">
        <v>1087</v>
      </c>
      <c r="F97" s="567">
        <v>78</v>
      </c>
      <c r="G97" s="567">
        <v>1248</v>
      </c>
      <c r="H97" s="567">
        <v>1.1294117647058823</v>
      </c>
      <c r="I97" s="567">
        <v>16</v>
      </c>
      <c r="J97" s="567">
        <v>65</v>
      </c>
      <c r="K97" s="567">
        <v>1105</v>
      </c>
      <c r="L97" s="567">
        <v>1</v>
      </c>
      <c r="M97" s="567">
        <v>17</v>
      </c>
      <c r="N97" s="567">
        <v>4</v>
      </c>
      <c r="O97" s="567">
        <v>68</v>
      </c>
      <c r="P97" s="552">
        <v>6.1538461538461542E-2</v>
      </c>
      <c r="Q97" s="568">
        <v>17</v>
      </c>
    </row>
    <row r="98" spans="1:17" ht="14.4" customHeight="1" x14ac:dyDescent="0.3">
      <c r="A98" s="546" t="s">
        <v>1157</v>
      </c>
      <c r="B98" s="547" t="s">
        <v>1062</v>
      </c>
      <c r="C98" s="547" t="s">
        <v>1048</v>
      </c>
      <c r="D98" s="547" t="s">
        <v>1088</v>
      </c>
      <c r="E98" s="547" t="s">
        <v>1089</v>
      </c>
      <c r="F98" s="567">
        <v>20</v>
      </c>
      <c r="G98" s="567">
        <v>5320</v>
      </c>
      <c r="H98" s="567">
        <v>1.1463046757164403</v>
      </c>
      <c r="I98" s="567">
        <v>266</v>
      </c>
      <c r="J98" s="567">
        <v>17</v>
      </c>
      <c r="K98" s="567">
        <v>4641</v>
      </c>
      <c r="L98" s="567">
        <v>1</v>
      </c>
      <c r="M98" s="567">
        <v>273</v>
      </c>
      <c r="N98" s="567"/>
      <c r="O98" s="567"/>
      <c r="P98" s="552"/>
      <c r="Q98" s="568"/>
    </row>
    <row r="99" spans="1:17" ht="14.4" customHeight="1" x14ac:dyDescent="0.3">
      <c r="A99" s="546" t="s">
        <v>1157</v>
      </c>
      <c r="B99" s="547" t="s">
        <v>1062</v>
      </c>
      <c r="C99" s="547" t="s">
        <v>1048</v>
      </c>
      <c r="D99" s="547" t="s">
        <v>1090</v>
      </c>
      <c r="E99" s="547" t="s">
        <v>1091</v>
      </c>
      <c r="F99" s="567">
        <v>24</v>
      </c>
      <c r="G99" s="567">
        <v>3384</v>
      </c>
      <c r="H99" s="567">
        <v>0.99295774647887325</v>
      </c>
      <c r="I99" s="567">
        <v>141</v>
      </c>
      <c r="J99" s="567">
        <v>24</v>
      </c>
      <c r="K99" s="567">
        <v>3408</v>
      </c>
      <c r="L99" s="567">
        <v>1</v>
      </c>
      <c r="M99" s="567">
        <v>142</v>
      </c>
      <c r="N99" s="567">
        <v>25</v>
      </c>
      <c r="O99" s="567">
        <v>3550</v>
      </c>
      <c r="P99" s="552">
        <v>1.0416666666666667</v>
      </c>
      <c r="Q99" s="568">
        <v>142</v>
      </c>
    </row>
    <row r="100" spans="1:17" ht="14.4" customHeight="1" x14ac:dyDescent="0.3">
      <c r="A100" s="546" t="s">
        <v>1157</v>
      </c>
      <c r="B100" s="547" t="s">
        <v>1062</v>
      </c>
      <c r="C100" s="547" t="s">
        <v>1048</v>
      </c>
      <c r="D100" s="547" t="s">
        <v>1092</v>
      </c>
      <c r="E100" s="547" t="s">
        <v>1091</v>
      </c>
      <c r="F100" s="567">
        <v>50</v>
      </c>
      <c r="G100" s="567">
        <v>3900</v>
      </c>
      <c r="H100" s="567">
        <v>1.3888888888888888</v>
      </c>
      <c r="I100" s="567">
        <v>78</v>
      </c>
      <c r="J100" s="567">
        <v>36</v>
      </c>
      <c r="K100" s="567">
        <v>2808</v>
      </c>
      <c r="L100" s="567">
        <v>1</v>
      </c>
      <c r="M100" s="567">
        <v>78</v>
      </c>
      <c r="N100" s="567">
        <v>39</v>
      </c>
      <c r="O100" s="567">
        <v>3042</v>
      </c>
      <c r="P100" s="552">
        <v>1.0833333333333333</v>
      </c>
      <c r="Q100" s="568">
        <v>78</v>
      </c>
    </row>
    <row r="101" spans="1:17" ht="14.4" customHeight="1" x14ac:dyDescent="0.3">
      <c r="A101" s="546" t="s">
        <v>1157</v>
      </c>
      <c r="B101" s="547" t="s">
        <v>1062</v>
      </c>
      <c r="C101" s="547" t="s">
        <v>1048</v>
      </c>
      <c r="D101" s="547" t="s">
        <v>1093</v>
      </c>
      <c r="E101" s="547" t="s">
        <v>1094</v>
      </c>
      <c r="F101" s="567">
        <v>24</v>
      </c>
      <c r="G101" s="567">
        <v>7368</v>
      </c>
      <c r="H101" s="567">
        <v>0.98083067092651754</v>
      </c>
      <c r="I101" s="567">
        <v>307</v>
      </c>
      <c r="J101" s="567">
        <v>24</v>
      </c>
      <c r="K101" s="567">
        <v>7512</v>
      </c>
      <c r="L101" s="567">
        <v>1</v>
      </c>
      <c r="M101" s="567">
        <v>313</v>
      </c>
      <c r="N101" s="567">
        <v>25</v>
      </c>
      <c r="O101" s="567">
        <v>7850</v>
      </c>
      <c r="P101" s="552">
        <v>1.0449946751863686</v>
      </c>
      <c r="Q101" s="568">
        <v>314</v>
      </c>
    </row>
    <row r="102" spans="1:17" ht="14.4" customHeight="1" x14ac:dyDescent="0.3">
      <c r="A102" s="546" t="s">
        <v>1157</v>
      </c>
      <c r="B102" s="547" t="s">
        <v>1062</v>
      </c>
      <c r="C102" s="547" t="s">
        <v>1048</v>
      </c>
      <c r="D102" s="547" t="s">
        <v>1095</v>
      </c>
      <c r="E102" s="547" t="s">
        <v>1096</v>
      </c>
      <c r="F102" s="567">
        <v>1</v>
      </c>
      <c r="G102" s="567">
        <v>487</v>
      </c>
      <c r="H102" s="567">
        <v>0.33265027322404372</v>
      </c>
      <c r="I102" s="567">
        <v>487</v>
      </c>
      <c r="J102" s="567">
        <v>3</v>
      </c>
      <c r="K102" s="567">
        <v>1464</v>
      </c>
      <c r="L102" s="567">
        <v>1</v>
      </c>
      <c r="M102" s="567">
        <v>488</v>
      </c>
      <c r="N102" s="567"/>
      <c r="O102" s="567"/>
      <c r="P102" s="552"/>
      <c r="Q102" s="568"/>
    </row>
    <row r="103" spans="1:17" ht="14.4" customHeight="1" x14ac:dyDescent="0.3">
      <c r="A103" s="546" t="s">
        <v>1157</v>
      </c>
      <c r="B103" s="547" t="s">
        <v>1062</v>
      </c>
      <c r="C103" s="547" t="s">
        <v>1048</v>
      </c>
      <c r="D103" s="547" t="s">
        <v>1097</v>
      </c>
      <c r="E103" s="547" t="s">
        <v>1098</v>
      </c>
      <c r="F103" s="567">
        <v>46</v>
      </c>
      <c r="G103" s="567">
        <v>7406</v>
      </c>
      <c r="H103" s="567">
        <v>1.3363406712378203</v>
      </c>
      <c r="I103" s="567">
        <v>161</v>
      </c>
      <c r="J103" s="567">
        <v>34</v>
      </c>
      <c r="K103" s="567">
        <v>5542</v>
      </c>
      <c r="L103" s="567">
        <v>1</v>
      </c>
      <c r="M103" s="567">
        <v>163</v>
      </c>
      <c r="N103" s="567">
        <v>56</v>
      </c>
      <c r="O103" s="567">
        <v>9128</v>
      </c>
      <c r="P103" s="552">
        <v>1.6470588235294117</v>
      </c>
      <c r="Q103" s="568">
        <v>163</v>
      </c>
    </row>
    <row r="104" spans="1:17" ht="14.4" customHeight="1" x14ac:dyDescent="0.3">
      <c r="A104" s="546" t="s">
        <v>1157</v>
      </c>
      <c r="B104" s="547" t="s">
        <v>1062</v>
      </c>
      <c r="C104" s="547" t="s">
        <v>1048</v>
      </c>
      <c r="D104" s="547" t="s">
        <v>1101</v>
      </c>
      <c r="E104" s="547" t="s">
        <v>1067</v>
      </c>
      <c r="F104" s="567">
        <v>114</v>
      </c>
      <c r="G104" s="567">
        <v>8094</v>
      </c>
      <c r="H104" s="567">
        <v>1.1959219858156029</v>
      </c>
      <c r="I104" s="567">
        <v>71</v>
      </c>
      <c r="J104" s="567">
        <v>94</v>
      </c>
      <c r="K104" s="567">
        <v>6768</v>
      </c>
      <c r="L104" s="567">
        <v>1</v>
      </c>
      <c r="M104" s="567">
        <v>72</v>
      </c>
      <c r="N104" s="567">
        <v>116</v>
      </c>
      <c r="O104" s="567">
        <v>8352</v>
      </c>
      <c r="P104" s="552">
        <v>1.2340425531914894</v>
      </c>
      <c r="Q104" s="568">
        <v>72</v>
      </c>
    </row>
    <row r="105" spans="1:17" ht="14.4" customHeight="1" x14ac:dyDescent="0.3">
      <c r="A105" s="546" t="s">
        <v>1157</v>
      </c>
      <c r="B105" s="547" t="s">
        <v>1062</v>
      </c>
      <c r="C105" s="547" t="s">
        <v>1048</v>
      </c>
      <c r="D105" s="547" t="s">
        <v>1108</v>
      </c>
      <c r="E105" s="547" t="s">
        <v>1109</v>
      </c>
      <c r="F105" s="567">
        <v>3</v>
      </c>
      <c r="G105" s="567">
        <v>3585</v>
      </c>
      <c r="H105" s="567">
        <v>0.42290904801226847</v>
      </c>
      <c r="I105" s="567">
        <v>1195</v>
      </c>
      <c r="J105" s="567">
        <v>7</v>
      </c>
      <c r="K105" s="567">
        <v>8477</v>
      </c>
      <c r="L105" s="567">
        <v>1</v>
      </c>
      <c r="M105" s="567">
        <v>1211</v>
      </c>
      <c r="N105" s="567">
        <v>4</v>
      </c>
      <c r="O105" s="567">
        <v>4844</v>
      </c>
      <c r="P105" s="552">
        <v>0.5714285714285714</v>
      </c>
      <c r="Q105" s="568">
        <v>1211</v>
      </c>
    </row>
    <row r="106" spans="1:17" ht="14.4" customHeight="1" x14ac:dyDescent="0.3">
      <c r="A106" s="546" t="s">
        <v>1157</v>
      </c>
      <c r="B106" s="547" t="s">
        <v>1062</v>
      </c>
      <c r="C106" s="547" t="s">
        <v>1048</v>
      </c>
      <c r="D106" s="547" t="s">
        <v>1110</v>
      </c>
      <c r="E106" s="547" t="s">
        <v>1111</v>
      </c>
      <c r="F106" s="567">
        <v>2</v>
      </c>
      <c r="G106" s="567">
        <v>220</v>
      </c>
      <c r="H106" s="567">
        <v>0.64327485380116955</v>
      </c>
      <c r="I106" s="567">
        <v>110</v>
      </c>
      <c r="J106" s="567">
        <v>3</v>
      </c>
      <c r="K106" s="567">
        <v>342</v>
      </c>
      <c r="L106" s="567">
        <v>1</v>
      </c>
      <c r="M106" s="567">
        <v>114</v>
      </c>
      <c r="N106" s="567">
        <v>2</v>
      </c>
      <c r="O106" s="567">
        <v>228</v>
      </c>
      <c r="P106" s="552">
        <v>0.66666666666666663</v>
      </c>
      <c r="Q106" s="568">
        <v>114</v>
      </c>
    </row>
    <row r="107" spans="1:17" ht="14.4" customHeight="1" x14ac:dyDescent="0.3">
      <c r="A107" s="546" t="s">
        <v>1046</v>
      </c>
      <c r="B107" s="547" t="s">
        <v>1062</v>
      </c>
      <c r="C107" s="547" t="s">
        <v>1048</v>
      </c>
      <c r="D107" s="547" t="s">
        <v>1066</v>
      </c>
      <c r="E107" s="547" t="s">
        <v>1067</v>
      </c>
      <c r="F107" s="567">
        <v>162</v>
      </c>
      <c r="G107" s="567">
        <v>33372</v>
      </c>
      <c r="H107" s="567">
        <v>1.1803069958265544</v>
      </c>
      <c r="I107" s="567">
        <v>206</v>
      </c>
      <c r="J107" s="567">
        <v>134</v>
      </c>
      <c r="K107" s="567">
        <v>28274</v>
      </c>
      <c r="L107" s="567">
        <v>1</v>
      </c>
      <c r="M107" s="567">
        <v>211</v>
      </c>
      <c r="N107" s="567">
        <v>64</v>
      </c>
      <c r="O107" s="567">
        <v>13504</v>
      </c>
      <c r="P107" s="552">
        <v>0.47761194029850745</v>
      </c>
      <c r="Q107" s="568">
        <v>211</v>
      </c>
    </row>
    <row r="108" spans="1:17" ht="14.4" customHeight="1" x14ac:dyDescent="0.3">
      <c r="A108" s="546" t="s">
        <v>1046</v>
      </c>
      <c r="B108" s="547" t="s">
        <v>1062</v>
      </c>
      <c r="C108" s="547" t="s">
        <v>1048</v>
      </c>
      <c r="D108" s="547" t="s">
        <v>1069</v>
      </c>
      <c r="E108" s="547" t="s">
        <v>1070</v>
      </c>
      <c r="F108" s="567">
        <v>85</v>
      </c>
      <c r="G108" s="567">
        <v>25075</v>
      </c>
      <c r="H108" s="567">
        <v>0.90549617217969092</v>
      </c>
      <c r="I108" s="567">
        <v>295</v>
      </c>
      <c r="J108" s="567">
        <v>92</v>
      </c>
      <c r="K108" s="567">
        <v>27692</v>
      </c>
      <c r="L108" s="567">
        <v>1</v>
      </c>
      <c r="M108" s="567">
        <v>301</v>
      </c>
      <c r="N108" s="567">
        <v>152</v>
      </c>
      <c r="O108" s="567">
        <v>45752</v>
      </c>
      <c r="P108" s="552">
        <v>1.6521739130434783</v>
      </c>
      <c r="Q108" s="568">
        <v>301</v>
      </c>
    </row>
    <row r="109" spans="1:17" ht="14.4" customHeight="1" x14ac:dyDescent="0.3">
      <c r="A109" s="546" t="s">
        <v>1046</v>
      </c>
      <c r="B109" s="547" t="s">
        <v>1062</v>
      </c>
      <c r="C109" s="547" t="s">
        <v>1048</v>
      </c>
      <c r="D109" s="547" t="s">
        <v>1071</v>
      </c>
      <c r="E109" s="547" t="s">
        <v>1072</v>
      </c>
      <c r="F109" s="567"/>
      <c r="G109" s="567"/>
      <c r="H109" s="567"/>
      <c r="I109" s="567"/>
      <c r="J109" s="567">
        <v>3</v>
      </c>
      <c r="K109" s="567">
        <v>297</v>
      </c>
      <c r="L109" s="567">
        <v>1</v>
      </c>
      <c r="M109" s="567">
        <v>99</v>
      </c>
      <c r="N109" s="567"/>
      <c r="O109" s="567"/>
      <c r="P109" s="552"/>
      <c r="Q109" s="568"/>
    </row>
    <row r="110" spans="1:17" ht="14.4" customHeight="1" x14ac:dyDescent="0.3">
      <c r="A110" s="546" t="s">
        <v>1046</v>
      </c>
      <c r="B110" s="547" t="s">
        <v>1062</v>
      </c>
      <c r="C110" s="547" t="s">
        <v>1048</v>
      </c>
      <c r="D110" s="547" t="s">
        <v>1075</v>
      </c>
      <c r="E110" s="547" t="s">
        <v>1076</v>
      </c>
      <c r="F110" s="567">
        <v>82</v>
      </c>
      <c r="G110" s="567">
        <v>11070</v>
      </c>
      <c r="H110" s="567">
        <v>1.3467153284671534</v>
      </c>
      <c r="I110" s="567">
        <v>135</v>
      </c>
      <c r="J110" s="567">
        <v>60</v>
      </c>
      <c r="K110" s="567">
        <v>8220</v>
      </c>
      <c r="L110" s="567">
        <v>1</v>
      </c>
      <c r="M110" s="567">
        <v>137</v>
      </c>
      <c r="N110" s="567">
        <v>61</v>
      </c>
      <c r="O110" s="567">
        <v>8357</v>
      </c>
      <c r="P110" s="552">
        <v>1.0166666666666666</v>
      </c>
      <c r="Q110" s="568">
        <v>137</v>
      </c>
    </row>
    <row r="111" spans="1:17" ht="14.4" customHeight="1" x14ac:dyDescent="0.3">
      <c r="A111" s="546" t="s">
        <v>1046</v>
      </c>
      <c r="B111" s="547" t="s">
        <v>1062</v>
      </c>
      <c r="C111" s="547" t="s">
        <v>1048</v>
      </c>
      <c r="D111" s="547" t="s">
        <v>1078</v>
      </c>
      <c r="E111" s="547" t="s">
        <v>1079</v>
      </c>
      <c r="F111" s="567"/>
      <c r="G111" s="567"/>
      <c r="H111" s="567"/>
      <c r="I111" s="567"/>
      <c r="J111" s="567">
        <v>1</v>
      </c>
      <c r="K111" s="567">
        <v>639</v>
      </c>
      <c r="L111" s="567">
        <v>1</v>
      </c>
      <c r="M111" s="567">
        <v>639</v>
      </c>
      <c r="N111" s="567"/>
      <c r="O111" s="567"/>
      <c r="P111" s="552"/>
      <c r="Q111" s="568"/>
    </row>
    <row r="112" spans="1:17" ht="14.4" customHeight="1" x14ac:dyDescent="0.3">
      <c r="A112" s="546" t="s">
        <v>1046</v>
      </c>
      <c r="B112" s="547" t="s">
        <v>1062</v>
      </c>
      <c r="C112" s="547" t="s">
        <v>1048</v>
      </c>
      <c r="D112" s="547" t="s">
        <v>1082</v>
      </c>
      <c r="E112" s="547" t="s">
        <v>1083</v>
      </c>
      <c r="F112" s="567">
        <v>4</v>
      </c>
      <c r="G112" s="567">
        <v>644</v>
      </c>
      <c r="H112" s="567">
        <v>1.8612716763005781</v>
      </c>
      <c r="I112" s="567">
        <v>161</v>
      </c>
      <c r="J112" s="567">
        <v>2</v>
      </c>
      <c r="K112" s="567">
        <v>346</v>
      </c>
      <c r="L112" s="567">
        <v>1</v>
      </c>
      <c r="M112" s="567">
        <v>173</v>
      </c>
      <c r="N112" s="567">
        <v>6</v>
      </c>
      <c r="O112" s="567">
        <v>1038</v>
      </c>
      <c r="P112" s="552">
        <v>3</v>
      </c>
      <c r="Q112" s="568">
        <v>173</v>
      </c>
    </row>
    <row r="113" spans="1:17" ht="14.4" customHeight="1" x14ac:dyDescent="0.3">
      <c r="A113" s="546" t="s">
        <v>1046</v>
      </c>
      <c r="B113" s="547" t="s">
        <v>1062</v>
      </c>
      <c r="C113" s="547" t="s">
        <v>1048</v>
      </c>
      <c r="D113" s="547" t="s">
        <v>1086</v>
      </c>
      <c r="E113" s="547" t="s">
        <v>1087</v>
      </c>
      <c r="F113" s="567">
        <v>135</v>
      </c>
      <c r="G113" s="567">
        <v>2160</v>
      </c>
      <c r="H113" s="567">
        <v>1.1446740858505564</v>
      </c>
      <c r="I113" s="567">
        <v>16</v>
      </c>
      <c r="J113" s="567">
        <v>111</v>
      </c>
      <c r="K113" s="567">
        <v>1887</v>
      </c>
      <c r="L113" s="567">
        <v>1</v>
      </c>
      <c r="M113" s="567">
        <v>17</v>
      </c>
      <c r="N113" s="567">
        <v>2</v>
      </c>
      <c r="O113" s="567">
        <v>34</v>
      </c>
      <c r="P113" s="552">
        <v>1.8018018018018018E-2</v>
      </c>
      <c r="Q113" s="568">
        <v>17</v>
      </c>
    </row>
    <row r="114" spans="1:17" ht="14.4" customHeight="1" x14ac:dyDescent="0.3">
      <c r="A114" s="546" t="s">
        <v>1046</v>
      </c>
      <c r="B114" s="547" t="s">
        <v>1062</v>
      </c>
      <c r="C114" s="547" t="s">
        <v>1048</v>
      </c>
      <c r="D114" s="547" t="s">
        <v>1088</v>
      </c>
      <c r="E114" s="547" t="s">
        <v>1089</v>
      </c>
      <c r="F114" s="567">
        <v>46</v>
      </c>
      <c r="G114" s="567">
        <v>12236</v>
      </c>
      <c r="H114" s="567">
        <v>1.1794871794871795</v>
      </c>
      <c r="I114" s="567">
        <v>266</v>
      </c>
      <c r="J114" s="567">
        <v>38</v>
      </c>
      <c r="K114" s="567">
        <v>10374</v>
      </c>
      <c r="L114" s="567">
        <v>1</v>
      </c>
      <c r="M114" s="567">
        <v>273</v>
      </c>
      <c r="N114" s="567"/>
      <c r="O114" s="567"/>
      <c r="P114" s="552"/>
      <c r="Q114" s="568"/>
    </row>
    <row r="115" spans="1:17" ht="14.4" customHeight="1" x14ac:dyDescent="0.3">
      <c r="A115" s="546" t="s">
        <v>1046</v>
      </c>
      <c r="B115" s="547" t="s">
        <v>1062</v>
      </c>
      <c r="C115" s="547" t="s">
        <v>1048</v>
      </c>
      <c r="D115" s="547" t="s">
        <v>1090</v>
      </c>
      <c r="E115" s="547" t="s">
        <v>1091</v>
      </c>
      <c r="F115" s="567">
        <v>53</v>
      </c>
      <c r="G115" s="567">
        <v>7473</v>
      </c>
      <c r="H115" s="567">
        <v>1.0525352112676056</v>
      </c>
      <c r="I115" s="567">
        <v>141</v>
      </c>
      <c r="J115" s="567">
        <v>50</v>
      </c>
      <c r="K115" s="567">
        <v>7100</v>
      </c>
      <c r="L115" s="567">
        <v>1</v>
      </c>
      <c r="M115" s="567">
        <v>142</v>
      </c>
      <c r="N115" s="567">
        <v>21</v>
      </c>
      <c r="O115" s="567">
        <v>2982</v>
      </c>
      <c r="P115" s="552">
        <v>0.42</v>
      </c>
      <c r="Q115" s="568">
        <v>142</v>
      </c>
    </row>
    <row r="116" spans="1:17" ht="14.4" customHeight="1" x14ac:dyDescent="0.3">
      <c r="A116" s="546" t="s">
        <v>1046</v>
      </c>
      <c r="B116" s="547" t="s">
        <v>1062</v>
      </c>
      <c r="C116" s="547" t="s">
        <v>1048</v>
      </c>
      <c r="D116" s="547" t="s">
        <v>1092</v>
      </c>
      <c r="E116" s="547" t="s">
        <v>1091</v>
      </c>
      <c r="F116" s="567">
        <v>82</v>
      </c>
      <c r="G116" s="567">
        <v>6396</v>
      </c>
      <c r="H116" s="567">
        <v>1.3442622950819672</v>
      </c>
      <c r="I116" s="567">
        <v>78</v>
      </c>
      <c r="J116" s="567">
        <v>61</v>
      </c>
      <c r="K116" s="567">
        <v>4758</v>
      </c>
      <c r="L116" s="567">
        <v>1</v>
      </c>
      <c r="M116" s="567">
        <v>78</v>
      </c>
      <c r="N116" s="567">
        <v>61</v>
      </c>
      <c r="O116" s="567">
        <v>4758</v>
      </c>
      <c r="P116" s="552">
        <v>1</v>
      </c>
      <c r="Q116" s="568">
        <v>78</v>
      </c>
    </row>
    <row r="117" spans="1:17" ht="14.4" customHeight="1" x14ac:dyDescent="0.3">
      <c r="A117" s="546" t="s">
        <v>1046</v>
      </c>
      <c r="B117" s="547" t="s">
        <v>1062</v>
      </c>
      <c r="C117" s="547" t="s">
        <v>1048</v>
      </c>
      <c r="D117" s="547" t="s">
        <v>1093</v>
      </c>
      <c r="E117" s="547" t="s">
        <v>1094</v>
      </c>
      <c r="F117" s="567">
        <v>53</v>
      </c>
      <c r="G117" s="567">
        <v>16271</v>
      </c>
      <c r="H117" s="567">
        <v>1.0396805111821086</v>
      </c>
      <c r="I117" s="567">
        <v>307</v>
      </c>
      <c r="J117" s="567">
        <v>50</v>
      </c>
      <c r="K117" s="567">
        <v>15650</v>
      </c>
      <c r="L117" s="567">
        <v>1</v>
      </c>
      <c r="M117" s="567">
        <v>313</v>
      </c>
      <c r="N117" s="567">
        <v>21</v>
      </c>
      <c r="O117" s="567">
        <v>6594</v>
      </c>
      <c r="P117" s="552">
        <v>0.42134185303514377</v>
      </c>
      <c r="Q117" s="568">
        <v>314</v>
      </c>
    </row>
    <row r="118" spans="1:17" ht="14.4" customHeight="1" x14ac:dyDescent="0.3">
      <c r="A118" s="546" t="s">
        <v>1046</v>
      </c>
      <c r="B118" s="547" t="s">
        <v>1062</v>
      </c>
      <c r="C118" s="547" t="s">
        <v>1048</v>
      </c>
      <c r="D118" s="547" t="s">
        <v>1097</v>
      </c>
      <c r="E118" s="547" t="s">
        <v>1098</v>
      </c>
      <c r="F118" s="567">
        <v>82</v>
      </c>
      <c r="G118" s="567">
        <v>13202</v>
      </c>
      <c r="H118" s="567">
        <v>1.3964459488047387</v>
      </c>
      <c r="I118" s="567">
        <v>161</v>
      </c>
      <c r="J118" s="567">
        <v>58</v>
      </c>
      <c r="K118" s="567">
        <v>9454</v>
      </c>
      <c r="L118" s="567">
        <v>1</v>
      </c>
      <c r="M118" s="567">
        <v>163</v>
      </c>
      <c r="N118" s="567">
        <v>81</v>
      </c>
      <c r="O118" s="567">
        <v>13203</v>
      </c>
      <c r="P118" s="552">
        <v>1.396551724137931</v>
      </c>
      <c r="Q118" s="568">
        <v>163</v>
      </c>
    </row>
    <row r="119" spans="1:17" ht="14.4" customHeight="1" x14ac:dyDescent="0.3">
      <c r="A119" s="546" t="s">
        <v>1046</v>
      </c>
      <c r="B119" s="547" t="s">
        <v>1062</v>
      </c>
      <c r="C119" s="547" t="s">
        <v>1048</v>
      </c>
      <c r="D119" s="547" t="s">
        <v>1101</v>
      </c>
      <c r="E119" s="547" t="s">
        <v>1067</v>
      </c>
      <c r="F119" s="567">
        <v>118</v>
      </c>
      <c r="G119" s="567">
        <v>8378</v>
      </c>
      <c r="H119" s="567">
        <v>0.96967592592592589</v>
      </c>
      <c r="I119" s="567">
        <v>71</v>
      </c>
      <c r="J119" s="567">
        <v>120</v>
      </c>
      <c r="K119" s="567">
        <v>8640</v>
      </c>
      <c r="L119" s="567">
        <v>1</v>
      </c>
      <c r="M119" s="567">
        <v>72</v>
      </c>
      <c r="N119" s="567">
        <v>124</v>
      </c>
      <c r="O119" s="567">
        <v>8928</v>
      </c>
      <c r="P119" s="552">
        <v>1.0333333333333334</v>
      </c>
      <c r="Q119" s="568">
        <v>72</v>
      </c>
    </row>
    <row r="120" spans="1:17" ht="14.4" customHeight="1" x14ac:dyDescent="0.3">
      <c r="A120" s="546" t="s">
        <v>1046</v>
      </c>
      <c r="B120" s="547" t="s">
        <v>1062</v>
      </c>
      <c r="C120" s="547" t="s">
        <v>1048</v>
      </c>
      <c r="D120" s="547" t="s">
        <v>1108</v>
      </c>
      <c r="E120" s="547" t="s">
        <v>1109</v>
      </c>
      <c r="F120" s="567">
        <v>6</v>
      </c>
      <c r="G120" s="567">
        <v>7170</v>
      </c>
      <c r="H120" s="567">
        <v>0.98678777869529311</v>
      </c>
      <c r="I120" s="567">
        <v>1195</v>
      </c>
      <c r="J120" s="567">
        <v>6</v>
      </c>
      <c r="K120" s="567">
        <v>7266</v>
      </c>
      <c r="L120" s="567">
        <v>1</v>
      </c>
      <c r="M120" s="567">
        <v>1211</v>
      </c>
      <c r="N120" s="567">
        <v>7</v>
      </c>
      <c r="O120" s="567">
        <v>8477</v>
      </c>
      <c r="P120" s="552">
        <v>1.1666666666666667</v>
      </c>
      <c r="Q120" s="568">
        <v>1211</v>
      </c>
    </row>
    <row r="121" spans="1:17" ht="14.4" customHeight="1" x14ac:dyDescent="0.3">
      <c r="A121" s="546" t="s">
        <v>1046</v>
      </c>
      <c r="B121" s="547" t="s">
        <v>1062</v>
      </c>
      <c r="C121" s="547" t="s">
        <v>1048</v>
      </c>
      <c r="D121" s="547" t="s">
        <v>1110</v>
      </c>
      <c r="E121" s="547" t="s">
        <v>1111</v>
      </c>
      <c r="F121" s="567">
        <v>4</v>
      </c>
      <c r="G121" s="567">
        <v>440</v>
      </c>
      <c r="H121" s="567">
        <v>1.2865497076023391</v>
      </c>
      <c r="I121" s="567">
        <v>110</v>
      </c>
      <c r="J121" s="567">
        <v>3</v>
      </c>
      <c r="K121" s="567">
        <v>342</v>
      </c>
      <c r="L121" s="567">
        <v>1</v>
      </c>
      <c r="M121" s="567">
        <v>114</v>
      </c>
      <c r="N121" s="567">
        <v>6</v>
      </c>
      <c r="O121" s="567">
        <v>684</v>
      </c>
      <c r="P121" s="552">
        <v>2</v>
      </c>
      <c r="Q121" s="568">
        <v>114</v>
      </c>
    </row>
    <row r="122" spans="1:17" ht="14.4" customHeight="1" x14ac:dyDescent="0.3">
      <c r="A122" s="546" t="s">
        <v>1046</v>
      </c>
      <c r="B122" s="547" t="s">
        <v>1062</v>
      </c>
      <c r="C122" s="547" t="s">
        <v>1048</v>
      </c>
      <c r="D122" s="547" t="s">
        <v>1112</v>
      </c>
      <c r="E122" s="547" t="s">
        <v>1113</v>
      </c>
      <c r="F122" s="567"/>
      <c r="G122" s="567"/>
      <c r="H122" s="567"/>
      <c r="I122" s="567"/>
      <c r="J122" s="567">
        <v>1</v>
      </c>
      <c r="K122" s="567">
        <v>346</v>
      </c>
      <c r="L122" s="567">
        <v>1</v>
      </c>
      <c r="M122" s="567">
        <v>346</v>
      </c>
      <c r="N122" s="567"/>
      <c r="O122" s="567"/>
      <c r="P122" s="552"/>
      <c r="Q122" s="568"/>
    </row>
    <row r="123" spans="1:17" ht="14.4" customHeight="1" x14ac:dyDescent="0.3">
      <c r="A123" s="546" t="s">
        <v>1046</v>
      </c>
      <c r="B123" s="547" t="s">
        <v>1062</v>
      </c>
      <c r="C123" s="547" t="s">
        <v>1048</v>
      </c>
      <c r="D123" s="547" t="s">
        <v>1120</v>
      </c>
      <c r="E123" s="547" t="s">
        <v>1121</v>
      </c>
      <c r="F123" s="567"/>
      <c r="G123" s="567"/>
      <c r="H123" s="567"/>
      <c r="I123" s="567"/>
      <c r="J123" s="567">
        <v>1</v>
      </c>
      <c r="K123" s="567">
        <v>301</v>
      </c>
      <c r="L123" s="567">
        <v>1</v>
      </c>
      <c r="M123" s="567">
        <v>301</v>
      </c>
      <c r="N123" s="567"/>
      <c r="O123" s="567"/>
      <c r="P123" s="552"/>
      <c r="Q123" s="568"/>
    </row>
    <row r="124" spans="1:17" ht="14.4" customHeight="1" x14ac:dyDescent="0.3">
      <c r="A124" s="546" t="s">
        <v>1158</v>
      </c>
      <c r="B124" s="547" t="s">
        <v>1062</v>
      </c>
      <c r="C124" s="547" t="s">
        <v>1048</v>
      </c>
      <c r="D124" s="547" t="s">
        <v>1066</v>
      </c>
      <c r="E124" s="547" t="s">
        <v>1067</v>
      </c>
      <c r="F124" s="567">
        <v>152</v>
      </c>
      <c r="G124" s="567">
        <v>31312</v>
      </c>
      <c r="H124" s="567">
        <v>1.1157752200406228</v>
      </c>
      <c r="I124" s="567">
        <v>206</v>
      </c>
      <c r="J124" s="567">
        <v>133</v>
      </c>
      <c r="K124" s="567">
        <v>28063</v>
      </c>
      <c r="L124" s="567">
        <v>1</v>
      </c>
      <c r="M124" s="567">
        <v>211</v>
      </c>
      <c r="N124" s="567">
        <v>155</v>
      </c>
      <c r="O124" s="567">
        <v>32705</v>
      </c>
      <c r="P124" s="552">
        <v>1.1654135338345866</v>
      </c>
      <c r="Q124" s="568">
        <v>211</v>
      </c>
    </row>
    <row r="125" spans="1:17" ht="14.4" customHeight="1" x14ac:dyDescent="0.3">
      <c r="A125" s="546" t="s">
        <v>1158</v>
      </c>
      <c r="B125" s="547" t="s">
        <v>1062</v>
      </c>
      <c r="C125" s="547" t="s">
        <v>1048</v>
      </c>
      <c r="D125" s="547" t="s">
        <v>1069</v>
      </c>
      <c r="E125" s="547" t="s">
        <v>1070</v>
      </c>
      <c r="F125" s="567">
        <v>142</v>
      </c>
      <c r="G125" s="567">
        <v>41890</v>
      </c>
      <c r="H125" s="567">
        <v>1.7616384204550233</v>
      </c>
      <c r="I125" s="567">
        <v>295</v>
      </c>
      <c r="J125" s="567">
        <v>79</v>
      </c>
      <c r="K125" s="567">
        <v>23779</v>
      </c>
      <c r="L125" s="567">
        <v>1</v>
      </c>
      <c r="M125" s="567">
        <v>301</v>
      </c>
      <c r="N125" s="567">
        <v>128</v>
      </c>
      <c r="O125" s="567">
        <v>38528</v>
      </c>
      <c r="P125" s="552">
        <v>1.620253164556962</v>
      </c>
      <c r="Q125" s="568">
        <v>301</v>
      </c>
    </row>
    <row r="126" spans="1:17" ht="14.4" customHeight="1" x14ac:dyDescent="0.3">
      <c r="A126" s="546" t="s">
        <v>1158</v>
      </c>
      <c r="B126" s="547" t="s">
        <v>1062</v>
      </c>
      <c r="C126" s="547" t="s">
        <v>1048</v>
      </c>
      <c r="D126" s="547" t="s">
        <v>1071</v>
      </c>
      <c r="E126" s="547" t="s">
        <v>1072</v>
      </c>
      <c r="F126" s="567"/>
      <c r="G126" s="567"/>
      <c r="H126" s="567"/>
      <c r="I126" s="567"/>
      <c r="J126" s="567">
        <v>6</v>
      </c>
      <c r="K126" s="567">
        <v>594</v>
      </c>
      <c r="L126" s="567">
        <v>1</v>
      </c>
      <c r="M126" s="567">
        <v>99</v>
      </c>
      <c r="N126" s="567"/>
      <c r="O126" s="567"/>
      <c r="P126" s="552"/>
      <c r="Q126" s="568"/>
    </row>
    <row r="127" spans="1:17" ht="14.4" customHeight="1" x14ac:dyDescent="0.3">
      <c r="A127" s="546" t="s">
        <v>1158</v>
      </c>
      <c r="B127" s="547" t="s">
        <v>1062</v>
      </c>
      <c r="C127" s="547" t="s">
        <v>1048</v>
      </c>
      <c r="D127" s="547" t="s">
        <v>1075</v>
      </c>
      <c r="E127" s="547" t="s">
        <v>1076</v>
      </c>
      <c r="F127" s="567">
        <v>20</v>
      </c>
      <c r="G127" s="567">
        <v>2700</v>
      </c>
      <c r="H127" s="567">
        <v>0.75800112296462663</v>
      </c>
      <c r="I127" s="567">
        <v>135</v>
      </c>
      <c r="J127" s="567">
        <v>26</v>
      </c>
      <c r="K127" s="567">
        <v>3562</v>
      </c>
      <c r="L127" s="567">
        <v>1</v>
      </c>
      <c r="M127" s="567">
        <v>137</v>
      </c>
      <c r="N127" s="567">
        <v>23</v>
      </c>
      <c r="O127" s="567">
        <v>3151</v>
      </c>
      <c r="P127" s="552">
        <v>0.88461538461538458</v>
      </c>
      <c r="Q127" s="568">
        <v>137</v>
      </c>
    </row>
    <row r="128" spans="1:17" ht="14.4" customHeight="1" x14ac:dyDescent="0.3">
      <c r="A128" s="546" t="s">
        <v>1158</v>
      </c>
      <c r="B128" s="547" t="s">
        <v>1062</v>
      </c>
      <c r="C128" s="547" t="s">
        <v>1048</v>
      </c>
      <c r="D128" s="547" t="s">
        <v>1082</v>
      </c>
      <c r="E128" s="547" t="s">
        <v>1083</v>
      </c>
      <c r="F128" s="567">
        <v>2</v>
      </c>
      <c r="G128" s="567">
        <v>322</v>
      </c>
      <c r="H128" s="567">
        <v>0.93063583815028905</v>
      </c>
      <c r="I128" s="567">
        <v>161</v>
      </c>
      <c r="J128" s="567">
        <v>2</v>
      </c>
      <c r="K128" s="567">
        <v>346</v>
      </c>
      <c r="L128" s="567">
        <v>1</v>
      </c>
      <c r="M128" s="567">
        <v>173</v>
      </c>
      <c r="N128" s="567">
        <v>4</v>
      </c>
      <c r="O128" s="567">
        <v>692</v>
      </c>
      <c r="P128" s="552">
        <v>2</v>
      </c>
      <c r="Q128" s="568">
        <v>173</v>
      </c>
    </row>
    <row r="129" spans="1:17" ht="14.4" customHeight="1" x14ac:dyDescent="0.3">
      <c r="A129" s="546" t="s">
        <v>1158</v>
      </c>
      <c r="B129" s="547" t="s">
        <v>1062</v>
      </c>
      <c r="C129" s="547" t="s">
        <v>1048</v>
      </c>
      <c r="D129" s="547" t="s">
        <v>1086</v>
      </c>
      <c r="E129" s="547" t="s">
        <v>1087</v>
      </c>
      <c r="F129" s="567">
        <v>53</v>
      </c>
      <c r="G129" s="567">
        <v>848</v>
      </c>
      <c r="H129" s="567">
        <v>0.77941176470588236</v>
      </c>
      <c r="I129" s="567">
        <v>16</v>
      </c>
      <c r="J129" s="567">
        <v>64</v>
      </c>
      <c r="K129" s="567">
        <v>1088</v>
      </c>
      <c r="L129" s="567">
        <v>1</v>
      </c>
      <c r="M129" s="567">
        <v>17</v>
      </c>
      <c r="N129" s="567">
        <v>2</v>
      </c>
      <c r="O129" s="567">
        <v>34</v>
      </c>
      <c r="P129" s="552">
        <v>3.125E-2</v>
      </c>
      <c r="Q129" s="568">
        <v>17</v>
      </c>
    </row>
    <row r="130" spans="1:17" ht="14.4" customHeight="1" x14ac:dyDescent="0.3">
      <c r="A130" s="546" t="s">
        <v>1158</v>
      </c>
      <c r="B130" s="547" t="s">
        <v>1062</v>
      </c>
      <c r="C130" s="547" t="s">
        <v>1048</v>
      </c>
      <c r="D130" s="547" t="s">
        <v>1088</v>
      </c>
      <c r="E130" s="547" t="s">
        <v>1089</v>
      </c>
      <c r="F130" s="567">
        <v>12</v>
      </c>
      <c r="G130" s="567">
        <v>3192</v>
      </c>
      <c r="H130" s="567">
        <v>0.77948717948717949</v>
      </c>
      <c r="I130" s="567">
        <v>266</v>
      </c>
      <c r="J130" s="567">
        <v>15</v>
      </c>
      <c r="K130" s="567">
        <v>4095</v>
      </c>
      <c r="L130" s="567">
        <v>1</v>
      </c>
      <c r="M130" s="567">
        <v>273</v>
      </c>
      <c r="N130" s="567"/>
      <c r="O130" s="567"/>
      <c r="P130" s="552"/>
      <c r="Q130" s="568"/>
    </row>
    <row r="131" spans="1:17" ht="14.4" customHeight="1" x14ac:dyDescent="0.3">
      <c r="A131" s="546" t="s">
        <v>1158</v>
      </c>
      <c r="B131" s="547" t="s">
        <v>1062</v>
      </c>
      <c r="C131" s="547" t="s">
        <v>1048</v>
      </c>
      <c r="D131" s="547" t="s">
        <v>1090</v>
      </c>
      <c r="E131" s="547" t="s">
        <v>1091</v>
      </c>
      <c r="F131" s="567">
        <v>27</v>
      </c>
      <c r="G131" s="567">
        <v>3807</v>
      </c>
      <c r="H131" s="567">
        <v>0.83780809859154926</v>
      </c>
      <c r="I131" s="567">
        <v>141</v>
      </c>
      <c r="J131" s="567">
        <v>32</v>
      </c>
      <c r="K131" s="567">
        <v>4544</v>
      </c>
      <c r="L131" s="567">
        <v>1</v>
      </c>
      <c r="M131" s="567">
        <v>142</v>
      </c>
      <c r="N131" s="567">
        <v>32</v>
      </c>
      <c r="O131" s="567">
        <v>4544</v>
      </c>
      <c r="P131" s="552">
        <v>1</v>
      </c>
      <c r="Q131" s="568">
        <v>142</v>
      </c>
    </row>
    <row r="132" spans="1:17" ht="14.4" customHeight="1" x14ac:dyDescent="0.3">
      <c r="A132" s="546" t="s">
        <v>1158</v>
      </c>
      <c r="B132" s="547" t="s">
        <v>1062</v>
      </c>
      <c r="C132" s="547" t="s">
        <v>1048</v>
      </c>
      <c r="D132" s="547" t="s">
        <v>1092</v>
      </c>
      <c r="E132" s="547" t="s">
        <v>1091</v>
      </c>
      <c r="F132" s="567">
        <v>20</v>
      </c>
      <c r="G132" s="567">
        <v>1560</v>
      </c>
      <c r="H132" s="567">
        <v>0.76923076923076927</v>
      </c>
      <c r="I132" s="567">
        <v>78</v>
      </c>
      <c r="J132" s="567">
        <v>26</v>
      </c>
      <c r="K132" s="567">
        <v>2028</v>
      </c>
      <c r="L132" s="567">
        <v>1</v>
      </c>
      <c r="M132" s="567">
        <v>78</v>
      </c>
      <c r="N132" s="567">
        <v>23</v>
      </c>
      <c r="O132" s="567">
        <v>1794</v>
      </c>
      <c r="P132" s="552">
        <v>0.88461538461538458</v>
      </c>
      <c r="Q132" s="568">
        <v>78</v>
      </c>
    </row>
    <row r="133" spans="1:17" ht="14.4" customHeight="1" x14ac:dyDescent="0.3">
      <c r="A133" s="546" t="s">
        <v>1158</v>
      </c>
      <c r="B133" s="547" t="s">
        <v>1062</v>
      </c>
      <c r="C133" s="547" t="s">
        <v>1048</v>
      </c>
      <c r="D133" s="547" t="s">
        <v>1093</v>
      </c>
      <c r="E133" s="547" t="s">
        <v>1094</v>
      </c>
      <c r="F133" s="567">
        <v>27</v>
      </c>
      <c r="G133" s="567">
        <v>8289</v>
      </c>
      <c r="H133" s="567">
        <v>0.82757587859424919</v>
      </c>
      <c r="I133" s="567">
        <v>307</v>
      </c>
      <c r="J133" s="567">
        <v>32</v>
      </c>
      <c r="K133" s="567">
        <v>10016</v>
      </c>
      <c r="L133" s="567">
        <v>1</v>
      </c>
      <c r="M133" s="567">
        <v>313</v>
      </c>
      <c r="N133" s="567">
        <v>32</v>
      </c>
      <c r="O133" s="567">
        <v>10048</v>
      </c>
      <c r="P133" s="552">
        <v>1.0031948881789137</v>
      </c>
      <c r="Q133" s="568">
        <v>314</v>
      </c>
    </row>
    <row r="134" spans="1:17" ht="14.4" customHeight="1" x14ac:dyDescent="0.3">
      <c r="A134" s="546" t="s">
        <v>1158</v>
      </c>
      <c r="B134" s="547" t="s">
        <v>1062</v>
      </c>
      <c r="C134" s="547" t="s">
        <v>1048</v>
      </c>
      <c r="D134" s="547" t="s">
        <v>1097</v>
      </c>
      <c r="E134" s="547" t="s">
        <v>1098</v>
      </c>
      <c r="F134" s="567">
        <v>8</v>
      </c>
      <c r="G134" s="567">
        <v>1288</v>
      </c>
      <c r="H134" s="567">
        <v>0.65848670756646221</v>
      </c>
      <c r="I134" s="567">
        <v>161</v>
      </c>
      <c r="J134" s="567">
        <v>12</v>
      </c>
      <c r="K134" s="567">
        <v>1956</v>
      </c>
      <c r="L134" s="567">
        <v>1</v>
      </c>
      <c r="M134" s="567">
        <v>163</v>
      </c>
      <c r="N134" s="567">
        <v>42</v>
      </c>
      <c r="O134" s="567">
        <v>6846</v>
      </c>
      <c r="P134" s="552">
        <v>3.5</v>
      </c>
      <c r="Q134" s="568">
        <v>163</v>
      </c>
    </row>
    <row r="135" spans="1:17" ht="14.4" customHeight="1" x14ac:dyDescent="0.3">
      <c r="A135" s="546" t="s">
        <v>1158</v>
      </c>
      <c r="B135" s="547" t="s">
        <v>1062</v>
      </c>
      <c r="C135" s="547" t="s">
        <v>1048</v>
      </c>
      <c r="D135" s="547" t="s">
        <v>1101</v>
      </c>
      <c r="E135" s="547" t="s">
        <v>1067</v>
      </c>
      <c r="F135" s="567">
        <v>64</v>
      </c>
      <c r="G135" s="567">
        <v>4544</v>
      </c>
      <c r="H135" s="567">
        <v>0.74248366013071898</v>
      </c>
      <c r="I135" s="567">
        <v>71</v>
      </c>
      <c r="J135" s="567">
        <v>85</v>
      </c>
      <c r="K135" s="567">
        <v>6120</v>
      </c>
      <c r="L135" s="567">
        <v>1</v>
      </c>
      <c r="M135" s="567">
        <v>72</v>
      </c>
      <c r="N135" s="567">
        <v>62</v>
      </c>
      <c r="O135" s="567">
        <v>4464</v>
      </c>
      <c r="P135" s="552">
        <v>0.72941176470588232</v>
      </c>
      <c r="Q135" s="568">
        <v>72</v>
      </c>
    </row>
    <row r="136" spans="1:17" ht="14.4" customHeight="1" x14ac:dyDescent="0.3">
      <c r="A136" s="546" t="s">
        <v>1158</v>
      </c>
      <c r="B136" s="547" t="s">
        <v>1062</v>
      </c>
      <c r="C136" s="547" t="s">
        <v>1048</v>
      </c>
      <c r="D136" s="547" t="s">
        <v>1108</v>
      </c>
      <c r="E136" s="547" t="s">
        <v>1109</v>
      </c>
      <c r="F136" s="567">
        <v>1</v>
      </c>
      <c r="G136" s="567">
        <v>1195</v>
      </c>
      <c r="H136" s="567">
        <v>0.19735755573905864</v>
      </c>
      <c r="I136" s="567">
        <v>1195</v>
      </c>
      <c r="J136" s="567">
        <v>5</v>
      </c>
      <c r="K136" s="567">
        <v>6055</v>
      </c>
      <c r="L136" s="567">
        <v>1</v>
      </c>
      <c r="M136" s="567">
        <v>1211</v>
      </c>
      <c r="N136" s="567">
        <v>5</v>
      </c>
      <c r="O136" s="567">
        <v>6055</v>
      </c>
      <c r="P136" s="552">
        <v>1</v>
      </c>
      <c r="Q136" s="568">
        <v>1211</v>
      </c>
    </row>
    <row r="137" spans="1:17" ht="14.4" customHeight="1" x14ac:dyDescent="0.3">
      <c r="A137" s="546" t="s">
        <v>1158</v>
      </c>
      <c r="B137" s="547" t="s">
        <v>1062</v>
      </c>
      <c r="C137" s="547" t="s">
        <v>1048</v>
      </c>
      <c r="D137" s="547" t="s">
        <v>1110</v>
      </c>
      <c r="E137" s="547" t="s">
        <v>1111</v>
      </c>
      <c r="F137" s="567">
        <v>1</v>
      </c>
      <c r="G137" s="567">
        <v>110</v>
      </c>
      <c r="H137" s="567">
        <v>0.48245614035087719</v>
      </c>
      <c r="I137" s="567">
        <v>110</v>
      </c>
      <c r="J137" s="567">
        <v>2</v>
      </c>
      <c r="K137" s="567">
        <v>228</v>
      </c>
      <c r="L137" s="567">
        <v>1</v>
      </c>
      <c r="M137" s="567">
        <v>114</v>
      </c>
      <c r="N137" s="567">
        <v>2</v>
      </c>
      <c r="O137" s="567">
        <v>228</v>
      </c>
      <c r="P137" s="552">
        <v>1</v>
      </c>
      <c r="Q137" s="568">
        <v>114</v>
      </c>
    </row>
    <row r="138" spans="1:17" ht="14.4" customHeight="1" x14ac:dyDescent="0.3">
      <c r="A138" s="546" t="s">
        <v>1159</v>
      </c>
      <c r="B138" s="547" t="s">
        <v>1062</v>
      </c>
      <c r="C138" s="547" t="s">
        <v>1048</v>
      </c>
      <c r="D138" s="547" t="s">
        <v>1066</v>
      </c>
      <c r="E138" s="547" t="s">
        <v>1067</v>
      </c>
      <c r="F138" s="567">
        <v>85</v>
      </c>
      <c r="G138" s="567">
        <v>17510</v>
      </c>
      <c r="H138" s="567">
        <v>1.0504529365888775</v>
      </c>
      <c r="I138" s="567">
        <v>206</v>
      </c>
      <c r="J138" s="567">
        <v>79</v>
      </c>
      <c r="K138" s="567">
        <v>16669</v>
      </c>
      <c r="L138" s="567">
        <v>1</v>
      </c>
      <c r="M138" s="567">
        <v>211</v>
      </c>
      <c r="N138" s="567">
        <v>77</v>
      </c>
      <c r="O138" s="567">
        <v>16247</v>
      </c>
      <c r="P138" s="552">
        <v>0.97468354430379744</v>
      </c>
      <c r="Q138" s="568">
        <v>211</v>
      </c>
    </row>
    <row r="139" spans="1:17" ht="14.4" customHeight="1" x14ac:dyDescent="0.3">
      <c r="A139" s="546" t="s">
        <v>1159</v>
      </c>
      <c r="B139" s="547" t="s">
        <v>1062</v>
      </c>
      <c r="C139" s="547" t="s">
        <v>1048</v>
      </c>
      <c r="D139" s="547" t="s">
        <v>1068</v>
      </c>
      <c r="E139" s="547" t="s">
        <v>1067</v>
      </c>
      <c r="F139" s="567"/>
      <c r="G139" s="567"/>
      <c r="H139" s="567"/>
      <c r="I139" s="567"/>
      <c r="J139" s="567">
        <v>4</v>
      </c>
      <c r="K139" s="567">
        <v>348</v>
      </c>
      <c r="L139" s="567">
        <v>1</v>
      </c>
      <c r="M139" s="567">
        <v>87</v>
      </c>
      <c r="N139" s="567"/>
      <c r="O139" s="567"/>
      <c r="P139" s="552"/>
      <c r="Q139" s="568"/>
    </row>
    <row r="140" spans="1:17" ht="14.4" customHeight="1" x14ac:dyDescent="0.3">
      <c r="A140" s="546" t="s">
        <v>1159</v>
      </c>
      <c r="B140" s="547" t="s">
        <v>1062</v>
      </c>
      <c r="C140" s="547" t="s">
        <v>1048</v>
      </c>
      <c r="D140" s="547" t="s">
        <v>1069</v>
      </c>
      <c r="E140" s="547" t="s">
        <v>1070</v>
      </c>
      <c r="F140" s="567">
        <v>12</v>
      </c>
      <c r="G140" s="567">
        <v>3540</v>
      </c>
      <c r="H140" s="567">
        <v>0.29401993355481726</v>
      </c>
      <c r="I140" s="567">
        <v>295</v>
      </c>
      <c r="J140" s="567">
        <v>40</v>
      </c>
      <c r="K140" s="567">
        <v>12040</v>
      </c>
      <c r="L140" s="567">
        <v>1</v>
      </c>
      <c r="M140" s="567">
        <v>301</v>
      </c>
      <c r="N140" s="567">
        <v>108</v>
      </c>
      <c r="O140" s="567">
        <v>32508</v>
      </c>
      <c r="P140" s="552">
        <v>2.7</v>
      </c>
      <c r="Q140" s="568">
        <v>301</v>
      </c>
    </row>
    <row r="141" spans="1:17" ht="14.4" customHeight="1" x14ac:dyDescent="0.3">
      <c r="A141" s="546" t="s">
        <v>1159</v>
      </c>
      <c r="B141" s="547" t="s">
        <v>1062</v>
      </c>
      <c r="C141" s="547" t="s">
        <v>1048</v>
      </c>
      <c r="D141" s="547" t="s">
        <v>1071</v>
      </c>
      <c r="E141" s="547" t="s">
        <v>1072</v>
      </c>
      <c r="F141" s="567"/>
      <c r="G141" s="567"/>
      <c r="H141" s="567"/>
      <c r="I141" s="567"/>
      <c r="J141" s="567">
        <v>3</v>
      </c>
      <c r="K141" s="567">
        <v>297</v>
      </c>
      <c r="L141" s="567">
        <v>1</v>
      </c>
      <c r="M141" s="567">
        <v>99</v>
      </c>
      <c r="N141" s="567"/>
      <c r="O141" s="567"/>
      <c r="P141" s="552"/>
      <c r="Q141" s="568"/>
    </row>
    <row r="142" spans="1:17" ht="14.4" customHeight="1" x14ac:dyDescent="0.3">
      <c r="A142" s="546" t="s">
        <v>1159</v>
      </c>
      <c r="B142" s="547" t="s">
        <v>1062</v>
      </c>
      <c r="C142" s="547" t="s">
        <v>1048</v>
      </c>
      <c r="D142" s="547" t="s">
        <v>1075</v>
      </c>
      <c r="E142" s="547" t="s">
        <v>1076</v>
      </c>
      <c r="F142" s="567">
        <v>49</v>
      </c>
      <c r="G142" s="567">
        <v>6615</v>
      </c>
      <c r="H142" s="567">
        <v>1.3795620437956204</v>
      </c>
      <c r="I142" s="567">
        <v>135</v>
      </c>
      <c r="J142" s="567">
        <v>35</v>
      </c>
      <c r="K142" s="567">
        <v>4795</v>
      </c>
      <c r="L142" s="567">
        <v>1</v>
      </c>
      <c r="M142" s="567">
        <v>137</v>
      </c>
      <c r="N142" s="567">
        <v>54</v>
      </c>
      <c r="O142" s="567">
        <v>7398</v>
      </c>
      <c r="P142" s="552">
        <v>1.5428571428571429</v>
      </c>
      <c r="Q142" s="568">
        <v>137</v>
      </c>
    </row>
    <row r="143" spans="1:17" ht="14.4" customHeight="1" x14ac:dyDescent="0.3">
      <c r="A143" s="546" t="s">
        <v>1159</v>
      </c>
      <c r="B143" s="547" t="s">
        <v>1062</v>
      </c>
      <c r="C143" s="547" t="s">
        <v>1048</v>
      </c>
      <c r="D143" s="547" t="s">
        <v>1077</v>
      </c>
      <c r="E143" s="547" t="s">
        <v>1076</v>
      </c>
      <c r="F143" s="567"/>
      <c r="G143" s="567"/>
      <c r="H143" s="567"/>
      <c r="I143" s="567"/>
      <c r="J143" s="567">
        <v>1</v>
      </c>
      <c r="K143" s="567">
        <v>183</v>
      </c>
      <c r="L143" s="567">
        <v>1</v>
      </c>
      <c r="M143" s="567">
        <v>183</v>
      </c>
      <c r="N143" s="567"/>
      <c r="O143" s="567"/>
      <c r="P143" s="552"/>
      <c r="Q143" s="568"/>
    </row>
    <row r="144" spans="1:17" ht="14.4" customHeight="1" x14ac:dyDescent="0.3">
      <c r="A144" s="546" t="s">
        <v>1159</v>
      </c>
      <c r="B144" s="547" t="s">
        <v>1062</v>
      </c>
      <c r="C144" s="547" t="s">
        <v>1048</v>
      </c>
      <c r="D144" s="547" t="s">
        <v>1078</v>
      </c>
      <c r="E144" s="547" t="s">
        <v>1079</v>
      </c>
      <c r="F144" s="567"/>
      <c r="G144" s="567"/>
      <c r="H144" s="567"/>
      <c r="I144" s="567"/>
      <c r="J144" s="567">
        <v>1</v>
      </c>
      <c r="K144" s="567">
        <v>639</v>
      </c>
      <c r="L144" s="567">
        <v>1</v>
      </c>
      <c r="M144" s="567">
        <v>639</v>
      </c>
      <c r="N144" s="567"/>
      <c r="O144" s="567"/>
      <c r="P144" s="552"/>
      <c r="Q144" s="568"/>
    </row>
    <row r="145" spans="1:17" ht="14.4" customHeight="1" x14ac:dyDescent="0.3">
      <c r="A145" s="546" t="s">
        <v>1159</v>
      </c>
      <c r="B145" s="547" t="s">
        <v>1062</v>
      </c>
      <c r="C145" s="547" t="s">
        <v>1048</v>
      </c>
      <c r="D145" s="547" t="s">
        <v>1082</v>
      </c>
      <c r="E145" s="547" t="s">
        <v>1083</v>
      </c>
      <c r="F145" s="567">
        <v>2</v>
      </c>
      <c r="G145" s="567">
        <v>322</v>
      </c>
      <c r="H145" s="567">
        <v>0.31021194605009633</v>
      </c>
      <c r="I145" s="567">
        <v>161</v>
      </c>
      <c r="J145" s="567">
        <v>6</v>
      </c>
      <c r="K145" s="567">
        <v>1038</v>
      </c>
      <c r="L145" s="567">
        <v>1</v>
      </c>
      <c r="M145" s="567">
        <v>173</v>
      </c>
      <c r="N145" s="567">
        <v>7</v>
      </c>
      <c r="O145" s="567">
        <v>1211</v>
      </c>
      <c r="P145" s="552">
        <v>1.1666666666666667</v>
      </c>
      <c r="Q145" s="568">
        <v>173</v>
      </c>
    </row>
    <row r="146" spans="1:17" ht="14.4" customHeight="1" x14ac:dyDescent="0.3">
      <c r="A146" s="546" t="s">
        <v>1159</v>
      </c>
      <c r="B146" s="547" t="s">
        <v>1062</v>
      </c>
      <c r="C146" s="547" t="s">
        <v>1048</v>
      </c>
      <c r="D146" s="547" t="s">
        <v>1084</v>
      </c>
      <c r="E146" s="547" t="s">
        <v>1085</v>
      </c>
      <c r="F146" s="567">
        <v>1</v>
      </c>
      <c r="G146" s="567">
        <v>383</v>
      </c>
      <c r="H146" s="567">
        <v>0.99739583333333337</v>
      </c>
      <c r="I146" s="567">
        <v>383</v>
      </c>
      <c r="J146" s="567">
        <v>1</v>
      </c>
      <c r="K146" s="567">
        <v>384</v>
      </c>
      <c r="L146" s="567">
        <v>1</v>
      </c>
      <c r="M146" s="567">
        <v>384</v>
      </c>
      <c r="N146" s="567">
        <v>2</v>
      </c>
      <c r="O146" s="567">
        <v>694</v>
      </c>
      <c r="P146" s="552">
        <v>1.8072916666666667</v>
      </c>
      <c r="Q146" s="568">
        <v>347</v>
      </c>
    </row>
    <row r="147" spans="1:17" ht="14.4" customHeight="1" x14ac:dyDescent="0.3">
      <c r="A147" s="546" t="s">
        <v>1159</v>
      </c>
      <c r="B147" s="547" t="s">
        <v>1062</v>
      </c>
      <c r="C147" s="547" t="s">
        <v>1048</v>
      </c>
      <c r="D147" s="547" t="s">
        <v>1086</v>
      </c>
      <c r="E147" s="547" t="s">
        <v>1087</v>
      </c>
      <c r="F147" s="567">
        <v>87</v>
      </c>
      <c r="G147" s="567">
        <v>1392</v>
      </c>
      <c r="H147" s="567">
        <v>1.222124670763828</v>
      </c>
      <c r="I147" s="567">
        <v>16</v>
      </c>
      <c r="J147" s="567">
        <v>67</v>
      </c>
      <c r="K147" s="567">
        <v>1139</v>
      </c>
      <c r="L147" s="567">
        <v>1</v>
      </c>
      <c r="M147" s="567">
        <v>17</v>
      </c>
      <c r="N147" s="567">
        <v>24</v>
      </c>
      <c r="O147" s="567">
        <v>408</v>
      </c>
      <c r="P147" s="552">
        <v>0.35820895522388058</v>
      </c>
      <c r="Q147" s="568">
        <v>17</v>
      </c>
    </row>
    <row r="148" spans="1:17" ht="14.4" customHeight="1" x14ac:dyDescent="0.3">
      <c r="A148" s="546" t="s">
        <v>1159</v>
      </c>
      <c r="B148" s="547" t="s">
        <v>1062</v>
      </c>
      <c r="C148" s="547" t="s">
        <v>1048</v>
      </c>
      <c r="D148" s="547" t="s">
        <v>1088</v>
      </c>
      <c r="E148" s="547" t="s">
        <v>1089</v>
      </c>
      <c r="F148" s="567">
        <v>20</v>
      </c>
      <c r="G148" s="567">
        <v>5320</v>
      </c>
      <c r="H148" s="567">
        <v>0.88578088578088576</v>
      </c>
      <c r="I148" s="567">
        <v>266</v>
      </c>
      <c r="J148" s="567">
        <v>22</v>
      </c>
      <c r="K148" s="567">
        <v>6006</v>
      </c>
      <c r="L148" s="567">
        <v>1</v>
      </c>
      <c r="M148" s="567">
        <v>273</v>
      </c>
      <c r="N148" s="567"/>
      <c r="O148" s="567"/>
      <c r="P148" s="552"/>
      <c r="Q148" s="568"/>
    </row>
    <row r="149" spans="1:17" ht="14.4" customHeight="1" x14ac:dyDescent="0.3">
      <c r="A149" s="546" t="s">
        <v>1159</v>
      </c>
      <c r="B149" s="547" t="s">
        <v>1062</v>
      </c>
      <c r="C149" s="547" t="s">
        <v>1048</v>
      </c>
      <c r="D149" s="547" t="s">
        <v>1090</v>
      </c>
      <c r="E149" s="547" t="s">
        <v>1091</v>
      </c>
      <c r="F149" s="567">
        <v>20</v>
      </c>
      <c r="G149" s="567">
        <v>2820</v>
      </c>
      <c r="H149" s="567">
        <v>1.1032863849765258</v>
      </c>
      <c r="I149" s="567">
        <v>141</v>
      </c>
      <c r="J149" s="567">
        <v>18</v>
      </c>
      <c r="K149" s="567">
        <v>2556</v>
      </c>
      <c r="L149" s="567">
        <v>1</v>
      </c>
      <c r="M149" s="567">
        <v>142</v>
      </c>
      <c r="N149" s="567">
        <v>19</v>
      </c>
      <c r="O149" s="567">
        <v>2698</v>
      </c>
      <c r="P149" s="552">
        <v>1.0555555555555556</v>
      </c>
      <c r="Q149" s="568">
        <v>142</v>
      </c>
    </row>
    <row r="150" spans="1:17" ht="14.4" customHeight="1" x14ac:dyDescent="0.3">
      <c r="A150" s="546" t="s">
        <v>1159</v>
      </c>
      <c r="B150" s="547" t="s">
        <v>1062</v>
      </c>
      <c r="C150" s="547" t="s">
        <v>1048</v>
      </c>
      <c r="D150" s="547" t="s">
        <v>1092</v>
      </c>
      <c r="E150" s="547" t="s">
        <v>1091</v>
      </c>
      <c r="F150" s="567">
        <v>49</v>
      </c>
      <c r="G150" s="567">
        <v>3822</v>
      </c>
      <c r="H150" s="567">
        <v>1.4</v>
      </c>
      <c r="I150" s="567">
        <v>78</v>
      </c>
      <c r="J150" s="567">
        <v>35</v>
      </c>
      <c r="K150" s="567">
        <v>2730</v>
      </c>
      <c r="L150" s="567">
        <v>1</v>
      </c>
      <c r="M150" s="567">
        <v>78</v>
      </c>
      <c r="N150" s="567">
        <v>54</v>
      </c>
      <c r="O150" s="567">
        <v>4212</v>
      </c>
      <c r="P150" s="552">
        <v>1.5428571428571429</v>
      </c>
      <c r="Q150" s="568">
        <v>78</v>
      </c>
    </row>
    <row r="151" spans="1:17" ht="14.4" customHeight="1" x14ac:dyDescent="0.3">
      <c r="A151" s="546" t="s">
        <v>1159</v>
      </c>
      <c r="B151" s="547" t="s">
        <v>1062</v>
      </c>
      <c r="C151" s="547" t="s">
        <v>1048</v>
      </c>
      <c r="D151" s="547" t="s">
        <v>1093</v>
      </c>
      <c r="E151" s="547" t="s">
        <v>1094</v>
      </c>
      <c r="F151" s="567">
        <v>20</v>
      </c>
      <c r="G151" s="567">
        <v>6140</v>
      </c>
      <c r="H151" s="567">
        <v>1.0898118565850194</v>
      </c>
      <c r="I151" s="567">
        <v>307</v>
      </c>
      <c r="J151" s="567">
        <v>18</v>
      </c>
      <c r="K151" s="567">
        <v>5634</v>
      </c>
      <c r="L151" s="567">
        <v>1</v>
      </c>
      <c r="M151" s="567">
        <v>313</v>
      </c>
      <c r="N151" s="567">
        <v>19</v>
      </c>
      <c r="O151" s="567">
        <v>5966</v>
      </c>
      <c r="P151" s="552">
        <v>1.0589279375221867</v>
      </c>
      <c r="Q151" s="568">
        <v>314</v>
      </c>
    </row>
    <row r="152" spans="1:17" ht="14.4" customHeight="1" x14ac:dyDescent="0.3">
      <c r="A152" s="546" t="s">
        <v>1159</v>
      </c>
      <c r="B152" s="547" t="s">
        <v>1062</v>
      </c>
      <c r="C152" s="547" t="s">
        <v>1048</v>
      </c>
      <c r="D152" s="547" t="s">
        <v>1095</v>
      </c>
      <c r="E152" s="547" t="s">
        <v>1096</v>
      </c>
      <c r="F152" s="567">
        <v>3</v>
      </c>
      <c r="G152" s="567">
        <v>1461</v>
      </c>
      <c r="H152" s="567">
        <v>1.4969262295081966</v>
      </c>
      <c r="I152" s="567">
        <v>487</v>
      </c>
      <c r="J152" s="567">
        <v>2</v>
      </c>
      <c r="K152" s="567">
        <v>976</v>
      </c>
      <c r="L152" s="567">
        <v>1</v>
      </c>
      <c r="M152" s="567">
        <v>488</v>
      </c>
      <c r="N152" s="567">
        <v>3</v>
      </c>
      <c r="O152" s="567">
        <v>984</v>
      </c>
      <c r="P152" s="552">
        <v>1.0081967213114753</v>
      </c>
      <c r="Q152" s="568">
        <v>328</v>
      </c>
    </row>
    <row r="153" spans="1:17" ht="14.4" customHeight="1" x14ac:dyDescent="0.3">
      <c r="A153" s="546" t="s">
        <v>1159</v>
      </c>
      <c r="B153" s="547" t="s">
        <v>1062</v>
      </c>
      <c r="C153" s="547" t="s">
        <v>1048</v>
      </c>
      <c r="D153" s="547" t="s">
        <v>1097</v>
      </c>
      <c r="E153" s="547" t="s">
        <v>1098</v>
      </c>
      <c r="F153" s="567">
        <v>41</v>
      </c>
      <c r="G153" s="567">
        <v>6601</v>
      </c>
      <c r="H153" s="567">
        <v>1.2271797731920431</v>
      </c>
      <c r="I153" s="567">
        <v>161</v>
      </c>
      <c r="J153" s="567">
        <v>33</v>
      </c>
      <c r="K153" s="567">
        <v>5379</v>
      </c>
      <c r="L153" s="567">
        <v>1</v>
      </c>
      <c r="M153" s="567">
        <v>163</v>
      </c>
      <c r="N153" s="567">
        <v>84</v>
      </c>
      <c r="O153" s="567">
        <v>13692</v>
      </c>
      <c r="P153" s="552">
        <v>2.5454545454545454</v>
      </c>
      <c r="Q153" s="568">
        <v>163</v>
      </c>
    </row>
    <row r="154" spans="1:17" ht="14.4" customHeight="1" x14ac:dyDescent="0.3">
      <c r="A154" s="546" t="s">
        <v>1159</v>
      </c>
      <c r="B154" s="547" t="s">
        <v>1062</v>
      </c>
      <c r="C154" s="547" t="s">
        <v>1048</v>
      </c>
      <c r="D154" s="547" t="s">
        <v>1101</v>
      </c>
      <c r="E154" s="547" t="s">
        <v>1067</v>
      </c>
      <c r="F154" s="567">
        <v>74</v>
      </c>
      <c r="G154" s="567">
        <v>5254</v>
      </c>
      <c r="H154" s="567">
        <v>1.2368173258003767</v>
      </c>
      <c r="I154" s="567">
        <v>71</v>
      </c>
      <c r="J154" s="567">
        <v>59</v>
      </c>
      <c r="K154" s="567">
        <v>4248</v>
      </c>
      <c r="L154" s="567">
        <v>1</v>
      </c>
      <c r="M154" s="567">
        <v>72</v>
      </c>
      <c r="N154" s="567">
        <v>96</v>
      </c>
      <c r="O154" s="567">
        <v>6912</v>
      </c>
      <c r="P154" s="552">
        <v>1.6271186440677967</v>
      </c>
      <c r="Q154" s="568">
        <v>72</v>
      </c>
    </row>
    <row r="155" spans="1:17" ht="14.4" customHeight="1" x14ac:dyDescent="0.3">
      <c r="A155" s="546" t="s">
        <v>1159</v>
      </c>
      <c r="B155" s="547" t="s">
        <v>1062</v>
      </c>
      <c r="C155" s="547" t="s">
        <v>1048</v>
      </c>
      <c r="D155" s="547" t="s">
        <v>1106</v>
      </c>
      <c r="E155" s="547" t="s">
        <v>1107</v>
      </c>
      <c r="F155" s="567"/>
      <c r="G155" s="567"/>
      <c r="H155" s="567"/>
      <c r="I155" s="567"/>
      <c r="J155" s="567">
        <v>3</v>
      </c>
      <c r="K155" s="567">
        <v>687</v>
      </c>
      <c r="L155" s="567">
        <v>1</v>
      </c>
      <c r="M155" s="567">
        <v>229</v>
      </c>
      <c r="N155" s="567"/>
      <c r="O155" s="567"/>
      <c r="P155" s="552"/>
      <c r="Q155" s="568"/>
    </row>
    <row r="156" spans="1:17" ht="14.4" customHeight="1" x14ac:dyDescent="0.3">
      <c r="A156" s="546" t="s">
        <v>1159</v>
      </c>
      <c r="B156" s="547" t="s">
        <v>1062</v>
      </c>
      <c r="C156" s="547" t="s">
        <v>1048</v>
      </c>
      <c r="D156" s="547" t="s">
        <v>1108</v>
      </c>
      <c r="E156" s="547" t="s">
        <v>1109</v>
      </c>
      <c r="F156" s="567">
        <v>1</v>
      </c>
      <c r="G156" s="567">
        <v>1195</v>
      </c>
      <c r="H156" s="567">
        <v>0.19735755573905864</v>
      </c>
      <c r="I156" s="567">
        <v>1195</v>
      </c>
      <c r="J156" s="567">
        <v>5</v>
      </c>
      <c r="K156" s="567">
        <v>6055</v>
      </c>
      <c r="L156" s="567">
        <v>1</v>
      </c>
      <c r="M156" s="567">
        <v>1211</v>
      </c>
      <c r="N156" s="567">
        <v>8</v>
      </c>
      <c r="O156" s="567">
        <v>9688</v>
      </c>
      <c r="P156" s="552">
        <v>1.6</v>
      </c>
      <c r="Q156" s="568">
        <v>1211</v>
      </c>
    </row>
    <row r="157" spans="1:17" ht="14.4" customHeight="1" x14ac:dyDescent="0.3">
      <c r="A157" s="546" t="s">
        <v>1159</v>
      </c>
      <c r="B157" s="547" t="s">
        <v>1062</v>
      </c>
      <c r="C157" s="547" t="s">
        <v>1048</v>
      </c>
      <c r="D157" s="547" t="s">
        <v>1110</v>
      </c>
      <c r="E157" s="547" t="s">
        <v>1111</v>
      </c>
      <c r="F157" s="567">
        <v>1</v>
      </c>
      <c r="G157" s="567">
        <v>110</v>
      </c>
      <c r="H157" s="567">
        <v>0.13784461152882205</v>
      </c>
      <c r="I157" s="567">
        <v>110</v>
      </c>
      <c r="J157" s="567">
        <v>7</v>
      </c>
      <c r="K157" s="567">
        <v>798</v>
      </c>
      <c r="L157" s="567">
        <v>1</v>
      </c>
      <c r="M157" s="567">
        <v>114</v>
      </c>
      <c r="N157" s="567">
        <v>7</v>
      </c>
      <c r="O157" s="567">
        <v>798</v>
      </c>
      <c r="P157" s="552">
        <v>1</v>
      </c>
      <c r="Q157" s="568">
        <v>114</v>
      </c>
    </row>
    <row r="158" spans="1:17" ht="14.4" customHeight="1" x14ac:dyDescent="0.3">
      <c r="A158" s="546" t="s">
        <v>1159</v>
      </c>
      <c r="B158" s="547" t="s">
        <v>1062</v>
      </c>
      <c r="C158" s="547" t="s">
        <v>1048</v>
      </c>
      <c r="D158" s="547" t="s">
        <v>1112</v>
      </c>
      <c r="E158" s="547" t="s">
        <v>1113</v>
      </c>
      <c r="F158" s="567"/>
      <c r="G158" s="567"/>
      <c r="H158" s="567"/>
      <c r="I158" s="567"/>
      <c r="J158" s="567">
        <v>1</v>
      </c>
      <c r="K158" s="567">
        <v>346</v>
      </c>
      <c r="L158" s="567">
        <v>1</v>
      </c>
      <c r="M158" s="567">
        <v>346</v>
      </c>
      <c r="N158" s="567"/>
      <c r="O158" s="567"/>
      <c r="P158" s="552"/>
      <c r="Q158" s="568"/>
    </row>
    <row r="159" spans="1:17" ht="14.4" customHeight="1" x14ac:dyDescent="0.3">
      <c r="A159" s="546" t="s">
        <v>1159</v>
      </c>
      <c r="B159" s="547" t="s">
        <v>1062</v>
      </c>
      <c r="C159" s="547" t="s">
        <v>1048</v>
      </c>
      <c r="D159" s="547" t="s">
        <v>1118</v>
      </c>
      <c r="E159" s="547" t="s">
        <v>1119</v>
      </c>
      <c r="F159" s="567"/>
      <c r="G159" s="567"/>
      <c r="H159" s="567"/>
      <c r="I159" s="567"/>
      <c r="J159" s="567">
        <v>1</v>
      </c>
      <c r="K159" s="567">
        <v>1064</v>
      </c>
      <c r="L159" s="567">
        <v>1</v>
      </c>
      <c r="M159" s="567">
        <v>1064</v>
      </c>
      <c r="N159" s="567"/>
      <c r="O159" s="567"/>
      <c r="P159" s="552"/>
      <c r="Q159" s="568"/>
    </row>
    <row r="160" spans="1:17" ht="14.4" customHeight="1" x14ac:dyDescent="0.3">
      <c r="A160" s="546" t="s">
        <v>1061</v>
      </c>
      <c r="B160" s="547" t="s">
        <v>1062</v>
      </c>
      <c r="C160" s="547" t="s">
        <v>1048</v>
      </c>
      <c r="D160" s="547" t="s">
        <v>1066</v>
      </c>
      <c r="E160" s="547" t="s">
        <v>1067</v>
      </c>
      <c r="F160" s="567">
        <v>3</v>
      </c>
      <c r="G160" s="567">
        <v>618</v>
      </c>
      <c r="H160" s="567">
        <v>2.9289099526066349</v>
      </c>
      <c r="I160" s="567">
        <v>206</v>
      </c>
      <c r="J160" s="567">
        <v>1</v>
      </c>
      <c r="K160" s="567">
        <v>211</v>
      </c>
      <c r="L160" s="567">
        <v>1</v>
      </c>
      <c r="M160" s="567">
        <v>211</v>
      </c>
      <c r="N160" s="567">
        <v>3</v>
      </c>
      <c r="O160" s="567">
        <v>633</v>
      </c>
      <c r="P160" s="552">
        <v>3</v>
      </c>
      <c r="Q160" s="568">
        <v>211</v>
      </c>
    </row>
    <row r="161" spans="1:17" ht="14.4" customHeight="1" x14ac:dyDescent="0.3">
      <c r="A161" s="546" t="s">
        <v>1061</v>
      </c>
      <c r="B161" s="547" t="s">
        <v>1062</v>
      </c>
      <c r="C161" s="547" t="s">
        <v>1048</v>
      </c>
      <c r="D161" s="547" t="s">
        <v>1069</v>
      </c>
      <c r="E161" s="547" t="s">
        <v>1070</v>
      </c>
      <c r="F161" s="567">
        <v>6</v>
      </c>
      <c r="G161" s="567">
        <v>1770</v>
      </c>
      <c r="H161" s="567">
        <v>0.8400569530137636</v>
      </c>
      <c r="I161" s="567">
        <v>295</v>
      </c>
      <c r="J161" s="567">
        <v>7</v>
      </c>
      <c r="K161" s="567">
        <v>2107</v>
      </c>
      <c r="L161" s="567">
        <v>1</v>
      </c>
      <c r="M161" s="567">
        <v>301</v>
      </c>
      <c r="N161" s="567">
        <v>13</v>
      </c>
      <c r="O161" s="567">
        <v>3913</v>
      </c>
      <c r="P161" s="552">
        <v>1.8571428571428572</v>
      </c>
      <c r="Q161" s="568">
        <v>301</v>
      </c>
    </row>
    <row r="162" spans="1:17" ht="14.4" customHeight="1" x14ac:dyDescent="0.3">
      <c r="A162" s="546" t="s">
        <v>1061</v>
      </c>
      <c r="B162" s="547" t="s">
        <v>1062</v>
      </c>
      <c r="C162" s="547" t="s">
        <v>1048</v>
      </c>
      <c r="D162" s="547" t="s">
        <v>1075</v>
      </c>
      <c r="E162" s="547" t="s">
        <v>1076</v>
      </c>
      <c r="F162" s="567">
        <v>4</v>
      </c>
      <c r="G162" s="567">
        <v>540</v>
      </c>
      <c r="H162" s="567">
        <v>3.9416058394160585</v>
      </c>
      <c r="I162" s="567">
        <v>135</v>
      </c>
      <c r="J162" s="567">
        <v>1</v>
      </c>
      <c r="K162" s="567">
        <v>137</v>
      </c>
      <c r="L162" s="567">
        <v>1</v>
      </c>
      <c r="M162" s="567">
        <v>137</v>
      </c>
      <c r="N162" s="567">
        <v>7</v>
      </c>
      <c r="O162" s="567">
        <v>959</v>
      </c>
      <c r="P162" s="552">
        <v>7</v>
      </c>
      <c r="Q162" s="568">
        <v>137</v>
      </c>
    </row>
    <row r="163" spans="1:17" ht="14.4" customHeight="1" x14ac:dyDescent="0.3">
      <c r="A163" s="546" t="s">
        <v>1061</v>
      </c>
      <c r="B163" s="547" t="s">
        <v>1062</v>
      </c>
      <c r="C163" s="547" t="s">
        <v>1048</v>
      </c>
      <c r="D163" s="547" t="s">
        <v>1160</v>
      </c>
      <c r="E163" s="547" t="s">
        <v>1161</v>
      </c>
      <c r="F163" s="567">
        <v>2</v>
      </c>
      <c r="G163" s="567">
        <v>570</v>
      </c>
      <c r="H163" s="567"/>
      <c r="I163" s="567">
        <v>285</v>
      </c>
      <c r="J163" s="567"/>
      <c r="K163" s="567"/>
      <c r="L163" s="567"/>
      <c r="M163" s="567"/>
      <c r="N163" s="567">
        <v>2</v>
      </c>
      <c r="O163" s="567">
        <v>596</v>
      </c>
      <c r="P163" s="552"/>
      <c r="Q163" s="568">
        <v>298</v>
      </c>
    </row>
    <row r="164" spans="1:17" ht="14.4" customHeight="1" x14ac:dyDescent="0.3">
      <c r="A164" s="546" t="s">
        <v>1061</v>
      </c>
      <c r="B164" s="547" t="s">
        <v>1062</v>
      </c>
      <c r="C164" s="547" t="s">
        <v>1048</v>
      </c>
      <c r="D164" s="547" t="s">
        <v>1082</v>
      </c>
      <c r="E164" s="547" t="s">
        <v>1083</v>
      </c>
      <c r="F164" s="567">
        <v>4</v>
      </c>
      <c r="G164" s="567">
        <v>644</v>
      </c>
      <c r="H164" s="567"/>
      <c r="I164" s="567">
        <v>161</v>
      </c>
      <c r="J164" s="567"/>
      <c r="K164" s="567"/>
      <c r="L164" s="567"/>
      <c r="M164" s="567"/>
      <c r="N164" s="567">
        <v>5</v>
      </c>
      <c r="O164" s="567">
        <v>865</v>
      </c>
      <c r="P164" s="552"/>
      <c r="Q164" s="568">
        <v>173</v>
      </c>
    </row>
    <row r="165" spans="1:17" ht="14.4" customHeight="1" x14ac:dyDescent="0.3">
      <c r="A165" s="546" t="s">
        <v>1061</v>
      </c>
      <c r="B165" s="547" t="s">
        <v>1062</v>
      </c>
      <c r="C165" s="547" t="s">
        <v>1048</v>
      </c>
      <c r="D165" s="547" t="s">
        <v>1084</v>
      </c>
      <c r="E165" s="547" t="s">
        <v>1085</v>
      </c>
      <c r="F165" s="567"/>
      <c r="G165" s="567"/>
      <c r="H165" s="567"/>
      <c r="I165" s="567"/>
      <c r="J165" s="567"/>
      <c r="K165" s="567"/>
      <c r="L165" s="567"/>
      <c r="M165" s="567"/>
      <c r="N165" s="567">
        <v>2</v>
      </c>
      <c r="O165" s="567">
        <v>694</v>
      </c>
      <c r="P165" s="552"/>
      <c r="Q165" s="568">
        <v>347</v>
      </c>
    </row>
    <row r="166" spans="1:17" ht="14.4" customHeight="1" x14ac:dyDescent="0.3">
      <c r="A166" s="546" t="s">
        <v>1061</v>
      </c>
      <c r="B166" s="547" t="s">
        <v>1062</v>
      </c>
      <c r="C166" s="547" t="s">
        <v>1048</v>
      </c>
      <c r="D166" s="547" t="s">
        <v>1086</v>
      </c>
      <c r="E166" s="547" t="s">
        <v>1087</v>
      </c>
      <c r="F166" s="567">
        <v>345</v>
      </c>
      <c r="G166" s="567">
        <v>5520</v>
      </c>
      <c r="H166" s="567">
        <v>0.87286527514231504</v>
      </c>
      <c r="I166" s="567">
        <v>16</v>
      </c>
      <c r="J166" s="567">
        <v>372</v>
      </c>
      <c r="K166" s="567">
        <v>6324</v>
      </c>
      <c r="L166" s="567">
        <v>1</v>
      </c>
      <c r="M166" s="567">
        <v>17</v>
      </c>
      <c r="N166" s="567">
        <v>444</v>
      </c>
      <c r="O166" s="567">
        <v>7548</v>
      </c>
      <c r="P166" s="552">
        <v>1.1935483870967742</v>
      </c>
      <c r="Q166" s="568">
        <v>17</v>
      </c>
    </row>
    <row r="167" spans="1:17" ht="14.4" customHeight="1" x14ac:dyDescent="0.3">
      <c r="A167" s="546" t="s">
        <v>1061</v>
      </c>
      <c r="B167" s="547" t="s">
        <v>1062</v>
      </c>
      <c r="C167" s="547" t="s">
        <v>1048</v>
      </c>
      <c r="D167" s="547" t="s">
        <v>1090</v>
      </c>
      <c r="E167" s="547" t="s">
        <v>1091</v>
      </c>
      <c r="F167" s="567"/>
      <c r="G167" s="567"/>
      <c r="H167" s="567"/>
      <c r="I167" s="567"/>
      <c r="J167" s="567">
        <v>1</v>
      </c>
      <c r="K167" s="567">
        <v>142</v>
      </c>
      <c r="L167" s="567">
        <v>1</v>
      </c>
      <c r="M167" s="567">
        <v>142</v>
      </c>
      <c r="N167" s="567"/>
      <c r="O167" s="567"/>
      <c r="P167" s="552"/>
      <c r="Q167" s="568"/>
    </row>
    <row r="168" spans="1:17" ht="14.4" customHeight="1" x14ac:dyDescent="0.3">
      <c r="A168" s="546" t="s">
        <v>1061</v>
      </c>
      <c r="B168" s="547" t="s">
        <v>1062</v>
      </c>
      <c r="C168" s="547" t="s">
        <v>1048</v>
      </c>
      <c r="D168" s="547" t="s">
        <v>1092</v>
      </c>
      <c r="E168" s="547" t="s">
        <v>1091</v>
      </c>
      <c r="F168" s="567">
        <v>4</v>
      </c>
      <c r="G168" s="567">
        <v>312</v>
      </c>
      <c r="H168" s="567">
        <v>4</v>
      </c>
      <c r="I168" s="567">
        <v>78</v>
      </c>
      <c r="J168" s="567">
        <v>1</v>
      </c>
      <c r="K168" s="567">
        <v>78</v>
      </c>
      <c r="L168" s="567">
        <v>1</v>
      </c>
      <c r="M168" s="567">
        <v>78</v>
      </c>
      <c r="N168" s="567">
        <v>7</v>
      </c>
      <c r="O168" s="567">
        <v>546</v>
      </c>
      <c r="P168" s="552">
        <v>7</v>
      </c>
      <c r="Q168" s="568">
        <v>78</v>
      </c>
    </row>
    <row r="169" spans="1:17" ht="14.4" customHeight="1" x14ac:dyDescent="0.3">
      <c r="A169" s="546" t="s">
        <v>1061</v>
      </c>
      <c r="B169" s="547" t="s">
        <v>1062</v>
      </c>
      <c r="C169" s="547" t="s">
        <v>1048</v>
      </c>
      <c r="D169" s="547" t="s">
        <v>1093</v>
      </c>
      <c r="E169" s="547" t="s">
        <v>1094</v>
      </c>
      <c r="F169" s="567"/>
      <c r="G169" s="567"/>
      <c r="H169" s="567"/>
      <c r="I169" s="567"/>
      <c r="J169" s="567">
        <v>1</v>
      </c>
      <c r="K169" s="567">
        <v>313</v>
      </c>
      <c r="L169" s="567">
        <v>1</v>
      </c>
      <c r="M169" s="567">
        <v>313</v>
      </c>
      <c r="N169" s="567"/>
      <c r="O169" s="567"/>
      <c r="P169" s="552"/>
      <c r="Q169" s="568"/>
    </row>
    <row r="170" spans="1:17" ht="14.4" customHeight="1" x14ac:dyDescent="0.3">
      <c r="A170" s="546" t="s">
        <v>1061</v>
      </c>
      <c r="B170" s="547" t="s">
        <v>1062</v>
      </c>
      <c r="C170" s="547" t="s">
        <v>1048</v>
      </c>
      <c r="D170" s="547" t="s">
        <v>1095</v>
      </c>
      <c r="E170" s="547" t="s">
        <v>1096</v>
      </c>
      <c r="F170" s="567">
        <v>331</v>
      </c>
      <c r="G170" s="567">
        <v>161197</v>
      </c>
      <c r="H170" s="567">
        <v>0.93311220709456333</v>
      </c>
      <c r="I170" s="567">
        <v>487</v>
      </c>
      <c r="J170" s="567">
        <v>354</v>
      </c>
      <c r="K170" s="567">
        <v>172752</v>
      </c>
      <c r="L170" s="567">
        <v>1</v>
      </c>
      <c r="M170" s="567">
        <v>488</v>
      </c>
      <c r="N170" s="567">
        <v>380</v>
      </c>
      <c r="O170" s="567">
        <v>124640</v>
      </c>
      <c r="P170" s="552">
        <v>0.72149671204964339</v>
      </c>
      <c r="Q170" s="568">
        <v>328</v>
      </c>
    </row>
    <row r="171" spans="1:17" ht="14.4" customHeight="1" x14ac:dyDescent="0.3">
      <c r="A171" s="546" t="s">
        <v>1061</v>
      </c>
      <c r="B171" s="547" t="s">
        <v>1062</v>
      </c>
      <c r="C171" s="547" t="s">
        <v>1048</v>
      </c>
      <c r="D171" s="547" t="s">
        <v>1097</v>
      </c>
      <c r="E171" s="547" t="s">
        <v>1098</v>
      </c>
      <c r="F171" s="567">
        <v>4</v>
      </c>
      <c r="G171" s="567">
        <v>644</v>
      </c>
      <c r="H171" s="567">
        <v>1.9754601226993864</v>
      </c>
      <c r="I171" s="567">
        <v>161</v>
      </c>
      <c r="J171" s="567">
        <v>2</v>
      </c>
      <c r="K171" s="567">
        <v>326</v>
      </c>
      <c r="L171" s="567">
        <v>1</v>
      </c>
      <c r="M171" s="567">
        <v>163</v>
      </c>
      <c r="N171" s="567">
        <v>7</v>
      </c>
      <c r="O171" s="567">
        <v>1141</v>
      </c>
      <c r="P171" s="552">
        <v>3.5</v>
      </c>
      <c r="Q171" s="568">
        <v>163</v>
      </c>
    </row>
    <row r="172" spans="1:17" ht="14.4" customHeight="1" x14ac:dyDescent="0.3">
      <c r="A172" s="546" t="s">
        <v>1061</v>
      </c>
      <c r="B172" s="547" t="s">
        <v>1062</v>
      </c>
      <c r="C172" s="547" t="s">
        <v>1048</v>
      </c>
      <c r="D172" s="547" t="s">
        <v>1101</v>
      </c>
      <c r="E172" s="547" t="s">
        <v>1067</v>
      </c>
      <c r="F172" s="567">
        <v>10</v>
      </c>
      <c r="G172" s="567">
        <v>710</v>
      </c>
      <c r="H172" s="567">
        <v>0.65740740740740744</v>
      </c>
      <c r="I172" s="567">
        <v>71</v>
      </c>
      <c r="J172" s="567">
        <v>15</v>
      </c>
      <c r="K172" s="567">
        <v>1080</v>
      </c>
      <c r="L172" s="567">
        <v>1</v>
      </c>
      <c r="M172" s="567">
        <v>72</v>
      </c>
      <c r="N172" s="567">
        <v>19</v>
      </c>
      <c r="O172" s="567">
        <v>1368</v>
      </c>
      <c r="P172" s="552">
        <v>1.2666666666666666</v>
      </c>
      <c r="Q172" s="568">
        <v>72</v>
      </c>
    </row>
    <row r="173" spans="1:17" ht="14.4" customHeight="1" x14ac:dyDescent="0.3">
      <c r="A173" s="546" t="s">
        <v>1061</v>
      </c>
      <c r="B173" s="547" t="s">
        <v>1062</v>
      </c>
      <c r="C173" s="547" t="s">
        <v>1048</v>
      </c>
      <c r="D173" s="547" t="s">
        <v>1110</v>
      </c>
      <c r="E173" s="547" t="s">
        <v>1111</v>
      </c>
      <c r="F173" s="567">
        <v>64</v>
      </c>
      <c r="G173" s="567">
        <v>7040</v>
      </c>
      <c r="H173" s="567">
        <v>1.2108703130374956</v>
      </c>
      <c r="I173" s="567">
        <v>110</v>
      </c>
      <c r="J173" s="567">
        <v>51</v>
      </c>
      <c r="K173" s="567">
        <v>5814</v>
      </c>
      <c r="L173" s="567">
        <v>1</v>
      </c>
      <c r="M173" s="567">
        <v>114</v>
      </c>
      <c r="N173" s="567">
        <v>80</v>
      </c>
      <c r="O173" s="567">
        <v>9120</v>
      </c>
      <c r="P173" s="552">
        <v>1.5686274509803921</v>
      </c>
      <c r="Q173" s="568">
        <v>114</v>
      </c>
    </row>
    <row r="174" spans="1:17" ht="14.4" customHeight="1" x14ac:dyDescent="0.3">
      <c r="A174" s="546" t="s">
        <v>1061</v>
      </c>
      <c r="B174" s="547" t="s">
        <v>1062</v>
      </c>
      <c r="C174" s="547" t="s">
        <v>1048</v>
      </c>
      <c r="D174" s="547" t="s">
        <v>1116</v>
      </c>
      <c r="E174" s="547" t="s">
        <v>1117</v>
      </c>
      <c r="F174" s="567">
        <v>152</v>
      </c>
      <c r="G174" s="567">
        <v>22192</v>
      </c>
      <c r="H174" s="567">
        <v>0.97977924944812367</v>
      </c>
      <c r="I174" s="567">
        <v>146</v>
      </c>
      <c r="J174" s="567">
        <v>151</v>
      </c>
      <c r="K174" s="567">
        <v>22650</v>
      </c>
      <c r="L174" s="567">
        <v>1</v>
      </c>
      <c r="M174" s="567">
        <v>150</v>
      </c>
      <c r="N174" s="567">
        <v>177</v>
      </c>
      <c r="O174" s="567">
        <v>26550</v>
      </c>
      <c r="P174" s="552">
        <v>1.1721854304635762</v>
      </c>
      <c r="Q174" s="568">
        <v>150</v>
      </c>
    </row>
    <row r="175" spans="1:17" ht="14.4" customHeight="1" x14ac:dyDescent="0.3">
      <c r="A175" s="546" t="s">
        <v>1061</v>
      </c>
      <c r="B175" s="547" t="s">
        <v>1062</v>
      </c>
      <c r="C175" s="547" t="s">
        <v>1048</v>
      </c>
      <c r="D175" s="547" t="s">
        <v>1120</v>
      </c>
      <c r="E175" s="547" t="s">
        <v>1121</v>
      </c>
      <c r="F175" s="567">
        <v>1</v>
      </c>
      <c r="G175" s="567">
        <v>294</v>
      </c>
      <c r="H175" s="567"/>
      <c r="I175" s="567">
        <v>294</v>
      </c>
      <c r="J175" s="567"/>
      <c r="K175" s="567"/>
      <c r="L175" s="567"/>
      <c r="M175" s="567"/>
      <c r="N175" s="567"/>
      <c r="O175" s="567"/>
      <c r="P175" s="552"/>
      <c r="Q175" s="568"/>
    </row>
    <row r="176" spans="1:17" ht="14.4" customHeight="1" x14ac:dyDescent="0.3">
      <c r="A176" s="546" t="s">
        <v>1162</v>
      </c>
      <c r="B176" s="547" t="s">
        <v>1062</v>
      </c>
      <c r="C176" s="547" t="s">
        <v>1048</v>
      </c>
      <c r="D176" s="547" t="s">
        <v>1066</v>
      </c>
      <c r="E176" s="547" t="s">
        <v>1067</v>
      </c>
      <c r="F176" s="567">
        <v>23</v>
      </c>
      <c r="G176" s="567">
        <v>4738</v>
      </c>
      <c r="H176" s="567">
        <v>1.181840858069344</v>
      </c>
      <c r="I176" s="567">
        <v>206</v>
      </c>
      <c r="J176" s="567">
        <v>19</v>
      </c>
      <c r="K176" s="567">
        <v>4009</v>
      </c>
      <c r="L176" s="567">
        <v>1</v>
      </c>
      <c r="M176" s="567">
        <v>211</v>
      </c>
      <c r="N176" s="567">
        <v>24</v>
      </c>
      <c r="O176" s="567">
        <v>5064</v>
      </c>
      <c r="P176" s="552">
        <v>1.263157894736842</v>
      </c>
      <c r="Q176" s="568">
        <v>211</v>
      </c>
    </row>
    <row r="177" spans="1:17" ht="14.4" customHeight="1" x14ac:dyDescent="0.3">
      <c r="A177" s="546" t="s">
        <v>1162</v>
      </c>
      <c r="B177" s="547" t="s">
        <v>1062</v>
      </c>
      <c r="C177" s="547" t="s">
        <v>1048</v>
      </c>
      <c r="D177" s="547" t="s">
        <v>1068</v>
      </c>
      <c r="E177" s="547" t="s">
        <v>1067</v>
      </c>
      <c r="F177" s="567">
        <v>1</v>
      </c>
      <c r="G177" s="567">
        <v>85</v>
      </c>
      <c r="H177" s="567"/>
      <c r="I177" s="567">
        <v>85</v>
      </c>
      <c r="J177" s="567"/>
      <c r="K177" s="567"/>
      <c r="L177" s="567"/>
      <c r="M177" s="567"/>
      <c r="N177" s="567"/>
      <c r="O177" s="567"/>
      <c r="P177" s="552"/>
      <c r="Q177" s="568"/>
    </row>
    <row r="178" spans="1:17" ht="14.4" customHeight="1" x14ac:dyDescent="0.3">
      <c r="A178" s="546" t="s">
        <v>1162</v>
      </c>
      <c r="B178" s="547" t="s">
        <v>1062</v>
      </c>
      <c r="C178" s="547" t="s">
        <v>1048</v>
      </c>
      <c r="D178" s="547" t="s">
        <v>1069</v>
      </c>
      <c r="E178" s="547" t="s">
        <v>1070</v>
      </c>
      <c r="F178" s="567">
        <v>12</v>
      </c>
      <c r="G178" s="567">
        <v>3540</v>
      </c>
      <c r="H178" s="567">
        <v>0.51133901487794309</v>
      </c>
      <c r="I178" s="567">
        <v>295</v>
      </c>
      <c r="J178" s="567">
        <v>23</v>
      </c>
      <c r="K178" s="567">
        <v>6923</v>
      </c>
      <c r="L178" s="567">
        <v>1</v>
      </c>
      <c r="M178" s="567">
        <v>301</v>
      </c>
      <c r="N178" s="567">
        <v>13</v>
      </c>
      <c r="O178" s="567">
        <v>3913</v>
      </c>
      <c r="P178" s="552">
        <v>0.56521739130434778</v>
      </c>
      <c r="Q178" s="568">
        <v>301</v>
      </c>
    </row>
    <row r="179" spans="1:17" ht="14.4" customHeight="1" x14ac:dyDescent="0.3">
      <c r="A179" s="546" t="s">
        <v>1162</v>
      </c>
      <c r="B179" s="547" t="s">
        <v>1062</v>
      </c>
      <c r="C179" s="547" t="s">
        <v>1048</v>
      </c>
      <c r="D179" s="547" t="s">
        <v>1075</v>
      </c>
      <c r="E179" s="547" t="s">
        <v>1076</v>
      </c>
      <c r="F179" s="567">
        <v>8</v>
      </c>
      <c r="G179" s="567">
        <v>1080</v>
      </c>
      <c r="H179" s="567">
        <v>0.30320044918585065</v>
      </c>
      <c r="I179" s="567">
        <v>135</v>
      </c>
      <c r="J179" s="567">
        <v>26</v>
      </c>
      <c r="K179" s="567">
        <v>3562</v>
      </c>
      <c r="L179" s="567">
        <v>1</v>
      </c>
      <c r="M179" s="567">
        <v>137</v>
      </c>
      <c r="N179" s="567">
        <v>25</v>
      </c>
      <c r="O179" s="567">
        <v>3425</v>
      </c>
      <c r="P179" s="552">
        <v>0.96153846153846156</v>
      </c>
      <c r="Q179" s="568">
        <v>137</v>
      </c>
    </row>
    <row r="180" spans="1:17" ht="14.4" customHeight="1" x14ac:dyDescent="0.3">
      <c r="A180" s="546" t="s">
        <v>1162</v>
      </c>
      <c r="B180" s="547" t="s">
        <v>1062</v>
      </c>
      <c r="C180" s="547" t="s">
        <v>1048</v>
      </c>
      <c r="D180" s="547" t="s">
        <v>1077</v>
      </c>
      <c r="E180" s="547" t="s">
        <v>1076</v>
      </c>
      <c r="F180" s="567">
        <v>1</v>
      </c>
      <c r="G180" s="567">
        <v>178</v>
      </c>
      <c r="H180" s="567"/>
      <c r="I180" s="567">
        <v>178</v>
      </c>
      <c r="J180" s="567"/>
      <c r="K180" s="567"/>
      <c r="L180" s="567"/>
      <c r="M180" s="567"/>
      <c r="N180" s="567"/>
      <c r="O180" s="567"/>
      <c r="P180" s="552"/>
      <c r="Q180" s="568"/>
    </row>
    <row r="181" spans="1:17" ht="14.4" customHeight="1" x14ac:dyDescent="0.3">
      <c r="A181" s="546" t="s">
        <v>1162</v>
      </c>
      <c r="B181" s="547" t="s">
        <v>1062</v>
      </c>
      <c r="C181" s="547" t="s">
        <v>1048</v>
      </c>
      <c r="D181" s="547" t="s">
        <v>1080</v>
      </c>
      <c r="E181" s="547" t="s">
        <v>1081</v>
      </c>
      <c r="F181" s="567">
        <v>1</v>
      </c>
      <c r="G181" s="567">
        <v>593</v>
      </c>
      <c r="H181" s="567"/>
      <c r="I181" s="567">
        <v>593</v>
      </c>
      <c r="J181" s="567"/>
      <c r="K181" s="567"/>
      <c r="L181" s="567"/>
      <c r="M181" s="567"/>
      <c r="N181" s="567"/>
      <c r="O181" s="567"/>
      <c r="P181" s="552"/>
      <c r="Q181" s="568"/>
    </row>
    <row r="182" spans="1:17" ht="14.4" customHeight="1" x14ac:dyDescent="0.3">
      <c r="A182" s="546" t="s">
        <v>1162</v>
      </c>
      <c r="B182" s="547" t="s">
        <v>1062</v>
      </c>
      <c r="C182" s="547" t="s">
        <v>1048</v>
      </c>
      <c r="D182" s="547" t="s">
        <v>1082</v>
      </c>
      <c r="E182" s="547" t="s">
        <v>1083</v>
      </c>
      <c r="F182" s="567">
        <v>2</v>
      </c>
      <c r="G182" s="567">
        <v>322</v>
      </c>
      <c r="H182" s="567">
        <v>1.8612716763005781</v>
      </c>
      <c r="I182" s="567">
        <v>161</v>
      </c>
      <c r="J182" s="567">
        <v>1</v>
      </c>
      <c r="K182" s="567">
        <v>173</v>
      </c>
      <c r="L182" s="567">
        <v>1</v>
      </c>
      <c r="M182" s="567">
        <v>173</v>
      </c>
      <c r="N182" s="567">
        <v>3</v>
      </c>
      <c r="O182" s="567">
        <v>519</v>
      </c>
      <c r="P182" s="552">
        <v>3</v>
      </c>
      <c r="Q182" s="568">
        <v>173</v>
      </c>
    </row>
    <row r="183" spans="1:17" ht="14.4" customHeight="1" x14ac:dyDescent="0.3">
      <c r="A183" s="546" t="s">
        <v>1162</v>
      </c>
      <c r="B183" s="547" t="s">
        <v>1062</v>
      </c>
      <c r="C183" s="547" t="s">
        <v>1048</v>
      </c>
      <c r="D183" s="547" t="s">
        <v>1084</v>
      </c>
      <c r="E183" s="547" t="s">
        <v>1085</v>
      </c>
      <c r="F183" s="567"/>
      <c r="G183" s="567"/>
      <c r="H183" s="567"/>
      <c r="I183" s="567"/>
      <c r="J183" s="567">
        <v>2</v>
      </c>
      <c r="K183" s="567">
        <v>768</v>
      </c>
      <c r="L183" s="567">
        <v>1</v>
      </c>
      <c r="M183" s="567">
        <v>384</v>
      </c>
      <c r="N183" s="567"/>
      <c r="O183" s="567"/>
      <c r="P183" s="552"/>
      <c r="Q183" s="568"/>
    </row>
    <row r="184" spans="1:17" ht="14.4" customHeight="1" x14ac:dyDescent="0.3">
      <c r="A184" s="546" t="s">
        <v>1162</v>
      </c>
      <c r="B184" s="547" t="s">
        <v>1062</v>
      </c>
      <c r="C184" s="547" t="s">
        <v>1048</v>
      </c>
      <c r="D184" s="547" t="s">
        <v>1086</v>
      </c>
      <c r="E184" s="547" t="s">
        <v>1087</v>
      </c>
      <c r="F184" s="567">
        <v>39</v>
      </c>
      <c r="G184" s="567">
        <v>624</v>
      </c>
      <c r="H184" s="567">
        <v>0.65546218487394958</v>
      </c>
      <c r="I184" s="567">
        <v>16</v>
      </c>
      <c r="J184" s="567">
        <v>56</v>
      </c>
      <c r="K184" s="567">
        <v>952</v>
      </c>
      <c r="L184" s="567">
        <v>1</v>
      </c>
      <c r="M184" s="567">
        <v>17</v>
      </c>
      <c r="N184" s="567">
        <v>15</v>
      </c>
      <c r="O184" s="567">
        <v>255</v>
      </c>
      <c r="P184" s="552">
        <v>0.26785714285714285</v>
      </c>
      <c r="Q184" s="568">
        <v>17</v>
      </c>
    </row>
    <row r="185" spans="1:17" ht="14.4" customHeight="1" x14ac:dyDescent="0.3">
      <c r="A185" s="546" t="s">
        <v>1162</v>
      </c>
      <c r="B185" s="547" t="s">
        <v>1062</v>
      </c>
      <c r="C185" s="547" t="s">
        <v>1048</v>
      </c>
      <c r="D185" s="547" t="s">
        <v>1088</v>
      </c>
      <c r="E185" s="547" t="s">
        <v>1089</v>
      </c>
      <c r="F185" s="567">
        <v>12</v>
      </c>
      <c r="G185" s="567">
        <v>3192</v>
      </c>
      <c r="H185" s="567">
        <v>1.6703296703296704</v>
      </c>
      <c r="I185" s="567">
        <v>266</v>
      </c>
      <c r="J185" s="567">
        <v>7</v>
      </c>
      <c r="K185" s="567">
        <v>1911</v>
      </c>
      <c r="L185" s="567">
        <v>1</v>
      </c>
      <c r="M185" s="567">
        <v>273</v>
      </c>
      <c r="N185" s="567"/>
      <c r="O185" s="567"/>
      <c r="P185" s="552"/>
      <c r="Q185" s="568"/>
    </row>
    <row r="186" spans="1:17" ht="14.4" customHeight="1" x14ac:dyDescent="0.3">
      <c r="A186" s="546" t="s">
        <v>1162</v>
      </c>
      <c r="B186" s="547" t="s">
        <v>1062</v>
      </c>
      <c r="C186" s="547" t="s">
        <v>1048</v>
      </c>
      <c r="D186" s="547" t="s">
        <v>1090</v>
      </c>
      <c r="E186" s="547" t="s">
        <v>1091</v>
      </c>
      <c r="F186" s="567">
        <v>14</v>
      </c>
      <c r="G186" s="567">
        <v>1974</v>
      </c>
      <c r="H186" s="567">
        <v>1.2637644046094749</v>
      </c>
      <c r="I186" s="567">
        <v>141</v>
      </c>
      <c r="J186" s="567">
        <v>11</v>
      </c>
      <c r="K186" s="567">
        <v>1562</v>
      </c>
      <c r="L186" s="567">
        <v>1</v>
      </c>
      <c r="M186" s="567">
        <v>142</v>
      </c>
      <c r="N186" s="567">
        <v>14</v>
      </c>
      <c r="O186" s="567">
        <v>1988</v>
      </c>
      <c r="P186" s="552">
        <v>1.2727272727272727</v>
      </c>
      <c r="Q186" s="568">
        <v>142</v>
      </c>
    </row>
    <row r="187" spans="1:17" ht="14.4" customHeight="1" x14ac:dyDescent="0.3">
      <c r="A187" s="546" t="s">
        <v>1162</v>
      </c>
      <c r="B187" s="547" t="s">
        <v>1062</v>
      </c>
      <c r="C187" s="547" t="s">
        <v>1048</v>
      </c>
      <c r="D187" s="547" t="s">
        <v>1092</v>
      </c>
      <c r="E187" s="547" t="s">
        <v>1091</v>
      </c>
      <c r="F187" s="567">
        <v>8</v>
      </c>
      <c r="G187" s="567">
        <v>624</v>
      </c>
      <c r="H187" s="567">
        <v>0.30769230769230771</v>
      </c>
      <c r="I187" s="567">
        <v>78</v>
      </c>
      <c r="J187" s="567">
        <v>26</v>
      </c>
      <c r="K187" s="567">
        <v>2028</v>
      </c>
      <c r="L187" s="567">
        <v>1</v>
      </c>
      <c r="M187" s="567">
        <v>78</v>
      </c>
      <c r="N187" s="567">
        <v>25</v>
      </c>
      <c r="O187" s="567">
        <v>1950</v>
      </c>
      <c r="P187" s="552">
        <v>0.96153846153846156</v>
      </c>
      <c r="Q187" s="568">
        <v>78</v>
      </c>
    </row>
    <row r="188" spans="1:17" ht="14.4" customHeight="1" x14ac:dyDescent="0.3">
      <c r="A188" s="546" t="s">
        <v>1162</v>
      </c>
      <c r="B188" s="547" t="s">
        <v>1062</v>
      </c>
      <c r="C188" s="547" t="s">
        <v>1048</v>
      </c>
      <c r="D188" s="547" t="s">
        <v>1093</v>
      </c>
      <c r="E188" s="547" t="s">
        <v>1094</v>
      </c>
      <c r="F188" s="567">
        <v>14</v>
      </c>
      <c r="G188" s="567">
        <v>4298</v>
      </c>
      <c r="H188" s="567">
        <v>1.2483299448155678</v>
      </c>
      <c r="I188" s="567">
        <v>307</v>
      </c>
      <c r="J188" s="567">
        <v>11</v>
      </c>
      <c r="K188" s="567">
        <v>3443</v>
      </c>
      <c r="L188" s="567">
        <v>1</v>
      </c>
      <c r="M188" s="567">
        <v>313</v>
      </c>
      <c r="N188" s="567">
        <v>15</v>
      </c>
      <c r="O188" s="567">
        <v>4710</v>
      </c>
      <c r="P188" s="552">
        <v>1.3679930293348823</v>
      </c>
      <c r="Q188" s="568">
        <v>314</v>
      </c>
    </row>
    <row r="189" spans="1:17" ht="14.4" customHeight="1" x14ac:dyDescent="0.3">
      <c r="A189" s="546" t="s">
        <v>1162</v>
      </c>
      <c r="B189" s="547" t="s">
        <v>1062</v>
      </c>
      <c r="C189" s="547" t="s">
        <v>1048</v>
      </c>
      <c r="D189" s="547" t="s">
        <v>1095</v>
      </c>
      <c r="E189" s="547" t="s">
        <v>1096</v>
      </c>
      <c r="F189" s="567"/>
      <c r="G189" s="567"/>
      <c r="H189" s="567"/>
      <c r="I189" s="567"/>
      <c r="J189" s="567">
        <v>1</v>
      </c>
      <c r="K189" s="567">
        <v>488</v>
      </c>
      <c r="L189" s="567">
        <v>1</v>
      </c>
      <c r="M189" s="567">
        <v>488</v>
      </c>
      <c r="N189" s="567"/>
      <c r="O189" s="567"/>
      <c r="P189" s="552"/>
      <c r="Q189" s="568"/>
    </row>
    <row r="190" spans="1:17" ht="14.4" customHeight="1" x14ac:dyDescent="0.3">
      <c r="A190" s="546" t="s">
        <v>1162</v>
      </c>
      <c r="B190" s="547" t="s">
        <v>1062</v>
      </c>
      <c r="C190" s="547" t="s">
        <v>1048</v>
      </c>
      <c r="D190" s="547" t="s">
        <v>1097</v>
      </c>
      <c r="E190" s="547" t="s">
        <v>1098</v>
      </c>
      <c r="F190" s="567">
        <v>14</v>
      </c>
      <c r="G190" s="567">
        <v>2254</v>
      </c>
      <c r="H190" s="567">
        <v>0.44607164060953891</v>
      </c>
      <c r="I190" s="567">
        <v>161</v>
      </c>
      <c r="J190" s="567">
        <v>31</v>
      </c>
      <c r="K190" s="567">
        <v>5053</v>
      </c>
      <c r="L190" s="567">
        <v>1</v>
      </c>
      <c r="M190" s="567">
        <v>163</v>
      </c>
      <c r="N190" s="567">
        <v>50</v>
      </c>
      <c r="O190" s="567">
        <v>8150</v>
      </c>
      <c r="P190" s="552">
        <v>1.6129032258064515</v>
      </c>
      <c r="Q190" s="568">
        <v>163</v>
      </c>
    </row>
    <row r="191" spans="1:17" ht="14.4" customHeight="1" x14ac:dyDescent="0.3">
      <c r="A191" s="546" t="s">
        <v>1162</v>
      </c>
      <c r="B191" s="547" t="s">
        <v>1062</v>
      </c>
      <c r="C191" s="547" t="s">
        <v>1048</v>
      </c>
      <c r="D191" s="547" t="s">
        <v>1101</v>
      </c>
      <c r="E191" s="547" t="s">
        <v>1067</v>
      </c>
      <c r="F191" s="567">
        <v>13</v>
      </c>
      <c r="G191" s="567">
        <v>923</v>
      </c>
      <c r="H191" s="567">
        <v>0.30522486772486773</v>
      </c>
      <c r="I191" s="567">
        <v>71</v>
      </c>
      <c r="J191" s="567">
        <v>42</v>
      </c>
      <c r="K191" s="567">
        <v>3024</v>
      </c>
      <c r="L191" s="567">
        <v>1</v>
      </c>
      <c r="M191" s="567">
        <v>72</v>
      </c>
      <c r="N191" s="567">
        <v>31</v>
      </c>
      <c r="O191" s="567">
        <v>2232</v>
      </c>
      <c r="P191" s="552">
        <v>0.73809523809523814</v>
      </c>
      <c r="Q191" s="568">
        <v>72</v>
      </c>
    </row>
    <row r="192" spans="1:17" ht="14.4" customHeight="1" x14ac:dyDescent="0.3">
      <c r="A192" s="546" t="s">
        <v>1162</v>
      </c>
      <c r="B192" s="547" t="s">
        <v>1062</v>
      </c>
      <c r="C192" s="547" t="s">
        <v>1048</v>
      </c>
      <c r="D192" s="547" t="s">
        <v>1106</v>
      </c>
      <c r="E192" s="547" t="s">
        <v>1107</v>
      </c>
      <c r="F192" s="567">
        <v>1</v>
      </c>
      <c r="G192" s="567">
        <v>220</v>
      </c>
      <c r="H192" s="567"/>
      <c r="I192" s="567">
        <v>220</v>
      </c>
      <c r="J192" s="567"/>
      <c r="K192" s="567"/>
      <c r="L192" s="567"/>
      <c r="M192" s="567"/>
      <c r="N192" s="567"/>
      <c r="O192" s="567"/>
      <c r="P192" s="552"/>
      <c r="Q192" s="568"/>
    </row>
    <row r="193" spans="1:17" ht="14.4" customHeight="1" x14ac:dyDescent="0.3">
      <c r="A193" s="546" t="s">
        <v>1162</v>
      </c>
      <c r="B193" s="547" t="s">
        <v>1062</v>
      </c>
      <c r="C193" s="547" t="s">
        <v>1048</v>
      </c>
      <c r="D193" s="547" t="s">
        <v>1108</v>
      </c>
      <c r="E193" s="547" t="s">
        <v>1109</v>
      </c>
      <c r="F193" s="567"/>
      <c r="G193" s="567"/>
      <c r="H193" s="567"/>
      <c r="I193" s="567"/>
      <c r="J193" s="567">
        <v>1</v>
      </c>
      <c r="K193" s="567">
        <v>1211</v>
      </c>
      <c r="L193" s="567">
        <v>1</v>
      </c>
      <c r="M193" s="567">
        <v>1211</v>
      </c>
      <c r="N193" s="567">
        <v>2</v>
      </c>
      <c r="O193" s="567">
        <v>2422</v>
      </c>
      <c r="P193" s="552">
        <v>2</v>
      </c>
      <c r="Q193" s="568">
        <v>1211</v>
      </c>
    </row>
    <row r="194" spans="1:17" ht="14.4" customHeight="1" x14ac:dyDescent="0.3">
      <c r="A194" s="546" t="s">
        <v>1162</v>
      </c>
      <c r="B194" s="547" t="s">
        <v>1062</v>
      </c>
      <c r="C194" s="547" t="s">
        <v>1048</v>
      </c>
      <c r="D194" s="547" t="s">
        <v>1110</v>
      </c>
      <c r="E194" s="547" t="s">
        <v>1111</v>
      </c>
      <c r="F194" s="567">
        <v>7</v>
      </c>
      <c r="G194" s="567">
        <v>770</v>
      </c>
      <c r="H194" s="567">
        <v>1.1257309941520468</v>
      </c>
      <c r="I194" s="567">
        <v>110</v>
      </c>
      <c r="J194" s="567">
        <v>6</v>
      </c>
      <c r="K194" s="567">
        <v>684</v>
      </c>
      <c r="L194" s="567">
        <v>1</v>
      </c>
      <c r="M194" s="567">
        <v>114</v>
      </c>
      <c r="N194" s="567">
        <v>10</v>
      </c>
      <c r="O194" s="567">
        <v>1140</v>
      </c>
      <c r="P194" s="552">
        <v>1.6666666666666667</v>
      </c>
      <c r="Q194" s="568">
        <v>114</v>
      </c>
    </row>
    <row r="195" spans="1:17" ht="14.4" customHeight="1" x14ac:dyDescent="0.3">
      <c r="A195" s="546" t="s">
        <v>1162</v>
      </c>
      <c r="B195" s="547" t="s">
        <v>1062</v>
      </c>
      <c r="C195" s="547" t="s">
        <v>1048</v>
      </c>
      <c r="D195" s="547" t="s">
        <v>1116</v>
      </c>
      <c r="E195" s="547" t="s">
        <v>1117</v>
      </c>
      <c r="F195" s="567">
        <v>3</v>
      </c>
      <c r="G195" s="567">
        <v>438</v>
      </c>
      <c r="H195" s="567">
        <v>2.92</v>
      </c>
      <c r="I195" s="567">
        <v>146</v>
      </c>
      <c r="J195" s="567">
        <v>1</v>
      </c>
      <c r="K195" s="567">
        <v>150</v>
      </c>
      <c r="L195" s="567">
        <v>1</v>
      </c>
      <c r="M195" s="567">
        <v>150</v>
      </c>
      <c r="N195" s="567">
        <v>6</v>
      </c>
      <c r="O195" s="567">
        <v>900</v>
      </c>
      <c r="P195" s="552">
        <v>6</v>
      </c>
      <c r="Q195" s="568">
        <v>150</v>
      </c>
    </row>
    <row r="196" spans="1:17" ht="14.4" customHeight="1" x14ac:dyDescent="0.3">
      <c r="A196" s="546" t="s">
        <v>1162</v>
      </c>
      <c r="B196" s="547" t="s">
        <v>1062</v>
      </c>
      <c r="C196" s="547" t="s">
        <v>1048</v>
      </c>
      <c r="D196" s="547" t="s">
        <v>1118</v>
      </c>
      <c r="E196" s="547" t="s">
        <v>1119</v>
      </c>
      <c r="F196" s="567">
        <v>1</v>
      </c>
      <c r="G196" s="567">
        <v>1033</v>
      </c>
      <c r="H196" s="567"/>
      <c r="I196" s="567">
        <v>1033</v>
      </c>
      <c r="J196" s="567"/>
      <c r="K196" s="567"/>
      <c r="L196" s="567"/>
      <c r="M196" s="567"/>
      <c r="N196" s="567"/>
      <c r="O196" s="567"/>
      <c r="P196" s="552"/>
      <c r="Q196" s="568"/>
    </row>
    <row r="197" spans="1:17" ht="14.4" customHeight="1" x14ac:dyDescent="0.3">
      <c r="A197" s="546" t="s">
        <v>1163</v>
      </c>
      <c r="B197" s="547" t="s">
        <v>1062</v>
      </c>
      <c r="C197" s="547" t="s">
        <v>1048</v>
      </c>
      <c r="D197" s="547" t="s">
        <v>1066</v>
      </c>
      <c r="E197" s="547" t="s">
        <v>1067</v>
      </c>
      <c r="F197" s="567">
        <v>58</v>
      </c>
      <c r="G197" s="567">
        <v>11948</v>
      </c>
      <c r="H197" s="567">
        <v>0.79754355516988185</v>
      </c>
      <c r="I197" s="567">
        <v>206</v>
      </c>
      <c r="J197" s="567">
        <v>71</v>
      </c>
      <c r="K197" s="567">
        <v>14981</v>
      </c>
      <c r="L197" s="567">
        <v>1</v>
      </c>
      <c r="M197" s="567">
        <v>211</v>
      </c>
      <c r="N197" s="567">
        <v>36</v>
      </c>
      <c r="O197" s="567">
        <v>7596</v>
      </c>
      <c r="P197" s="552">
        <v>0.50704225352112675</v>
      </c>
      <c r="Q197" s="568">
        <v>211</v>
      </c>
    </row>
    <row r="198" spans="1:17" ht="14.4" customHeight="1" x14ac:dyDescent="0.3">
      <c r="A198" s="546" t="s">
        <v>1163</v>
      </c>
      <c r="B198" s="547" t="s">
        <v>1062</v>
      </c>
      <c r="C198" s="547" t="s">
        <v>1048</v>
      </c>
      <c r="D198" s="547" t="s">
        <v>1069</v>
      </c>
      <c r="E198" s="547" t="s">
        <v>1070</v>
      </c>
      <c r="F198" s="567">
        <v>169</v>
      </c>
      <c r="G198" s="567">
        <v>49855</v>
      </c>
      <c r="H198" s="567">
        <v>0.6250235065504921</v>
      </c>
      <c r="I198" s="567">
        <v>295</v>
      </c>
      <c r="J198" s="567">
        <v>265</v>
      </c>
      <c r="K198" s="567">
        <v>79765</v>
      </c>
      <c r="L198" s="567">
        <v>1</v>
      </c>
      <c r="M198" s="567">
        <v>301</v>
      </c>
      <c r="N198" s="567">
        <v>91</v>
      </c>
      <c r="O198" s="567">
        <v>27391</v>
      </c>
      <c r="P198" s="552">
        <v>0.34339622641509432</v>
      </c>
      <c r="Q198" s="568">
        <v>301</v>
      </c>
    </row>
    <row r="199" spans="1:17" ht="14.4" customHeight="1" x14ac:dyDescent="0.3">
      <c r="A199" s="546" t="s">
        <v>1163</v>
      </c>
      <c r="B199" s="547" t="s">
        <v>1062</v>
      </c>
      <c r="C199" s="547" t="s">
        <v>1048</v>
      </c>
      <c r="D199" s="547" t="s">
        <v>1071</v>
      </c>
      <c r="E199" s="547" t="s">
        <v>1072</v>
      </c>
      <c r="F199" s="567">
        <v>3</v>
      </c>
      <c r="G199" s="567">
        <v>285</v>
      </c>
      <c r="H199" s="567"/>
      <c r="I199" s="567">
        <v>95</v>
      </c>
      <c r="J199" s="567"/>
      <c r="K199" s="567"/>
      <c r="L199" s="567"/>
      <c r="M199" s="567"/>
      <c r="N199" s="567"/>
      <c r="O199" s="567"/>
      <c r="P199" s="552"/>
      <c r="Q199" s="568"/>
    </row>
    <row r="200" spans="1:17" ht="14.4" customHeight="1" x14ac:dyDescent="0.3">
      <c r="A200" s="546" t="s">
        <v>1163</v>
      </c>
      <c r="B200" s="547" t="s">
        <v>1062</v>
      </c>
      <c r="C200" s="547" t="s">
        <v>1048</v>
      </c>
      <c r="D200" s="547" t="s">
        <v>1075</v>
      </c>
      <c r="E200" s="547" t="s">
        <v>1076</v>
      </c>
      <c r="F200" s="567">
        <v>140</v>
      </c>
      <c r="G200" s="567">
        <v>18900</v>
      </c>
      <c r="H200" s="567">
        <v>0.87870193872332514</v>
      </c>
      <c r="I200" s="567">
        <v>135</v>
      </c>
      <c r="J200" s="567">
        <v>157</v>
      </c>
      <c r="K200" s="567">
        <v>21509</v>
      </c>
      <c r="L200" s="567">
        <v>1</v>
      </c>
      <c r="M200" s="567">
        <v>137</v>
      </c>
      <c r="N200" s="567">
        <v>136</v>
      </c>
      <c r="O200" s="567">
        <v>18632</v>
      </c>
      <c r="P200" s="552">
        <v>0.86624203821656054</v>
      </c>
      <c r="Q200" s="568">
        <v>137</v>
      </c>
    </row>
    <row r="201" spans="1:17" ht="14.4" customHeight="1" x14ac:dyDescent="0.3">
      <c r="A201" s="546" t="s">
        <v>1163</v>
      </c>
      <c r="B201" s="547" t="s">
        <v>1062</v>
      </c>
      <c r="C201" s="547" t="s">
        <v>1048</v>
      </c>
      <c r="D201" s="547" t="s">
        <v>1082</v>
      </c>
      <c r="E201" s="547" t="s">
        <v>1083</v>
      </c>
      <c r="F201" s="567">
        <v>7</v>
      </c>
      <c r="G201" s="567">
        <v>1127</v>
      </c>
      <c r="H201" s="567">
        <v>0.65144508670520229</v>
      </c>
      <c r="I201" s="567">
        <v>161</v>
      </c>
      <c r="J201" s="567">
        <v>10</v>
      </c>
      <c r="K201" s="567">
        <v>1730</v>
      </c>
      <c r="L201" s="567">
        <v>1</v>
      </c>
      <c r="M201" s="567">
        <v>173</v>
      </c>
      <c r="N201" s="567">
        <v>3</v>
      </c>
      <c r="O201" s="567">
        <v>519</v>
      </c>
      <c r="P201" s="552">
        <v>0.3</v>
      </c>
      <c r="Q201" s="568">
        <v>173</v>
      </c>
    </row>
    <row r="202" spans="1:17" ht="14.4" customHeight="1" x14ac:dyDescent="0.3">
      <c r="A202" s="546" t="s">
        <v>1163</v>
      </c>
      <c r="B202" s="547" t="s">
        <v>1062</v>
      </c>
      <c r="C202" s="547" t="s">
        <v>1048</v>
      </c>
      <c r="D202" s="547" t="s">
        <v>1084</v>
      </c>
      <c r="E202" s="547" t="s">
        <v>1085</v>
      </c>
      <c r="F202" s="567">
        <v>1</v>
      </c>
      <c r="G202" s="567">
        <v>383</v>
      </c>
      <c r="H202" s="567">
        <v>4.749503968253968E-2</v>
      </c>
      <c r="I202" s="567">
        <v>383</v>
      </c>
      <c r="J202" s="567">
        <v>21</v>
      </c>
      <c r="K202" s="567">
        <v>8064</v>
      </c>
      <c r="L202" s="567">
        <v>1</v>
      </c>
      <c r="M202" s="567">
        <v>384</v>
      </c>
      <c r="N202" s="567">
        <v>12</v>
      </c>
      <c r="O202" s="567">
        <v>4164</v>
      </c>
      <c r="P202" s="552">
        <v>0.51636904761904767</v>
      </c>
      <c r="Q202" s="568">
        <v>347</v>
      </c>
    </row>
    <row r="203" spans="1:17" ht="14.4" customHeight="1" x14ac:dyDescent="0.3">
      <c r="A203" s="546" t="s">
        <v>1163</v>
      </c>
      <c r="B203" s="547" t="s">
        <v>1062</v>
      </c>
      <c r="C203" s="547" t="s">
        <v>1048</v>
      </c>
      <c r="D203" s="547" t="s">
        <v>1086</v>
      </c>
      <c r="E203" s="547" t="s">
        <v>1087</v>
      </c>
      <c r="F203" s="567">
        <v>163</v>
      </c>
      <c r="G203" s="567">
        <v>2608</v>
      </c>
      <c r="H203" s="567">
        <v>0.74835007173601142</v>
      </c>
      <c r="I203" s="567">
        <v>16</v>
      </c>
      <c r="J203" s="567">
        <v>205</v>
      </c>
      <c r="K203" s="567">
        <v>3485</v>
      </c>
      <c r="L203" s="567">
        <v>1</v>
      </c>
      <c r="M203" s="567">
        <v>17</v>
      </c>
      <c r="N203" s="567">
        <v>20</v>
      </c>
      <c r="O203" s="567">
        <v>340</v>
      </c>
      <c r="P203" s="552">
        <v>9.7560975609756101E-2</v>
      </c>
      <c r="Q203" s="568">
        <v>17</v>
      </c>
    </row>
    <row r="204" spans="1:17" ht="14.4" customHeight="1" x14ac:dyDescent="0.3">
      <c r="A204" s="546" t="s">
        <v>1163</v>
      </c>
      <c r="B204" s="547" t="s">
        <v>1062</v>
      </c>
      <c r="C204" s="547" t="s">
        <v>1048</v>
      </c>
      <c r="D204" s="547" t="s">
        <v>1088</v>
      </c>
      <c r="E204" s="547" t="s">
        <v>1089</v>
      </c>
      <c r="F204" s="567">
        <v>12</v>
      </c>
      <c r="G204" s="567">
        <v>3192</v>
      </c>
      <c r="H204" s="567">
        <v>0.6495726495726496</v>
      </c>
      <c r="I204" s="567">
        <v>266</v>
      </c>
      <c r="J204" s="567">
        <v>18</v>
      </c>
      <c r="K204" s="567">
        <v>4914</v>
      </c>
      <c r="L204" s="567">
        <v>1</v>
      </c>
      <c r="M204" s="567">
        <v>273</v>
      </c>
      <c r="N204" s="567"/>
      <c r="O204" s="567"/>
      <c r="P204" s="552"/>
      <c r="Q204" s="568"/>
    </row>
    <row r="205" spans="1:17" ht="14.4" customHeight="1" x14ac:dyDescent="0.3">
      <c r="A205" s="546" t="s">
        <v>1163</v>
      </c>
      <c r="B205" s="547" t="s">
        <v>1062</v>
      </c>
      <c r="C205" s="547" t="s">
        <v>1048</v>
      </c>
      <c r="D205" s="547" t="s">
        <v>1090</v>
      </c>
      <c r="E205" s="547" t="s">
        <v>1091</v>
      </c>
      <c r="F205" s="567">
        <v>14</v>
      </c>
      <c r="G205" s="567">
        <v>1974</v>
      </c>
      <c r="H205" s="567">
        <v>0.69507042253521123</v>
      </c>
      <c r="I205" s="567">
        <v>141</v>
      </c>
      <c r="J205" s="567">
        <v>20</v>
      </c>
      <c r="K205" s="567">
        <v>2840</v>
      </c>
      <c r="L205" s="567">
        <v>1</v>
      </c>
      <c r="M205" s="567">
        <v>142</v>
      </c>
      <c r="N205" s="567">
        <v>10</v>
      </c>
      <c r="O205" s="567">
        <v>1420</v>
      </c>
      <c r="P205" s="552">
        <v>0.5</v>
      </c>
      <c r="Q205" s="568">
        <v>142</v>
      </c>
    </row>
    <row r="206" spans="1:17" ht="14.4" customHeight="1" x14ac:dyDescent="0.3">
      <c r="A206" s="546" t="s">
        <v>1163</v>
      </c>
      <c r="B206" s="547" t="s">
        <v>1062</v>
      </c>
      <c r="C206" s="547" t="s">
        <v>1048</v>
      </c>
      <c r="D206" s="547" t="s">
        <v>1092</v>
      </c>
      <c r="E206" s="547" t="s">
        <v>1091</v>
      </c>
      <c r="F206" s="567">
        <v>140</v>
      </c>
      <c r="G206" s="567">
        <v>10920</v>
      </c>
      <c r="H206" s="567">
        <v>0.89171974522292996</v>
      </c>
      <c r="I206" s="567">
        <v>78</v>
      </c>
      <c r="J206" s="567">
        <v>157</v>
      </c>
      <c r="K206" s="567">
        <v>12246</v>
      </c>
      <c r="L206" s="567">
        <v>1</v>
      </c>
      <c r="M206" s="567">
        <v>78</v>
      </c>
      <c r="N206" s="567">
        <v>136</v>
      </c>
      <c r="O206" s="567">
        <v>10608</v>
      </c>
      <c r="P206" s="552">
        <v>0.86624203821656054</v>
      </c>
      <c r="Q206" s="568">
        <v>78</v>
      </c>
    </row>
    <row r="207" spans="1:17" ht="14.4" customHeight="1" x14ac:dyDescent="0.3">
      <c r="A207" s="546" t="s">
        <v>1163</v>
      </c>
      <c r="B207" s="547" t="s">
        <v>1062</v>
      </c>
      <c r="C207" s="547" t="s">
        <v>1048</v>
      </c>
      <c r="D207" s="547" t="s">
        <v>1093</v>
      </c>
      <c r="E207" s="547" t="s">
        <v>1094</v>
      </c>
      <c r="F207" s="567">
        <v>14</v>
      </c>
      <c r="G207" s="567">
        <v>4298</v>
      </c>
      <c r="H207" s="567">
        <v>0.68658146964856226</v>
      </c>
      <c r="I207" s="567">
        <v>307</v>
      </c>
      <c r="J207" s="567">
        <v>20</v>
      </c>
      <c r="K207" s="567">
        <v>6260</v>
      </c>
      <c r="L207" s="567">
        <v>1</v>
      </c>
      <c r="M207" s="567">
        <v>313</v>
      </c>
      <c r="N207" s="567">
        <v>10</v>
      </c>
      <c r="O207" s="567">
        <v>3140</v>
      </c>
      <c r="P207" s="552">
        <v>0.50159744408945683</v>
      </c>
      <c r="Q207" s="568">
        <v>314</v>
      </c>
    </row>
    <row r="208" spans="1:17" ht="14.4" customHeight="1" x14ac:dyDescent="0.3">
      <c r="A208" s="546" t="s">
        <v>1163</v>
      </c>
      <c r="B208" s="547" t="s">
        <v>1062</v>
      </c>
      <c r="C208" s="547" t="s">
        <v>1048</v>
      </c>
      <c r="D208" s="547" t="s">
        <v>1095</v>
      </c>
      <c r="E208" s="547" t="s">
        <v>1096</v>
      </c>
      <c r="F208" s="567">
        <v>1</v>
      </c>
      <c r="G208" s="567">
        <v>487</v>
      </c>
      <c r="H208" s="567">
        <v>4.7521467603434814E-2</v>
      </c>
      <c r="I208" s="567">
        <v>487</v>
      </c>
      <c r="J208" s="567">
        <v>21</v>
      </c>
      <c r="K208" s="567">
        <v>10248</v>
      </c>
      <c r="L208" s="567">
        <v>1</v>
      </c>
      <c r="M208" s="567">
        <v>488</v>
      </c>
      <c r="N208" s="567">
        <v>12</v>
      </c>
      <c r="O208" s="567">
        <v>3936</v>
      </c>
      <c r="P208" s="552">
        <v>0.38407494145199061</v>
      </c>
      <c r="Q208" s="568">
        <v>328</v>
      </c>
    </row>
    <row r="209" spans="1:17" ht="14.4" customHeight="1" x14ac:dyDescent="0.3">
      <c r="A209" s="546" t="s">
        <v>1163</v>
      </c>
      <c r="B209" s="547" t="s">
        <v>1062</v>
      </c>
      <c r="C209" s="547" t="s">
        <v>1048</v>
      </c>
      <c r="D209" s="547" t="s">
        <v>1097</v>
      </c>
      <c r="E209" s="547" t="s">
        <v>1098</v>
      </c>
      <c r="F209" s="567">
        <v>121</v>
      </c>
      <c r="G209" s="567">
        <v>19481</v>
      </c>
      <c r="H209" s="567">
        <v>0.87237472571761232</v>
      </c>
      <c r="I209" s="567">
        <v>161</v>
      </c>
      <c r="J209" s="567">
        <v>137</v>
      </c>
      <c r="K209" s="567">
        <v>22331</v>
      </c>
      <c r="L209" s="567">
        <v>1</v>
      </c>
      <c r="M209" s="567">
        <v>163</v>
      </c>
      <c r="N209" s="567">
        <v>150</v>
      </c>
      <c r="O209" s="567">
        <v>24450</v>
      </c>
      <c r="P209" s="552">
        <v>1.0948905109489051</v>
      </c>
      <c r="Q209" s="568">
        <v>163</v>
      </c>
    </row>
    <row r="210" spans="1:17" ht="14.4" customHeight="1" x14ac:dyDescent="0.3">
      <c r="A210" s="546" t="s">
        <v>1163</v>
      </c>
      <c r="B210" s="547" t="s">
        <v>1062</v>
      </c>
      <c r="C210" s="547" t="s">
        <v>1048</v>
      </c>
      <c r="D210" s="547" t="s">
        <v>1101</v>
      </c>
      <c r="E210" s="547" t="s">
        <v>1067</v>
      </c>
      <c r="F210" s="567">
        <v>371</v>
      </c>
      <c r="G210" s="567">
        <v>26341</v>
      </c>
      <c r="H210" s="567">
        <v>0.81299382716049384</v>
      </c>
      <c r="I210" s="567">
        <v>71</v>
      </c>
      <c r="J210" s="567">
        <v>450</v>
      </c>
      <c r="K210" s="567">
        <v>32400</v>
      </c>
      <c r="L210" s="567">
        <v>1</v>
      </c>
      <c r="M210" s="567">
        <v>72</v>
      </c>
      <c r="N210" s="567">
        <v>379</v>
      </c>
      <c r="O210" s="567">
        <v>27288</v>
      </c>
      <c r="P210" s="552">
        <v>0.84222222222222221</v>
      </c>
      <c r="Q210" s="568">
        <v>72</v>
      </c>
    </row>
    <row r="211" spans="1:17" ht="14.4" customHeight="1" x14ac:dyDescent="0.3">
      <c r="A211" s="546" t="s">
        <v>1163</v>
      </c>
      <c r="B211" s="547" t="s">
        <v>1062</v>
      </c>
      <c r="C211" s="547" t="s">
        <v>1048</v>
      </c>
      <c r="D211" s="547" t="s">
        <v>1106</v>
      </c>
      <c r="E211" s="547" t="s">
        <v>1107</v>
      </c>
      <c r="F211" s="567"/>
      <c r="G211" s="567"/>
      <c r="H211" s="567"/>
      <c r="I211" s="567"/>
      <c r="J211" s="567">
        <v>3</v>
      </c>
      <c r="K211" s="567">
        <v>687</v>
      </c>
      <c r="L211" s="567">
        <v>1</v>
      </c>
      <c r="M211" s="567">
        <v>229</v>
      </c>
      <c r="N211" s="567"/>
      <c r="O211" s="567"/>
      <c r="P211" s="552"/>
      <c r="Q211" s="568"/>
    </row>
    <row r="212" spans="1:17" ht="14.4" customHeight="1" x14ac:dyDescent="0.3">
      <c r="A212" s="546" t="s">
        <v>1163</v>
      </c>
      <c r="B212" s="547" t="s">
        <v>1062</v>
      </c>
      <c r="C212" s="547" t="s">
        <v>1048</v>
      </c>
      <c r="D212" s="547" t="s">
        <v>1108</v>
      </c>
      <c r="E212" s="547" t="s">
        <v>1109</v>
      </c>
      <c r="F212" s="567">
        <v>7</v>
      </c>
      <c r="G212" s="567">
        <v>8365</v>
      </c>
      <c r="H212" s="567">
        <v>0.76750160565189463</v>
      </c>
      <c r="I212" s="567">
        <v>1195</v>
      </c>
      <c r="J212" s="567">
        <v>9</v>
      </c>
      <c r="K212" s="567">
        <v>10899</v>
      </c>
      <c r="L212" s="567">
        <v>1</v>
      </c>
      <c r="M212" s="567">
        <v>1211</v>
      </c>
      <c r="N212" s="567">
        <v>3</v>
      </c>
      <c r="O212" s="567">
        <v>3633</v>
      </c>
      <c r="P212" s="552">
        <v>0.33333333333333331</v>
      </c>
      <c r="Q212" s="568">
        <v>1211</v>
      </c>
    </row>
    <row r="213" spans="1:17" ht="14.4" customHeight="1" x14ac:dyDescent="0.3">
      <c r="A213" s="546" t="s">
        <v>1163</v>
      </c>
      <c r="B213" s="547" t="s">
        <v>1062</v>
      </c>
      <c r="C213" s="547" t="s">
        <v>1048</v>
      </c>
      <c r="D213" s="547" t="s">
        <v>1110</v>
      </c>
      <c r="E213" s="547" t="s">
        <v>1111</v>
      </c>
      <c r="F213" s="567">
        <v>6</v>
      </c>
      <c r="G213" s="567">
        <v>660</v>
      </c>
      <c r="H213" s="567">
        <v>0.72368421052631582</v>
      </c>
      <c r="I213" s="567">
        <v>110</v>
      </c>
      <c r="J213" s="567">
        <v>8</v>
      </c>
      <c r="K213" s="567">
        <v>912</v>
      </c>
      <c r="L213" s="567">
        <v>1</v>
      </c>
      <c r="M213" s="567">
        <v>114</v>
      </c>
      <c r="N213" s="567">
        <v>2</v>
      </c>
      <c r="O213" s="567">
        <v>228</v>
      </c>
      <c r="P213" s="552">
        <v>0.25</v>
      </c>
      <c r="Q213" s="568">
        <v>114</v>
      </c>
    </row>
    <row r="214" spans="1:17" ht="14.4" customHeight="1" x14ac:dyDescent="0.3">
      <c r="A214" s="546" t="s">
        <v>1163</v>
      </c>
      <c r="B214" s="547" t="s">
        <v>1062</v>
      </c>
      <c r="C214" s="547" t="s">
        <v>1048</v>
      </c>
      <c r="D214" s="547" t="s">
        <v>1112</v>
      </c>
      <c r="E214" s="547" t="s">
        <v>1113</v>
      </c>
      <c r="F214" s="567"/>
      <c r="G214" s="567"/>
      <c r="H214" s="567"/>
      <c r="I214" s="567"/>
      <c r="J214" s="567">
        <v>1</v>
      </c>
      <c r="K214" s="567">
        <v>346</v>
      </c>
      <c r="L214" s="567">
        <v>1</v>
      </c>
      <c r="M214" s="567">
        <v>346</v>
      </c>
      <c r="N214" s="567"/>
      <c r="O214" s="567"/>
      <c r="P214" s="552"/>
      <c r="Q214" s="568"/>
    </row>
    <row r="215" spans="1:17" ht="14.4" customHeight="1" x14ac:dyDescent="0.3">
      <c r="A215" s="546" t="s">
        <v>1164</v>
      </c>
      <c r="B215" s="547" t="s">
        <v>1062</v>
      </c>
      <c r="C215" s="547" t="s">
        <v>1048</v>
      </c>
      <c r="D215" s="547" t="s">
        <v>1066</v>
      </c>
      <c r="E215" s="547" t="s">
        <v>1067</v>
      </c>
      <c r="F215" s="567">
        <v>65</v>
      </c>
      <c r="G215" s="567">
        <v>13390</v>
      </c>
      <c r="H215" s="567">
        <v>1.4102159031068984</v>
      </c>
      <c r="I215" s="567">
        <v>206</v>
      </c>
      <c r="J215" s="567">
        <v>45</v>
      </c>
      <c r="K215" s="567">
        <v>9495</v>
      </c>
      <c r="L215" s="567">
        <v>1</v>
      </c>
      <c r="M215" s="567">
        <v>211</v>
      </c>
      <c r="N215" s="567">
        <v>28</v>
      </c>
      <c r="O215" s="567">
        <v>5908</v>
      </c>
      <c r="P215" s="552">
        <v>0.62222222222222223</v>
      </c>
      <c r="Q215" s="568">
        <v>211</v>
      </c>
    </row>
    <row r="216" spans="1:17" ht="14.4" customHeight="1" x14ac:dyDescent="0.3">
      <c r="A216" s="546" t="s">
        <v>1164</v>
      </c>
      <c r="B216" s="547" t="s">
        <v>1062</v>
      </c>
      <c r="C216" s="547" t="s">
        <v>1048</v>
      </c>
      <c r="D216" s="547" t="s">
        <v>1069</v>
      </c>
      <c r="E216" s="547" t="s">
        <v>1070</v>
      </c>
      <c r="F216" s="567">
        <v>72</v>
      </c>
      <c r="G216" s="567">
        <v>21240</v>
      </c>
      <c r="H216" s="567">
        <v>1.1567997385763302</v>
      </c>
      <c r="I216" s="567">
        <v>295</v>
      </c>
      <c r="J216" s="567">
        <v>61</v>
      </c>
      <c r="K216" s="567">
        <v>18361</v>
      </c>
      <c r="L216" s="567">
        <v>1</v>
      </c>
      <c r="M216" s="567">
        <v>301</v>
      </c>
      <c r="N216" s="567">
        <v>31</v>
      </c>
      <c r="O216" s="567">
        <v>9331</v>
      </c>
      <c r="P216" s="552">
        <v>0.50819672131147542</v>
      </c>
      <c r="Q216" s="568">
        <v>301</v>
      </c>
    </row>
    <row r="217" spans="1:17" ht="14.4" customHeight="1" x14ac:dyDescent="0.3">
      <c r="A217" s="546" t="s">
        <v>1164</v>
      </c>
      <c r="B217" s="547" t="s">
        <v>1062</v>
      </c>
      <c r="C217" s="547" t="s">
        <v>1048</v>
      </c>
      <c r="D217" s="547" t="s">
        <v>1071</v>
      </c>
      <c r="E217" s="547" t="s">
        <v>1072</v>
      </c>
      <c r="F217" s="567"/>
      <c r="G217" s="567"/>
      <c r="H217" s="567"/>
      <c r="I217" s="567"/>
      <c r="J217" s="567">
        <v>3</v>
      </c>
      <c r="K217" s="567">
        <v>297</v>
      </c>
      <c r="L217" s="567">
        <v>1</v>
      </c>
      <c r="M217" s="567">
        <v>99</v>
      </c>
      <c r="N217" s="567"/>
      <c r="O217" s="567"/>
      <c r="P217" s="552"/>
      <c r="Q217" s="568"/>
    </row>
    <row r="218" spans="1:17" ht="14.4" customHeight="1" x14ac:dyDescent="0.3">
      <c r="A218" s="546" t="s">
        <v>1164</v>
      </c>
      <c r="B218" s="547" t="s">
        <v>1062</v>
      </c>
      <c r="C218" s="547" t="s">
        <v>1048</v>
      </c>
      <c r="D218" s="547" t="s">
        <v>1075</v>
      </c>
      <c r="E218" s="547" t="s">
        <v>1076</v>
      </c>
      <c r="F218" s="567">
        <v>105</v>
      </c>
      <c r="G218" s="567">
        <v>14175</v>
      </c>
      <c r="H218" s="567">
        <v>1.2317518248175183</v>
      </c>
      <c r="I218" s="567">
        <v>135</v>
      </c>
      <c r="J218" s="567">
        <v>84</v>
      </c>
      <c r="K218" s="567">
        <v>11508</v>
      </c>
      <c r="L218" s="567">
        <v>1</v>
      </c>
      <c r="M218" s="567">
        <v>137</v>
      </c>
      <c r="N218" s="567">
        <v>104</v>
      </c>
      <c r="O218" s="567">
        <v>14248</v>
      </c>
      <c r="P218" s="552">
        <v>1.2380952380952381</v>
      </c>
      <c r="Q218" s="568">
        <v>137</v>
      </c>
    </row>
    <row r="219" spans="1:17" ht="14.4" customHeight="1" x14ac:dyDescent="0.3">
      <c r="A219" s="546" t="s">
        <v>1164</v>
      </c>
      <c r="B219" s="547" t="s">
        <v>1062</v>
      </c>
      <c r="C219" s="547" t="s">
        <v>1048</v>
      </c>
      <c r="D219" s="547" t="s">
        <v>1078</v>
      </c>
      <c r="E219" s="547" t="s">
        <v>1079</v>
      </c>
      <c r="F219" s="567"/>
      <c r="G219" s="567"/>
      <c r="H219" s="567"/>
      <c r="I219" s="567"/>
      <c r="J219" s="567">
        <v>1</v>
      </c>
      <c r="K219" s="567">
        <v>639</v>
      </c>
      <c r="L219" s="567">
        <v>1</v>
      </c>
      <c r="M219" s="567">
        <v>639</v>
      </c>
      <c r="N219" s="567"/>
      <c r="O219" s="567"/>
      <c r="P219" s="552"/>
      <c r="Q219" s="568"/>
    </row>
    <row r="220" spans="1:17" ht="14.4" customHeight="1" x14ac:dyDescent="0.3">
      <c r="A220" s="546" t="s">
        <v>1164</v>
      </c>
      <c r="B220" s="547" t="s">
        <v>1062</v>
      </c>
      <c r="C220" s="547" t="s">
        <v>1048</v>
      </c>
      <c r="D220" s="547" t="s">
        <v>1082</v>
      </c>
      <c r="E220" s="547" t="s">
        <v>1083</v>
      </c>
      <c r="F220" s="567">
        <v>3</v>
      </c>
      <c r="G220" s="567">
        <v>483</v>
      </c>
      <c r="H220" s="567">
        <v>0.93063583815028905</v>
      </c>
      <c r="I220" s="567">
        <v>161</v>
      </c>
      <c r="J220" s="567">
        <v>3</v>
      </c>
      <c r="K220" s="567">
        <v>519</v>
      </c>
      <c r="L220" s="567">
        <v>1</v>
      </c>
      <c r="M220" s="567">
        <v>173</v>
      </c>
      <c r="N220" s="567">
        <v>1</v>
      </c>
      <c r="O220" s="567">
        <v>173</v>
      </c>
      <c r="P220" s="552">
        <v>0.33333333333333331</v>
      </c>
      <c r="Q220" s="568">
        <v>173</v>
      </c>
    </row>
    <row r="221" spans="1:17" ht="14.4" customHeight="1" x14ac:dyDescent="0.3">
      <c r="A221" s="546" t="s">
        <v>1164</v>
      </c>
      <c r="B221" s="547" t="s">
        <v>1062</v>
      </c>
      <c r="C221" s="547" t="s">
        <v>1048</v>
      </c>
      <c r="D221" s="547" t="s">
        <v>1084</v>
      </c>
      <c r="E221" s="547" t="s">
        <v>1085</v>
      </c>
      <c r="F221" s="567"/>
      <c r="G221" s="567"/>
      <c r="H221" s="567"/>
      <c r="I221" s="567"/>
      <c r="J221" s="567"/>
      <c r="K221" s="567"/>
      <c r="L221" s="567"/>
      <c r="M221" s="567"/>
      <c r="N221" s="567">
        <v>3</v>
      </c>
      <c r="O221" s="567">
        <v>1041</v>
      </c>
      <c r="P221" s="552"/>
      <c r="Q221" s="568">
        <v>347</v>
      </c>
    </row>
    <row r="222" spans="1:17" ht="14.4" customHeight="1" x14ac:dyDescent="0.3">
      <c r="A222" s="546" t="s">
        <v>1164</v>
      </c>
      <c r="B222" s="547" t="s">
        <v>1062</v>
      </c>
      <c r="C222" s="547" t="s">
        <v>1048</v>
      </c>
      <c r="D222" s="547" t="s">
        <v>1086</v>
      </c>
      <c r="E222" s="547" t="s">
        <v>1087</v>
      </c>
      <c r="F222" s="567">
        <v>117</v>
      </c>
      <c r="G222" s="567">
        <v>1872</v>
      </c>
      <c r="H222" s="567">
        <v>1.1840607210626186</v>
      </c>
      <c r="I222" s="567">
        <v>16</v>
      </c>
      <c r="J222" s="567">
        <v>93</v>
      </c>
      <c r="K222" s="567">
        <v>1581</v>
      </c>
      <c r="L222" s="567">
        <v>1</v>
      </c>
      <c r="M222" s="567">
        <v>17</v>
      </c>
      <c r="N222" s="567">
        <v>5</v>
      </c>
      <c r="O222" s="567">
        <v>85</v>
      </c>
      <c r="P222" s="552">
        <v>5.3763440860215055E-2</v>
      </c>
      <c r="Q222" s="568">
        <v>17</v>
      </c>
    </row>
    <row r="223" spans="1:17" ht="14.4" customHeight="1" x14ac:dyDescent="0.3">
      <c r="A223" s="546" t="s">
        <v>1164</v>
      </c>
      <c r="B223" s="547" t="s">
        <v>1062</v>
      </c>
      <c r="C223" s="547" t="s">
        <v>1048</v>
      </c>
      <c r="D223" s="547" t="s">
        <v>1088</v>
      </c>
      <c r="E223" s="547" t="s">
        <v>1089</v>
      </c>
      <c r="F223" s="567">
        <v>7</v>
      </c>
      <c r="G223" s="567">
        <v>1862</v>
      </c>
      <c r="H223" s="567">
        <v>1.1367521367521367</v>
      </c>
      <c r="I223" s="567">
        <v>266</v>
      </c>
      <c r="J223" s="567">
        <v>6</v>
      </c>
      <c r="K223" s="567">
        <v>1638</v>
      </c>
      <c r="L223" s="567">
        <v>1</v>
      </c>
      <c r="M223" s="567">
        <v>273</v>
      </c>
      <c r="N223" s="567"/>
      <c r="O223" s="567"/>
      <c r="P223" s="552"/>
      <c r="Q223" s="568"/>
    </row>
    <row r="224" spans="1:17" ht="14.4" customHeight="1" x14ac:dyDescent="0.3">
      <c r="A224" s="546" t="s">
        <v>1164</v>
      </c>
      <c r="B224" s="547" t="s">
        <v>1062</v>
      </c>
      <c r="C224" s="547" t="s">
        <v>1048</v>
      </c>
      <c r="D224" s="547" t="s">
        <v>1090</v>
      </c>
      <c r="E224" s="547" t="s">
        <v>1091</v>
      </c>
      <c r="F224" s="567">
        <v>10</v>
      </c>
      <c r="G224" s="567">
        <v>1410</v>
      </c>
      <c r="H224" s="567">
        <v>1.4185110663983904</v>
      </c>
      <c r="I224" s="567">
        <v>141</v>
      </c>
      <c r="J224" s="567">
        <v>7</v>
      </c>
      <c r="K224" s="567">
        <v>994</v>
      </c>
      <c r="L224" s="567">
        <v>1</v>
      </c>
      <c r="M224" s="567">
        <v>142</v>
      </c>
      <c r="N224" s="567">
        <v>7</v>
      </c>
      <c r="O224" s="567">
        <v>994</v>
      </c>
      <c r="P224" s="552">
        <v>1</v>
      </c>
      <c r="Q224" s="568">
        <v>142</v>
      </c>
    </row>
    <row r="225" spans="1:17" ht="14.4" customHeight="1" x14ac:dyDescent="0.3">
      <c r="A225" s="546" t="s">
        <v>1164</v>
      </c>
      <c r="B225" s="547" t="s">
        <v>1062</v>
      </c>
      <c r="C225" s="547" t="s">
        <v>1048</v>
      </c>
      <c r="D225" s="547" t="s">
        <v>1092</v>
      </c>
      <c r="E225" s="547" t="s">
        <v>1091</v>
      </c>
      <c r="F225" s="567">
        <v>105</v>
      </c>
      <c r="G225" s="567">
        <v>8190</v>
      </c>
      <c r="H225" s="567">
        <v>1.25</v>
      </c>
      <c r="I225" s="567">
        <v>78</v>
      </c>
      <c r="J225" s="567">
        <v>84</v>
      </c>
      <c r="K225" s="567">
        <v>6552</v>
      </c>
      <c r="L225" s="567">
        <v>1</v>
      </c>
      <c r="M225" s="567">
        <v>78</v>
      </c>
      <c r="N225" s="567">
        <v>104</v>
      </c>
      <c r="O225" s="567">
        <v>8112</v>
      </c>
      <c r="P225" s="552">
        <v>1.2380952380952381</v>
      </c>
      <c r="Q225" s="568">
        <v>78</v>
      </c>
    </row>
    <row r="226" spans="1:17" ht="14.4" customHeight="1" x14ac:dyDescent="0.3">
      <c r="A226" s="546" t="s">
        <v>1164</v>
      </c>
      <c r="B226" s="547" t="s">
        <v>1062</v>
      </c>
      <c r="C226" s="547" t="s">
        <v>1048</v>
      </c>
      <c r="D226" s="547" t="s">
        <v>1093</v>
      </c>
      <c r="E226" s="547" t="s">
        <v>1094</v>
      </c>
      <c r="F226" s="567">
        <v>10</v>
      </c>
      <c r="G226" s="567">
        <v>3070</v>
      </c>
      <c r="H226" s="567">
        <v>1.401186672752168</v>
      </c>
      <c r="I226" s="567">
        <v>307</v>
      </c>
      <c r="J226" s="567">
        <v>7</v>
      </c>
      <c r="K226" s="567">
        <v>2191</v>
      </c>
      <c r="L226" s="567">
        <v>1</v>
      </c>
      <c r="M226" s="567">
        <v>313</v>
      </c>
      <c r="N226" s="567">
        <v>7</v>
      </c>
      <c r="O226" s="567">
        <v>2198</v>
      </c>
      <c r="P226" s="552">
        <v>1.0031948881789137</v>
      </c>
      <c r="Q226" s="568">
        <v>314</v>
      </c>
    </row>
    <row r="227" spans="1:17" ht="14.4" customHeight="1" x14ac:dyDescent="0.3">
      <c r="A227" s="546" t="s">
        <v>1164</v>
      </c>
      <c r="B227" s="547" t="s">
        <v>1062</v>
      </c>
      <c r="C227" s="547" t="s">
        <v>1048</v>
      </c>
      <c r="D227" s="547" t="s">
        <v>1095</v>
      </c>
      <c r="E227" s="547" t="s">
        <v>1096</v>
      </c>
      <c r="F227" s="567"/>
      <c r="G227" s="567"/>
      <c r="H227" s="567"/>
      <c r="I227" s="567"/>
      <c r="J227" s="567"/>
      <c r="K227" s="567"/>
      <c r="L227" s="567"/>
      <c r="M227" s="567"/>
      <c r="N227" s="567">
        <v>3</v>
      </c>
      <c r="O227" s="567">
        <v>984</v>
      </c>
      <c r="P227" s="552"/>
      <c r="Q227" s="568">
        <v>328</v>
      </c>
    </row>
    <row r="228" spans="1:17" ht="14.4" customHeight="1" x14ac:dyDescent="0.3">
      <c r="A228" s="546" t="s">
        <v>1164</v>
      </c>
      <c r="B228" s="547" t="s">
        <v>1062</v>
      </c>
      <c r="C228" s="547" t="s">
        <v>1048</v>
      </c>
      <c r="D228" s="547" t="s">
        <v>1097</v>
      </c>
      <c r="E228" s="547" t="s">
        <v>1098</v>
      </c>
      <c r="F228" s="567">
        <v>97</v>
      </c>
      <c r="G228" s="567">
        <v>15617</v>
      </c>
      <c r="H228" s="567">
        <v>1.2283309737297468</v>
      </c>
      <c r="I228" s="567">
        <v>161</v>
      </c>
      <c r="J228" s="567">
        <v>78</v>
      </c>
      <c r="K228" s="567">
        <v>12714</v>
      </c>
      <c r="L228" s="567">
        <v>1</v>
      </c>
      <c r="M228" s="567">
        <v>163</v>
      </c>
      <c r="N228" s="567">
        <v>102</v>
      </c>
      <c r="O228" s="567">
        <v>16626</v>
      </c>
      <c r="P228" s="552">
        <v>1.3076923076923077</v>
      </c>
      <c r="Q228" s="568">
        <v>163</v>
      </c>
    </row>
    <row r="229" spans="1:17" ht="14.4" customHeight="1" x14ac:dyDescent="0.3">
      <c r="A229" s="546" t="s">
        <v>1164</v>
      </c>
      <c r="B229" s="547" t="s">
        <v>1062</v>
      </c>
      <c r="C229" s="547" t="s">
        <v>1048</v>
      </c>
      <c r="D229" s="547" t="s">
        <v>1101</v>
      </c>
      <c r="E229" s="547" t="s">
        <v>1067</v>
      </c>
      <c r="F229" s="567">
        <v>246</v>
      </c>
      <c r="G229" s="567">
        <v>17466</v>
      </c>
      <c r="H229" s="567">
        <v>1.3402394106813997</v>
      </c>
      <c r="I229" s="567">
        <v>71</v>
      </c>
      <c r="J229" s="567">
        <v>181</v>
      </c>
      <c r="K229" s="567">
        <v>13032</v>
      </c>
      <c r="L229" s="567">
        <v>1</v>
      </c>
      <c r="M229" s="567">
        <v>72</v>
      </c>
      <c r="N229" s="567">
        <v>211</v>
      </c>
      <c r="O229" s="567">
        <v>15192</v>
      </c>
      <c r="P229" s="552">
        <v>1.1657458563535912</v>
      </c>
      <c r="Q229" s="568">
        <v>72</v>
      </c>
    </row>
    <row r="230" spans="1:17" ht="14.4" customHeight="1" x14ac:dyDescent="0.3">
      <c r="A230" s="546" t="s">
        <v>1164</v>
      </c>
      <c r="B230" s="547" t="s">
        <v>1062</v>
      </c>
      <c r="C230" s="547" t="s">
        <v>1048</v>
      </c>
      <c r="D230" s="547" t="s">
        <v>1108</v>
      </c>
      <c r="E230" s="547" t="s">
        <v>1109</v>
      </c>
      <c r="F230" s="567">
        <v>3</v>
      </c>
      <c r="G230" s="567">
        <v>3585</v>
      </c>
      <c r="H230" s="567">
        <v>0.74009083402146991</v>
      </c>
      <c r="I230" s="567">
        <v>1195</v>
      </c>
      <c r="J230" s="567">
        <v>4</v>
      </c>
      <c r="K230" s="567">
        <v>4844</v>
      </c>
      <c r="L230" s="567">
        <v>1</v>
      </c>
      <c r="M230" s="567">
        <v>1211</v>
      </c>
      <c r="N230" s="567">
        <v>1</v>
      </c>
      <c r="O230" s="567">
        <v>1211</v>
      </c>
      <c r="P230" s="552">
        <v>0.25</v>
      </c>
      <c r="Q230" s="568">
        <v>1211</v>
      </c>
    </row>
    <row r="231" spans="1:17" ht="14.4" customHeight="1" x14ac:dyDescent="0.3">
      <c r="A231" s="546" t="s">
        <v>1164</v>
      </c>
      <c r="B231" s="547" t="s">
        <v>1062</v>
      </c>
      <c r="C231" s="547" t="s">
        <v>1048</v>
      </c>
      <c r="D231" s="547" t="s">
        <v>1110</v>
      </c>
      <c r="E231" s="547" t="s">
        <v>1111</v>
      </c>
      <c r="F231" s="567">
        <v>3</v>
      </c>
      <c r="G231" s="567">
        <v>330</v>
      </c>
      <c r="H231" s="567">
        <v>0.96491228070175439</v>
      </c>
      <c r="I231" s="567">
        <v>110</v>
      </c>
      <c r="J231" s="567">
        <v>3</v>
      </c>
      <c r="K231" s="567">
        <v>342</v>
      </c>
      <c r="L231" s="567">
        <v>1</v>
      </c>
      <c r="M231" s="567">
        <v>114</v>
      </c>
      <c r="N231" s="567">
        <v>1</v>
      </c>
      <c r="O231" s="567">
        <v>114</v>
      </c>
      <c r="P231" s="552">
        <v>0.33333333333333331</v>
      </c>
      <c r="Q231" s="568">
        <v>114</v>
      </c>
    </row>
    <row r="232" spans="1:17" ht="14.4" customHeight="1" x14ac:dyDescent="0.3">
      <c r="A232" s="546" t="s">
        <v>1165</v>
      </c>
      <c r="B232" s="547" t="s">
        <v>1062</v>
      </c>
      <c r="C232" s="547" t="s">
        <v>1048</v>
      </c>
      <c r="D232" s="547" t="s">
        <v>1066</v>
      </c>
      <c r="E232" s="547" t="s">
        <v>1067</v>
      </c>
      <c r="F232" s="567">
        <v>4</v>
      </c>
      <c r="G232" s="567">
        <v>824</v>
      </c>
      <c r="H232" s="567">
        <v>0.976303317535545</v>
      </c>
      <c r="I232" s="567">
        <v>206</v>
      </c>
      <c r="J232" s="567">
        <v>4</v>
      </c>
      <c r="K232" s="567">
        <v>844</v>
      </c>
      <c r="L232" s="567">
        <v>1</v>
      </c>
      <c r="M232" s="567">
        <v>211</v>
      </c>
      <c r="N232" s="567">
        <v>1</v>
      </c>
      <c r="O232" s="567">
        <v>211</v>
      </c>
      <c r="P232" s="552">
        <v>0.25</v>
      </c>
      <c r="Q232" s="568">
        <v>211</v>
      </c>
    </row>
    <row r="233" spans="1:17" ht="14.4" customHeight="1" x14ac:dyDescent="0.3">
      <c r="A233" s="546" t="s">
        <v>1165</v>
      </c>
      <c r="B233" s="547" t="s">
        <v>1062</v>
      </c>
      <c r="C233" s="547" t="s">
        <v>1048</v>
      </c>
      <c r="D233" s="547" t="s">
        <v>1069</v>
      </c>
      <c r="E233" s="547" t="s">
        <v>1070</v>
      </c>
      <c r="F233" s="567"/>
      <c r="G233" s="567"/>
      <c r="H233" s="567"/>
      <c r="I233" s="567"/>
      <c r="J233" s="567"/>
      <c r="K233" s="567"/>
      <c r="L233" s="567"/>
      <c r="M233" s="567"/>
      <c r="N233" s="567">
        <v>29</v>
      </c>
      <c r="O233" s="567">
        <v>8729</v>
      </c>
      <c r="P233" s="552"/>
      <c r="Q233" s="568">
        <v>301</v>
      </c>
    </row>
    <row r="234" spans="1:17" ht="14.4" customHeight="1" x14ac:dyDescent="0.3">
      <c r="A234" s="546" t="s">
        <v>1165</v>
      </c>
      <c r="B234" s="547" t="s">
        <v>1062</v>
      </c>
      <c r="C234" s="547" t="s">
        <v>1048</v>
      </c>
      <c r="D234" s="547" t="s">
        <v>1071</v>
      </c>
      <c r="E234" s="547" t="s">
        <v>1072</v>
      </c>
      <c r="F234" s="567"/>
      <c r="G234" s="567"/>
      <c r="H234" s="567"/>
      <c r="I234" s="567"/>
      <c r="J234" s="567"/>
      <c r="K234" s="567"/>
      <c r="L234" s="567"/>
      <c r="M234" s="567"/>
      <c r="N234" s="567">
        <v>3</v>
      </c>
      <c r="O234" s="567">
        <v>297</v>
      </c>
      <c r="P234" s="552"/>
      <c r="Q234" s="568">
        <v>99</v>
      </c>
    </row>
    <row r="235" spans="1:17" ht="14.4" customHeight="1" x14ac:dyDescent="0.3">
      <c r="A235" s="546" t="s">
        <v>1165</v>
      </c>
      <c r="B235" s="547" t="s">
        <v>1062</v>
      </c>
      <c r="C235" s="547" t="s">
        <v>1048</v>
      </c>
      <c r="D235" s="547" t="s">
        <v>1075</v>
      </c>
      <c r="E235" s="547" t="s">
        <v>1076</v>
      </c>
      <c r="F235" s="567">
        <v>5</v>
      </c>
      <c r="G235" s="567">
        <v>675</v>
      </c>
      <c r="H235" s="567">
        <v>0.98540145985401462</v>
      </c>
      <c r="I235" s="567">
        <v>135</v>
      </c>
      <c r="J235" s="567">
        <v>5</v>
      </c>
      <c r="K235" s="567">
        <v>685</v>
      </c>
      <c r="L235" s="567">
        <v>1</v>
      </c>
      <c r="M235" s="567">
        <v>137</v>
      </c>
      <c r="N235" s="567">
        <v>7</v>
      </c>
      <c r="O235" s="567">
        <v>959</v>
      </c>
      <c r="P235" s="552">
        <v>1.4</v>
      </c>
      <c r="Q235" s="568">
        <v>137</v>
      </c>
    </row>
    <row r="236" spans="1:17" ht="14.4" customHeight="1" x14ac:dyDescent="0.3">
      <c r="A236" s="546" t="s">
        <v>1165</v>
      </c>
      <c r="B236" s="547" t="s">
        <v>1062</v>
      </c>
      <c r="C236" s="547" t="s">
        <v>1048</v>
      </c>
      <c r="D236" s="547" t="s">
        <v>1078</v>
      </c>
      <c r="E236" s="547" t="s">
        <v>1079</v>
      </c>
      <c r="F236" s="567"/>
      <c r="G236" s="567"/>
      <c r="H236" s="567"/>
      <c r="I236" s="567"/>
      <c r="J236" s="567"/>
      <c r="K236" s="567"/>
      <c r="L236" s="567"/>
      <c r="M236" s="567"/>
      <c r="N236" s="567">
        <v>1</v>
      </c>
      <c r="O236" s="567">
        <v>639</v>
      </c>
      <c r="P236" s="552"/>
      <c r="Q236" s="568">
        <v>639</v>
      </c>
    </row>
    <row r="237" spans="1:17" ht="14.4" customHeight="1" x14ac:dyDescent="0.3">
      <c r="A237" s="546" t="s">
        <v>1165</v>
      </c>
      <c r="B237" s="547" t="s">
        <v>1062</v>
      </c>
      <c r="C237" s="547" t="s">
        <v>1048</v>
      </c>
      <c r="D237" s="547" t="s">
        <v>1082</v>
      </c>
      <c r="E237" s="547" t="s">
        <v>1083</v>
      </c>
      <c r="F237" s="567"/>
      <c r="G237" s="567"/>
      <c r="H237" s="567"/>
      <c r="I237" s="567"/>
      <c r="J237" s="567"/>
      <c r="K237" s="567"/>
      <c r="L237" s="567"/>
      <c r="M237" s="567"/>
      <c r="N237" s="567">
        <v>1</v>
      </c>
      <c r="O237" s="567">
        <v>173</v>
      </c>
      <c r="P237" s="552"/>
      <c r="Q237" s="568">
        <v>173</v>
      </c>
    </row>
    <row r="238" spans="1:17" ht="14.4" customHeight="1" x14ac:dyDescent="0.3">
      <c r="A238" s="546" t="s">
        <v>1165</v>
      </c>
      <c r="B238" s="547" t="s">
        <v>1062</v>
      </c>
      <c r="C238" s="547" t="s">
        <v>1048</v>
      </c>
      <c r="D238" s="547" t="s">
        <v>1086</v>
      </c>
      <c r="E238" s="547" t="s">
        <v>1087</v>
      </c>
      <c r="F238" s="567">
        <v>7</v>
      </c>
      <c r="G238" s="567">
        <v>112</v>
      </c>
      <c r="H238" s="567">
        <v>0.94117647058823528</v>
      </c>
      <c r="I238" s="567">
        <v>16</v>
      </c>
      <c r="J238" s="567">
        <v>7</v>
      </c>
      <c r="K238" s="567">
        <v>119</v>
      </c>
      <c r="L238" s="567">
        <v>1</v>
      </c>
      <c r="M238" s="567">
        <v>17</v>
      </c>
      <c r="N238" s="567"/>
      <c r="O238" s="567"/>
      <c r="P238" s="552"/>
      <c r="Q238" s="568"/>
    </row>
    <row r="239" spans="1:17" ht="14.4" customHeight="1" x14ac:dyDescent="0.3">
      <c r="A239" s="546" t="s">
        <v>1165</v>
      </c>
      <c r="B239" s="547" t="s">
        <v>1062</v>
      </c>
      <c r="C239" s="547" t="s">
        <v>1048</v>
      </c>
      <c r="D239" s="547" t="s">
        <v>1088</v>
      </c>
      <c r="E239" s="547" t="s">
        <v>1089</v>
      </c>
      <c r="F239" s="567">
        <v>1</v>
      </c>
      <c r="G239" s="567">
        <v>266</v>
      </c>
      <c r="H239" s="567">
        <v>0.48717948717948717</v>
      </c>
      <c r="I239" s="567">
        <v>266</v>
      </c>
      <c r="J239" s="567">
        <v>2</v>
      </c>
      <c r="K239" s="567">
        <v>546</v>
      </c>
      <c r="L239" s="567">
        <v>1</v>
      </c>
      <c r="M239" s="567">
        <v>273</v>
      </c>
      <c r="N239" s="567"/>
      <c r="O239" s="567"/>
      <c r="P239" s="552"/>
      <c r="Q239" s="568"/>
    </row>
    <row r="240" spans="1:17" ht="14.4" customHeight="1" x14ac:dyDescent="0.3">
      <c r="A240" s="546" t="s">
        <v>1165</v>
      </c>
      <c r="B240" s="547" t="s">
        <v>1062</v>
      </c>
      <c r="C240" s="547" t="s">
        <v>1048</v>
      </c>
      <c r="D240" s="547" t="s">
        <v>1090</v>
      </c>
      <c r="E240" s="547" t="s">
        <v>1091</v>
      </c>
      <c r="F240" s="567">
        <v>2</v>
      </c>
      <c r="G240" s="567">
        <v>282</v>
      </c>
      <c r="H240" s="567">
        <v>0.99295774647887325</v>
      </c>
      <c r="I240" s="567">
        <v>141</v>
      </c>
      <c r="J240" s="567">
        <v>2</v>
      </c>
      <c r="K240" s="567">
        <v>284</v>
      </c>
      <c r="L240" s="567">
        <v>1</v>
      </c>
      <c r="M240" s="567">
        <v>142</v>
      </c>
      <c r="N240" s="567"/>
      <c r="O240" s="567"/>
      <c r="P240" s="552"/>
      <c r="Q240" s="568"/>
    </row>
    <row r="241" spans="1:17" ht="14.4" customHeight="1" x14ac:dyDescent="0.3">
      <c r="A241" s="546" t="s">
        <v>1165</v>
      </c>
      <c r="B241" s="547" t="s">
        <v>1062</v>
      </c>
      <c r="C241" s="547" t="s">
        <v>1048</v>
      </c>
      <c r="D241" s="547" t="s">
        <v>1092</v>
      </c>
      <c r="E241" s="547" t="s">
        <v>1091</v>
      </c>
      <c r="F241" s="567">
        <v>5</v>
      </c>
      <c r="G241" s="567">
        <v>390</v>
      </c>
      <c r="H241" s="567">
        <v>1</v>
      </c>
      <c r="I241" s="567">
        <v>78</v>
      </c>
      <c r="J241" s="567">
        <v>5</v>
      </c>
      <c r="K241" s="567">
        <v>390</v>
      </c>
      <c r="L241" s="567">
        <v>1</v>
      </c>
      <c r="M241" s="567">
        <v>78</v>
      </c>
      <c r="N241" s="567">
        <v>7</v>
      </c>
      <c r="O241" s="567">
        <v>546</v>
      </c>
      <c r="P241" s="552">
        <v>1.4</v>
      </c>
      <c r="Q241" s="568">
        <v>78</v>
      </c>
    </row>
    <row r="242" spans="1:17" ht="14.4" customHeight="1" x14ac:dyDescent="0.3">
      <c r="A242" s="546" t="s">
        <v>1165</v>
      </c>
      <c r="B242" s="547" t="s">
        <v>1062</v>
      </c>
      <c r="C242" s="547" t="s">
        <v>1048</v>
      </c>
      <c r="D242" s="547" t="s">
        <v>1093</v>
      </c>
      <c r="E242" s="547" t="s">
        <v>1094</v>
      </c>
      <c r="F242" s="567">
        <v>2</v>
      </c>
      <c r="G242" s="567">
        <v>614</v>
      </c>
      <c r="H242" s="567">
        <v>0.98083067092651754</v>
      </c>
      <c r="I242" s="567">
        <v>307</v>
      </c>
      <c r="J242" s="567">
        <v>2</v>
      </c>
      <c r="K242" s="567">
        <v>626</v>
      </c>
      <c r="L242" s="567">
        <v>1</v>
      </c>
      <c r="M242" s="567">
        <v>313</v>
      </c>
      <c r="N242" s="567"/>
      <c r="O242" s="567"/>
      <c r="P242" s="552"/>
      <c r="Q242" s="568"/>
    </row>
    <row r="243" spans="1:17" ht="14.4" customHeight="1" x14ac:dyDescent="0.3">
      <c r="A243" s="546" t="s">
        <v>1165</v>
      </c>
      <c r="B243" s="547" t="s">
        <v>1062</v>
      </c>
      <c r="C243" s="547" t="s">
        <v>1048</v>
      </c>
      <c r="D243" s="547" t="s">
        <v>1097</v>
      </c>
      <c r="E243" s="547" t="s">
        <v>1098</v>
      </c>
      <c r="F243" s="567">
        <v>4</v>
      </c>
      <c r="G243" s="567">
        <v>644</v>
      </c>
      <c r="H243" s="567">
        <v>0.79018404907975459</v>
      </c>
      <c r="I243" s="567">
        <v>161</v>
      </c>
      <c r="J243" s="567">
        <v>5</v>
      </c>
      <c r="K243" s="567">
        <v>815</v>
      </c>
      <c r="L243" s="567">
        <v>1</v>
      </c>
      <c r="M243" s="567">
        <v>163</v>
      </c>
      <c r="N243" s="567">
        <v>7</v>
      </c>
      <c r="O243" s="567">
        <v>1141</v>
      </c>
      <c r="P243" s="552">
        <v>1.4</v>
      </c>
      <c r="Q243" s="568">
        <v>163</v>
      </c>
    </row>
    <row r="244" spans="1:17" ht="14.4" customHeight="1" x14ac:dyDescent="0.3">
      <c r="A244" s="546" t="s">
        <v>1165</v>
      </c>
      <c r="B244" s="547" t="s">
        <v>1062</v>
      </c>
      <c r="C244" s="547" t="s">
        <v>1048</v>
      </c>
      <c r="D244" s="547" t="s">
        <v>1101</v>
      </c>
      <c r="E244" s="547" t="s">
        <v>1067</v>
      </c>
      <c r="F244" s="567">
        <v>10</v>
      </c>
      <c r="G244" s="567">
        <v>710</v>
      </c>
      <c r="H244" s="567">
        <v>0.8217592592592593</v>
      </c>
      <c r="I244" s="567">
        <v>71</v>
      </c>
      <c r="J244" s="567">
        <v>12</v>
      </c>
      <c r="K244" s="567">
        <v>864</v>
      </c>
      <c r="L244" s="567">
        <v>1</v>
      </c>
      <c r="M244" s="567">
        <v>72</v>
      </c>
      <c r="N244" s="567">
        <v>26</v>
      </c>
      <c r="O244" s="567">
        <v>1872</v>
      </c>
      <c r="P244" s="552">
        <v>2.1666666666666665</v>
      </c>
      <c r="Q244" s="568">
        <v>72</v>
      </c>
    </row>
    <row r="245" spans="1:17" ht="14.4" customHeight="1" x14ac:dyDescent="0.3">
      <c r="A245" s="546" t="s">
        <v>1165</v>
      </c>
      <c r="B245" s="547" t="s">
        <v>1062</v>
      </c>
      <c r="C245" s="547" t="s">
        <v>1048</v>
      </c>
      <c r="D245" s="547" t="s">
        <v>1108</v>
      </c>
      <c r="E245" s="547" t="s">
        <v>1109</v>
      </c>
      <c r="F245" s="567"/>
      <c r="G245" s="567"/>
      <c r="H245" s="567"/>
      <c r="I245" s="567"/>
      <c r="J245" s="567"/>
      <c r="K245" s="567"/>
      <c r="L245" s="567"/>
      <c r="M245" s="567"/>
      <c r="N245" s="567">
        <v>3</v>
      </c>
      <c r="O245" s="567">
        <v>3633</v>
      </c>
      <c r="P245" s="552"/>
      <c r="Q245" s="568">
        <v>1211</v>
      </c>
    </row>
    <row r="246" spans="1:17" ht="14.4" customHeight="1" x14ac:dyDescent="0.3">
      <c r="A246" s="546" t="s">
        <v>1165</v>
      </c>
      <c r="B246" s="547" t="s">
        <v>1062</v>
      </c>
      <c r="C246" s="547" t="s">
        <v>1048</v>
      </c>
      <c r="D246" s="547" t="s">
        <v>1110</v>
      </c>
      <c r="E246" s="547" t="s">
        <v>1111</v>
      </c>
      <c r="F246" s="567"/>
      <c r="G246" s="567"/>
      <c r="H246" s="567"/>
      <c r="I246" s="567"/>
      <c r="J246" s="567"/>
      <c r="K246" s="567"/>
      <c r="L246" s="567"/>
      <c r="M246" s="567"/>
      <c r="N246" s="567">
        <v>1</v>
      </c>
      <c r="O246" s="567">
        <v>114</v>
      </c>
      <c r="P246" s="552"/>
      <c r="Q246" s="568">
        <v>114</v>
      </c>
    </row>
    <row r="247" spans="1:17" ht="14.4" customHeight="1" x14ac:dyDescent="0.3">
      <c r="A247" s="546" t="s">
        <v>1165</v>
      </c>
      <c r="B247" s="547" t="s">
        <v>1062</v>
      </c>
      <c r="C247" s="547" t="s">
        <v>1048</v>
      </c>
      <c r="D247" s="547" t="s">
        <v>1112</v>
      </c>
      <c r="E247" s="547" t="s">
        <v>1113</v>
      </c>
      <c r="F247" s="567"/>
      <c r="G247" s="567"/>
      <c r="H247" s="567"/>
      <c r="I247" s="567"/>
      <c r="J247" s="567"/>
      <c r="K247" s="567"/>
      <c r="L247" s="567"/>
      <c r="M247" s="567"/>
      <c r="N247" s="567">
        <v>1</v>
      </c>
      <c r="O247" s="567">
        <v>347</v>
      </c>
      <c r="P247" s="552"/>
      <c r="Q247" s="568">
        <v>347</v>
      </c>
    </row>
    <row r="248" spans="1:17" ht="14.4" customHeight="1" x14ac:dyDescent="0.3">
      <c r="A248" s="546" t="s">
        <v>1165</v>
      </c>
      <c r="B248" s="547" t="s">
        <v>1062</v>
      </c>
      <c r="C248" s="547" t="s">
        <v>1048</v>
      </c>
      <c r="D248" s="547" t="s">
        <v>1120</v>
      </c>
      <c r="E248" s="547" t="s">
        <v>1121</v>
      </c>
      <c r="F248" s="567"/>
      <c r="G248" s="567"/>
      <c r="H248" s="567"/>
      <c r="I248" s="567"/>
      <c r="J248" s="567"/>
      <c r="K248" s="567"/>
      <c r="L248" s="567"/>
      <c r="M248" s="567"/>
      <c r="N248" s="567">
        <v>1</v>
      </c>
      <c r="O248" s="567">
        <v>302</v>
      </c>
      <c r="P248" s="552"/>
      <c r="Q248" s="568">
        <v>302</v>
      </c>
    </row>
    <row r="249" spans="1:17" ht="14.4" customHeight="1" x14ac:dyDescent="0.3">
      <c r="A249" s="546" t="s">
        <v>1166</v>
      </c>
      <c r="B249" s="547" t="s">
        <v>1062</v>
      </c>
      <c r="C249" s="547" t="s">
        <v>1048</v>
      </c>
      <c r="D249" s="547" t="s">
        <v>1066</v>
      </c>
      <c r="E249" s="547" t="s">
        <v>1067</v>
      </c>
      <c r="F249" s="567"/>
      <c r="G249" s="567"/>
      <c r="H249" s="567"/>
      <c r="I249" s="567"/>
      <c r="J249" s="567">
        <v>1</v>
      </c>
      <c r="K249" s="567">
        <v>211</v>
      </c>
      <c r="L249" s="567">
        <v>1</v>
      </c>
      <c r="M249" s="567">
        <v>211</v>
      </c>
      <c r="N249" s="567"/>
      <c r="O249" s="567"/>
      <c r="P249" s="552"/>
      <c r="Q249" s="568"/>
    </row>
    <row r="250" spans="1:17" ht="14.4" customHeight="1" x14ac:dyDescent="0.3">
      <c r="A250" s="546" t="s">
        <v>1166</v>
      </c>
      <c r="B250" s="547" t="s">
        <v>1062</v>
      </c>
      <c r="C250" s="547" t="s">
        <v>1048</v>
      </c>
      <c r="D250" s="547" t="s">
        <v>1075</v>
      </c>
      <c r="E250" s="547" t="s">
        <v>1076</v>
      </c>
      <c r="F250" s="567"/>
      <c r="G250" s="567"/>
      <c r="H250" s="567"/>
      <c r="I250" s="567"/>
      <c r="J250" s="567">
        <v>1</v>
      </c>
      <c r="K250" s="567">
        <v>137</v>
      </c>
      <c r="L250" s="567">
        <v>1</v>
      </c>
      <c r="M250" s="567">
        <v>137</v>
      </c>
      <c r="N250" s="567"/>
      <c r="O250" s="567"/>
      <c r="P250" s="552"/>
      <c r="Q250" s="568"/>
    </row>
    <row r="251" spans="1:17" ht="14.4" customHeight="1" x14ac:dyDescent="0.3">
      <c r="A251" s="546" t="s">
        <v>1166</v>
      </c>
      <c r="B251" s="547" t="s">
        <v>1062</v>
      </c>
      <c r="C251" s="547" t="s">
        <v>1048</v>
      </c>
      <c r="D251" s="547" t="s">
        <v>1086</v>
      </c>
      <c r="E251" s="547" t="s">
        <v>1087</v>
      </c>
      <c r="F251" s="567"/>
      <c r="G251" s="567"/>
      <c r="H251" s="567"/>
      <c r="I251" s="567"/>
      <c r="J251" s="567">
        <v>1</v>
      </c>
      <c r="K251" s="567">
        <v>17</v>
      </c>
      <c r="L251" s="567">
        <v>1</v>
      </c>
      <c r="M251" s="567">
        <v>17</v>
      </c>
      <c r="N251" s="567"/>
      <c r="O251" s="567"/>
      <c r="P251" s="552"/>
      <c r="Q251" s="568"/>
    </row>
    <row r="252" spans="1:17" ht="14.4" customHeight="1" x14ac:dyDescent="0.3">
      <c r="A252" s="546" t="s">
        <v>1166</v>
      </c>
      <c r="B252" s="547" t="s">
        <v>1062</v>
      </c>
      <c r="C252" s="547" t="s">
        <v>1048</v>
      </c>
      <c r="D252" s="547" t="s">
        <v>1092</v>
      </c>
      <c r="E252" s="547" t="s">
        <v>1091</v>
      </c>
      <c r="F252" s="567"/>
      <c r="G252" s="567"/>
      <c r="H252" s="567"/>
      <c r="I252" s="567"/>
      <c r="J252" s="567">
        <v>1</v>
      </c>
      <c r="K252" s="567">
        <v>78</v>
      </c>
      <c r="L252" s="567">
        <v>1</v>
      </c>
      <c r="M252" s="567">
        <v>78</v>
      </c>
      <c r="N252" s="567"/>
      <c r="O252" s="567"/>
      <c r="P252" s="552"/>
      <c r="Q252" s="568"/>
    </row>
    <row r="253" spans="1:17" ht="14.4" customHeight="1" x14ac:dyDescent="0.3">
      <c r="A253" s="546" t="s">
        <v>1166</v>
      </c>
      <c r="B253" s="547" t="s">
        <v>1062</v>
      </c>
      <c r="C253" s="547" t="s">
        <v>1048</v>
      </c>
      <c r="D253" s="547" t="s">
        <v>1097</v>
      </c>
      <c r="E253" s="547" t="s">
        <v>1098</v>
      </c>
      <c r="F253" s="567"/>
      <c r="G253" s="567"/>
      <c r="H253" s="567"/>
      <c r="I253" s="567"/>
      <c r="J253" s="567">
        <v>1</v>
      </c>
      <c r="K253" s="567">
        <v>163</v>
      </c>
      <c r="L253" s="567">
        <v>1</v>
      </c>
      <c r="M253" s="567">
        <v>163</v>
      </c>
      <c r="N253" s="567"/>
      <c r="O253" s="567"/>
      <c r="P253" s="552"/>
      <c r="Q253" s="568"/>
    </row>
    <row r="254" spans="1:17" ht="14.4" customHeight="1" x14ac:dyDescent="0.3">
      <c r="A254" s="546" t="s">
        <v>1166</v>
      </c>
      <c r="B254" s="547" t="s">
        <v>1062</v>
      </c>
      <c r="C254" s="547" t="s">
        <v>1048</v>
      </c>
      <c r="D254" s="547" t="s">
        <v>1101</v>
      </c>
      <c r="E254" s="547" t="s">
        <v>1067</v>
      </c>
      <c r="F254" s="567"/>
      <c r="G254" s="567"/>
      <c r="H254" s="567"/>
      <c r="I254" s="567"/>
      <c r="J254" s="567">
        <v>3</v>
      </c>
      <c r="K254" s="567">
        <v>216</v>
      </c>
      <c r="L254" s="567">
        <v>1</v>
      </c>
      <c r="M254" s="567">
        <v>72</v>
      </c>
      <c r="N254" s="567"/>
      <c r="O254" s="567"/>
      <c r="P254" s="552"/>
      <c r="Q254" s="568"/>
    </row>
    <row r="255" spans="1:17" ht="14.4" customHeight="1" x14ac:dyDescent="0.3">
      <c r="A255" s="546" t="s">
        <v>1167</v>
      </c>
      <c r="B255" s="547" t="s">
        <v>1062</v>
      </c>
      <c r="C255" s="547" t="s">
        <v>1048</v>
      </c>
      <c r="D255" s="547" t="s">
        <v>1066</v>
      </c>
      <c r="E255" s="547" t="s">
        <v>1067</v>
      </c>
      <c r="F255" s="567">
        <v>9</v>
      </c>
      <c r="G255" s="567">
        <v>1854</v>
      </c>
      <c r="H255" s="567">
        <v>2.1966824644549763</v>
      </c>
      <c r="I255" s="567">
        <v>206</v>
      </c>
      <c r="J255" s="567">
        <v>4</v>
      </c>
      <c r="K255" s="567">
        <v>844</v>
      </c>
      <c r="L255" s="567">
        <v>1</v>
      </c>
      <c r="M255" s="567">
        <v>211</v>
      </c>
      <c r="N255" s="567">
        <v>11</v>
      </c>
      <c r="O255" s="567">
        <v>2321</v>
      </c>
      <c r="P255" s="552">
        <v>2.75</v>
      </c>
      <c r="Q255" s="568">
        <v>211</v>
      </c>
    </row>
    <row r="256" spans="1:17" ht="14.4" customHeight="1" x14ac:dyDescent="0.3">
      <c r="A256" s="546" t="s">
        <v>1167</v>
      </c>
      <c r="B256" s="547" t="s">
        <v>1062</v>
      </c>
      <c r="C256" s="547" t="s">
        <v>1048</v>
      </c>
      <c r="D256" s="547" t="s">
        <v>1069</v>
      </c>
      <c r="E256" s="547" t="s">
        <v>1070</v>
      </c>
      <c r="F256" s="567">
        <v>63</v>
      </c>
      <c r="G256" s="567">
        <v>18585</v>
      </c>
      <c r="H256" s="567">
        <v>0.94991055456171736</v>
      </c>
      <c r="I256" s="567">
        <v>295</v>
      </c>
      <c r="J256" s="567">
        <v>65</v>
      </c>
      <c r="K256" s="567">
        <v>19565</v>
      </c>
      <c r="L256" s="567">
        <v>1</v>
      </c>
      <c r="M256" s="567">
        <v>301</v>
      </c>
      <c r="N256" s="567">
        <v>61</v>
      </c>
      <c r="O256" s="567">
        <v>18361</v>
      </c>
      <c r="P256" s="552">
        <v>0.93846153846153846</v>
      </c>
      <c r="Q256" s="568">
        <v>301</v>
      </c>
    </row>
    <row r="257" spans="1:17" ht="14.4" customHeight="1" x14ac:dyDescent="0.3">
      <c r="A257" s="546" t="s">
        <v>1167</v>
      </c>
      <c r="B257" s="547" t="s">
        <v>1062</v>
      </c>
      <c r="C257" s="547" t="s">
        <v>1048</v>
      </c>
      <c r="D257" s="547" t="s">
        <v>1071</v>
      </c>
      <c r="E257" s="547" t="s">
        <v>1072</v>
      </c>
      <c r="F257" s="567">
        <v>3</v>
      </c>
      <c r="G257" s="567">
        <v>285</v>
      </c>
      <c r="H257" s="567">
        <v>0.71969696969696972</v>
      </c>
      <c r="I257" s="567">
        <v>95</v>
      </c>
      <c r="J257" s="567">
        <v>4</v>
      </c>
      <c r="K257" s="567">
        <v>396</v>
      </c>
      <c r="L257" s="567">
        <v>1</v>
      </c>
      <c r="M257" s="567">
        <v>99</v>
      </c>
      <c r="N257" s="567">
        <v>6</v>
      </c>
      <c r="O257" s="567">
        <v>594</v>
      </c>
      <c r="P257" s="552">
        <v>1.5</v>
      </c>
      <c r="Q257" s="568">
        <v>99</v>
      </c>
    </row>
    <row r="258" spans="1:17" ht="14.4" customHeight="1" x14ac:dyDescent="0.3">
      <c r="A258" s="546" t="s">
        <v>1167</v>
      </c>
      <c r="B258" s="547" t="s">
        <v>1062</v>
      </c>
      <c r="C258" s="547" t="s">
        <v>1048</v>
      </c>
      <c r="D258" s="547" t="s">
        <v>1073</v>
      </c>
      <c r="E258" s="547" t="s">
        <v>1074</v>
      </c>
      <c r="F258" s="567"/>
      <c r="G258" s="567"/>
      <c r="H258" s="567"/>
      <c r="I258" s="567"/>
      <c r="J258" s="567"/>
      <c r="K258" s="567"/>
      <c r="L258" s="567"/>
      <c r="M258" s="567"/>
      <c r="N258" s="567">
        <v>1</v>
      </c>
      <c r="O258" s="567">
        <v>232</v>
      </c>
      <c r="P258" s="552"/>
      <c r="Q258" s="568">
        <v>232</v>
      </c>
    </row>
    <row r="259" spans="1:17" ht="14.4" customHeight="1" x14ac:dyDescent="0.3">
      <c r="A259" s="546" t="s">
        <v>1167</v>
      </c>
      <c r="B259" s="547" t="s">
        <v>1062</v>
      </c>
      <c r="C259" s="547" t="s">
        <v>1048</v>
      </c>
      <c r="D259" s="547" t="s">
        <v>1075</v>
      </c>
      <c r="E259" s="547" t="s">
        <v>1076</v>
      </c>
      <c r="F259" s="567">
        <v>16</v>
      </c>
      <c r="G259" s="567">
        <v>2160</v>
      </c>
      <c r="H259" s="567">
        <v>0.82981175566653864</v>
      </c>
      <c r="I259" s="567">
        <v>135</v>
      </c>
      <c r="J259" s="567">
        <v>19</v>
      </c>
      <c r="K259" s="567">
        <v>2603</v>
      </c>
      <c r="L259" s="567">
        <v>1</v>
      </c>
      <c r="M259" s="567">
        <v>137</v>
      </c>
      <c r="N259" s="567">
        <v>24</v>
      </c>
      <c r="O259" s="567">
        <v>3288</v>
      </c>
      <c r="P259" s="552">
        <v>1.263157894736842</v>
      </c>
      <c r="Q259" s="568">
        <v>137</v>
      </c>
    </row>
    <row r="260" spans="1:17" ht="14.4" customHeight="1" x14ac:dyDescent="0.3">
      <c r="A260" s="546" t="s">
        <v>1167</v>
      </c>
      <c r="B260" s="547" t="s">
        <v>1062</v>
      </c>
      <c r="C260" s="547" t="s">
        <v>1048</v>
      </c>
      <c r="D260" s="547" t="s">
        <v>1078</v>
      </c>
      <c r="E260" s="547" t="s">
        <v>1079</v>
      </c>
      <c r="F260" s="567"/>
      <c r="G260" s="567"/>
      <c r="H260" s="567"/>
      <c r="I260" s="567"/>
      <c r="J260" s="567">
        <v>1</v>
      </c>
      <c r="K260" s="567">
        <v>639</v>
      </c>
      <c r="L260" s="567">
        <v>1</v>
      </c>
      <c r="M260" s="567">
        <v>639</v>
      </c>
      <c r="N260" s="567">
        <v>1</v>
      </c>
      <c r="O260" s="567">
        <v>639</v>
      </c>
      <c r="P260" s="552">
        <v>1</v>
      </c>
      <c r="Q260" s="568">
        <v>639</v>
      </c>
    </row>
    <row r="261" spans="1:17" ht="14.4" customHeight="1" x14ac:dyDescent="0.3">
      <c r="A261" s="546" t="s">
        <v>1167</v>
      </c>
      <c r="B261" s="547" t="s">
        <v>1062</v>
      </c>
      <c r="C261" s="547" t="s">
        <v>1048</v>
      </c>
      <c r="D261" s="547" t="s">
        <v>1082</v>
      </c>
      <c r="E261" s="547" t="s">
        <v>1083</v>
      </c>
      <c r="F261" s="567">
        <v>2</v>
      </c>
      <c r="G261" s="567">
        <v>322</v>
      </c>
      <c r="H261" s="567">
        <v>1.8612716763005781</v>
      </c>
      <c r="I261" s="567">
        <v>161</v>
      </c>
      <c r="J261" s="567">
        <v>1</v>
      </c>
      <c r="K261" s="567">
        <v>173</v>
      </c>
      <c r="L261" s="567">
        <v>1</v>
      </c>
      <c r="M261" s="567">
        <v>173</v>
      </c>
      <c r="N261" s="567">
        <v>3</v>
      </c>
      <c r="O261" s="567">
        <v>519</v>
      </c>
      <c r="P261" s="552">
        <v>3</v>
      </c>
      <c r="Q261" s="568">
        <v>173</v>
      </c>
    </row>
    <row r="262" spans="1:17" ht="14.4" customHeight="1" x14ac:dyDescent="0.3">
      <c r="A262" s="546" t="s">
        <v>1167</v>
      </c>
      <c r="B262" s="547" t="s">
        <v>1062</v>
      </c>
      <c r="C262" s="547" t="s">
        <v>1048</v>
      </c>
      <c r="D262" s="547" t="s">
        <v>1086</v>
      </c>
      <c r="E262" s="547" t="s">
        <v>1087</v>
      </c>
      <c r="F262" s="567">
        <v>40</v>
      </c>
      <c r="G262" s="567">
        <v>640</v>
      </c>
      <c r="H262" s="567">
        <v>0.81841432225063937</v>
      </c>
      <c r="I262" s="567">
        <v>16</v>
      </c>
      <c r="J262" s="567">
        <v>46</v>
      </c>
      <c r="K262" s="567">
        <v>782</v>
      </c>
      <c r="L262" s="567">
        <v>1</v>
      </c>
      <c r="M262" s="567">
        <v>17</v>
      </c>
      <c r="N262" s="567">
        <v>26</v>
      </c>
      <c r="O262" s="567">
        <v>442</v>
      </c>
      <c r="P262" s="552">
        <v>0.56521739130434778</v>
      </c>
      <c r="Q262" s="568">
        <v>17</v>
      </c>
    </row>
    <row r="263" spans="1:17" ht="14.4" customHeight="1" x14ac:dyDescent="0.3">
      <c r="A263" s="546" t="s">
        <v>1167</v>
      </c>
      <c r="B263" s="547" t="s">
        <v>1062</v>
      </c>
      <c r="C263" s="547" t="s">
        <v>1048</v>
      </c>
      <c r="D263" s="547" t="s">
        <v>1088</v>
      </c>
      <c r="E263" s="547" t="s">
        <v>1089</v>
      </c>
      <c r="F263" s="567">
        <v>1</v>
      </c>
      <c r="G263" s="567">
        <v>266</v>
      </c>
      <c r="H263" s="567">
        <v>0.48717948717948717</v>
      </c>
      <c r="I263" s="567">
        <v>266</v>
      </c>
      <c r="J263" s="567">
        <v>2</v>
      </c>
      <c r="K263" s="567">
        <v>546</v>
      </c>
      <c r="L263" s="567">
        <v>1</v>
      </c>
      <c r="M263" s="567">
        <v>273</v>
      </c>
      <c r="N263" s="567"/>
      <c r="O263" s="567"/>
      <c r="P263" s="552"/>
      <c r="Q263" s="568"/>
    </row>
    <row r="264" spans="1:17" ht="14.4" customHeight="1" x14ac:dyDescent="0.3">
      <c r="A264" s="546" t="s">
        <v>1167</v>
      </c>
      <c r="B264" s="547" t="s">
        <v>1062</v>
      </c>
      <c r="C264" s="547" t="s">
        <v>1048</v>
      </c>
      <c r="D264" s="547" t="s">
        <v>1090</v>
      </c>
      <c r="E264" s="547" t="s">
        <v>1091</v>
      </c>
      <c r="F264" s="567">
        <v>1</v>
      </c>
      <c r="G264" s="567">
        <v>141</v>
      </c>
      <c r="H264" s="567">
        <v>0.49647887323943662</v>
      </c>
      <c r="I264" s="567">
        <v>141</v>
      </c>
      <c r="J264" s="567">
        <v>2</v>
      </c>
      <c r="K264" s="567">
        <v>284</v>
      </c>
      <c r="L264" s="567">
        <v>1</v>
      </c>
      <c r="M264" s="567">
        <v>142</v>
      </c>
      <c r="N264" s="567">
        <v>2</v>
      </c>
      <c r="O264" s="567">
        <v>284</v>
      </c>
      <c r="P264" s="552">
        <v>1</v>
      </c>
      <c r="Q264" s="568">
        <v>142</v>
      </c>
    </row>
    <row r="265" spans="1:17" ht="14.4" customHeight="1" x14ac:dyDescent="0.3">
      <c r="A265" s="546" t="s">
        <v>1167</v>
      </c>
      <c r="B265" s="547" t="s">
        <v>1062</v>
      </c>
      <c r="C265" s="547" t="s">
        <v>1048</v>
      </c>
      <c r="D265" s="547" t="s">
        <v>1092</v>
      </c>
      <c r="E265" s="547" t="s">
        <v>1091</v>
      </c>
      <c r="F265" s="567">
        <v>16</v>
      </c>
      <c r="G265" s="567">
        <v>1248</v>
      </c>
      <c r="H265" s="567">
        <v>0.88888888888888884</v>
      </c>
      <c r="I265" s="567">
        <v>78</v>
      </c>
      <c r="J265" s="567">
        <v>18</v>
      </c>
      <c r="K265" s="567">
        <v>1404</v>
      </c>
      <c r="L265" s="567">
        <v>1</v>
      </c>
      <c r="M265" s="567">
        <v>78</v>
      </c>
      <c r="N265" s="567">
        <v>23</v>
      </c>
      <c r="O265" s="567">
        <v>1794</v>
      </c>
      <c r="P265" s="552">
        <v>1.2777777777777777</v>
      </c>
      <c r="Q265" s="568">
        <v>78</v>
      </c>
    </row>
    <row r="266" spans="1:17" ht="14.4" customHeight="1" x14ac:dyDescent="0.3">
      <c r="A266" s="546" t="s">
        <v>1167</v>
      </c>
      <c r="B266" s="547" t="s">
        <v>1062</v>
      </c>
      <c r="C266" s="547" t="s">
        <v>1048</v>
      </c>
      <c r="D266" s="547" t="s">
        <v>1093</v>
      </c>
      <c r="E266" s="547" t="s">
        <v>1094</v>
      </c>
      <c r="F266" s="567">
        <v>1</v>
      </c>
      <c r="G266" s="567">
        <v>307</v>
      </c>
      <c r="H266" s="567">
        <v>0.49041533546325877</v>
      </c>
      <c r="I266" s="567">
        <v>307</v>
      </c>
      <c r="J266" s="567">
        <v>2</v>
      </c>
      <c r="K266" s="567">
        <v>626</v>
      </c>
      <c r="L266" s="567">
        <v>1</v>
      </c>
      <c r="M266" s="567">
        <v>313</v>
      </c>
      <c r="N266" s="567">
        <v>2</v>
      </c>
      <c r="O266" s="567">
        <v>628</v>
      </c>
      <c r="P266" s="552">
        <v>1.0031948881789137</v>
      </c>
      <c r="Q266" s="568">
        <v>314</v>
      </c>
    </row>
    <row r="267" spans="1:17" ht="14.4" customHeight="1" x14ac:dyDescent="0.3">
      <c r="A267" s="546" t="s">
        <v>1167</v>
      </c>
      <c r="B267" s="547" t="s">
        <v>1062</v>
      </c>
      <c r="C267" s="547" t="s">
        <v>1048</v>
      </c>
      <c r="D267" s="547" t="s">
        <v>1097</v>
      </c>
      <c r="E267" s="547" t="s">
        <v>1098</v>
      </c>
      <c r="F267" s="567">
        <v>36</v>
      </c>
      <c r="G267" s="567">
        <v>5796</v>
      </c>
      <c r="H267" s="567">
        <v>0.8889570552147239</v>
      </c>
      <c r="I267" s="567">
        <v>161</v>
      </c>
      <c r="J267" s="567">
        <v>40</v>
      </c>
      <c r="K267" s="567">
        <v>6520</v>
      </c>
      <c r="L267" s="567">
        <v>1</v>
      </c>
      <c r="M267" s="567">
        <v>163</v>
      </c>
      <c r="N267" s="567">
        <v>39</v>
      </c>
      <c r="O267" s="567">
        <v>6357</v>
      </c>
      <c r="P267" s="552">
        <v>0.97499999999999998</v>
      </c>
      <c r="Q267" s="568">
        <v>163</v>
      </c>
    </row>
    <row r="268" spans="1:17" ht="14.4" customHeight="1" x14ac:dyDescent="0.3">
      <c r="A268" s="546" t="s">
        <v>1167</v>
      </c>
      <c r="B268" s="547" t="s">
        <v>1062</v>
      </c>
      <c r="C268" s="547" t="s">
        <v>1048</v>
      </c>
      <c r="D268" s="547" t="s">
        <v>1101</v>
      </c>
      <c r="E268" s="547" t="s">
        <v>1067</v>
      </c>
      <c r="F268" s="567">
        <v>44</v>
      </c>
      <c r="G268" s="567">
        <v>3124</v>
      </c>
      <c r="H268" s="567">
        <v>1.0090439276485788</v>
      </c>
      <c r="I268" s="567">
        <v>71</v>
      </c>
      <c r="J268" s="567">
        <v>43</v>
      </c>
      <c r="K268" s="567">
        <v>3096</v>
      </c>
      <c r="L268" s="567">
        <v>1</v>
      </c>
      <c r="M268" s="567">
        <v>72</v>
      </c>
      <c r="N268" s="567">
        <v>49</v>
      </c>
      <c r="O268" s="567">
        <v>3528</v>
      </c>
      <c r="P268" s="552">
        <v>1.1395348837209303</v>
      </c>
      <c r="Q268" s="568">
        <v>72</v>
      </c>
    </row>
    <row r="269" spans="1:17" ht="14.4" customHeight="1" x14ac:dyDescent="0.3">
      <c r="A269" s="546" t="s">
        <v>1167</v>
      </c>
      <c r="B269" s="547" t="s">
        <v>1062</v>
      </c>
      <c r="C269" s="547" t="s">
        <v>1048</v>
      </c>
      <c r="D269" s="547" t="s">
        <v>1108</v>
      </c>
      <c r="E269" s="547" t="s">
        <v>1109</v>
      </c>
      <c r="F269" s="567">
        <v>1</v>
      </c>
      <c r="G269" s="567">
        <v>1195</v>
      </c>
      <c r="H269" s="567">
        <v>0.49339388934764655</v>
      </c>
      <c r="I269" s="567">
        <v>1195</v>
      </c>
      <c r="J269" s="567">
        <v>2</v>
      </c>
      <c r="K269" s="567">
        <v>2422</v>
      </c>
      <c r="L269" s="567">
        <v>1</v>
      </c>
      <c r="M269" s="567">
        <v>1211</v>
      </c>
      <c r="N269" s="567">
        <v>4</v>
      </c>
      <c r="O269" s="567">
        <v>4844</v>
      </c>
      <c r="P269" s="552">
        <v>2</v>
      </c>
      <c r="Q269" s="568">
        <v>1211</v>
      </c>
    </row>
    <row r="270" spans="1:17" ht="14.4" customHeight="1" x14ac:dyDescent="0.3">
      <c r="A270" s="546" t="s">
        <v>1167</v>
      </c>
      <c r="B270" s="547" t="s">
        <v>1062</v>
      </c>
      <c r="C270" s="547" t="s">
        <v>1048</v>
      </c>
      <c r="D270" s="547" t="s">
        <v>1110</v>
      </c>
      <c r="E270" s="547" t="s">
        <v>1111</v>
      </c>
      <c r="F270" s="567">
        <v>1</v>
      </c>
      <c r="G270" s="567">
        <v>110</v>
      </c>
      <c r="H270" s="567">
        <v>0.32163742690058478</v>
      </c>
      <c r="I270" s="567">
        <v>110</v>
      </c>
      <c r="J270" s="567">
        <v>3</v>
      </c>
      <c r="K270" s="567">
        <v>342</v>
      </c>
      <c r="L270" s="567">
        <v>1</v>
      </c>
      <c r="M270" s="567">
        <v>114</v>
      </c>
      <c r="N270" s="567">
        <v>4</v>
      </c>
      <c r="O270" s="567">
        <v>456</v>
      </c>
      <c r="P270" s="552">
        <v>1.3333333333333333</v>
      </c>
      <c r="Q270" s="568">
        <v>114</v>
      </c>
    </row>
    <row r="271" spans="1:17" ht="14.4" customHeight="1" x14ac:dyDescent="0.3">
      <c r="A271" s="546" t="s">
        <v>1167</v>
      </c>
      <c r="B271" s="547" t="s">
        <v>1062</v>
      </c>
      <c r="C271" s="547" t="s">
        <v>1048</v>
      </c>
      <c r="D271" s="547" t="s">
        <v>1112</v>
      </c>
      <c r="E271" s="547" t="s">
        <v>1113</v>
      </c>
      <c r="F271" s="567"/>
      <c r="G271" s="567"/>
      <c r="H271" s="567"/>
      <c r="I271" s="567"/>
      <c r="J271" s="567">
        <v>1</v>
      </c>
      <c r="K271" s="567">
        <v>346</v>
      </c>
      <c r="L271" s="567">
        <v>1</v>
      </c>
      <c r="M271" s="567">
        <v>346</v>
      </c>
      <c r="N271" s="567">
        <v>1</v>
      </c>
      <c r="O271" s="567">
        <v>347</v>
      </c>
      <c r="P271" s="552">
        <v>1.0028901734104045</v>
      </c>
      <c r="Q271" s="568">
        <v>347</v>
      </c>
    </row>
    <row r="272" spans="1:17" ht="14.4" customHeight="1" x14ac:dyDescent="0.3">
      <c r="A272" s="546" t="s">
        <v>1167</v>
      </c>
      <c r="B272" s="547" t="s">
        <v>1062</v>
      </c>
      <c r="C272" s="547" t="s">
        <v>1048</v>
      </c>
      <c r="D272" s="547" t="s">
        <v>1120</v>
      </c>
      <c r="E272" s="547" t="s">
        <v>1121</v>
      </c>
      <c r="F272" s="567">
        <v>1</v>
      </c>
      <c r="G272" s="567">
        <v>294</v>
      </c>
      <c r="H272" s="567">
        <v>0.97674418604651159</v>
      </c>
      <c r="I272" s="567">
        <v>294</v>
      </c>
      <c r="J272" s="567">
        <v>1</v>
      </c>
      <c r="K272" s="567">
        <v>301</v>
      </c>
      <c r="L272" s="567">
        <v>1</v>
      </c>
      <c r="M272" s="567">
        <v>301</v>
      </c>
      <c r="N272" s="567">
        <v>1</v>
      </c>
      <c r="O272" s="567">
        <v>302</v>
      </c>
      <c r="P272" s="552">
        <v>1.0033222591362125</v>
      </c>
      <c r="Q272" s="568">
        <v>302</v>
      </c>
    </row>
    <row r="273" spans="1:17" ht="14.4" customHeight="1" x14ac:dyDescent="0.3">
      <c r="A273" s="546" t="s">
        <v>1168</v>
      </c>
      <c r="B273" s="547" t="s">
        <v>1062</v>
      </c>
      <c r="C273" s="547" t="s">
        <v>1048</v>
      </c>
      <c r="D273" s="547" t="s">
        <v>1066</v>
      </c>
      <c r="E273" s="547" t="s">
        <v>1067</v>
      </c>
      <c r="F273" s="567">
        <v>4</v>
      </c>
      <c r="G273" s="567">
        <v>824</v>
      </c>
      <c r="H273" s="567">
        <v>0.30040102078016773</v>
      </c>
      <c r="I273" s="567">
        <v>206</v>
      </c>
      <c r="J273" s="567">
        <v>13</v>
      </c>
      <c r="K273" s="567">
        <v>2743</v>
      </c>
      <c r="L273" s="567">
        <v>1</v>
      </c>
      <c r="M273" s="567">
        <v>211</v>
      </c>
      <c r="N273" s="567">
        <v>8</v>
      </c>
      <c r="O273" s="567">
        <v>1688</v>
      </c>
      <c r="P273" s="552">
        <v>0.61538461538461542</v>
      </c>
      <c r="Q273" s="568">
        <v>211</v>
      </c>
    </row>
    <row r="274" spans="1:17" ht="14.4" customHeight="1" x14ac:dyDescent="0.3">
      <c r="A274" s="546" t="s">
        <v>1168</v>
      </c>
      <c r="B274" s="547" t="s">
        <v>1062</v>
      </c>
      <c r="C274" s="547" t="s">
        <v>1048</v>
      </c>
      <c r="D274" s="547" t="s">
        <v>1069</v>
      </c>
      <c r="E274" s="547" t="s">
        <v>1070</v>
      </c>
      <c r="F274" s="567"/>
      <c r="G274" s="567"/>
      <c r="H274" s="567"/>
      <c r="I274" s="567"/>
      <c r="J274" s="567"/>
      <c r="K274" s="567"/>
      <c r="L274" s="567"/>
      <c r="M274" s="567"/>
      <c r="N274" s="567">
        <v>12</v>
      </c>
      <c r="O274" s="567">
        <v>3612</v>
      </c>
      <c r="P274" s="552"/>
      <c r="Q274" s="568">
        <v>301</v>
      </c>
    </row>
    <row r="275" spans="1:17" ht="14.4" customHeight="1" x14ac:dyDescent="0.3">
      <c r="A275" s="546" t="s">
        <v>1168</v>
      </c>
      <c r="B275" s="547" t="s">
        <v>1062</v>
      </c>
      <c r="C275" s="547" t="s">
        <v>1048</v>
      </c>
      <c r="D275" s="547" t="s">
        <v>1075</v>
      </c>
      <c r="E275" s="547" t="s">
        <v>1076</v>
      </c>
      <c r="F275" s="567">
        <v>2</v>
      </c>
      <c r="G275" s="567">
        <v>270</v>
      </c>
      <c r="H275" s="567"/>
      <c r="I275" s="567">
        <v>135</v>
      </c>
      <c r="J275" s="567"/>
      <c r="K275" s="567"/>
      <c r="L275" s="567"/>
      <c r="M275" s="567"/>
      <c r="N275" s="567">
        <v>1</v>
      </c>
      <c r="O275" s="567">
        <v>137</v>
      </c>
      <c r="P275" s="552"/>
      <c r="Q275" s="568">
        <v>137</v>
      </c>
    </row>
    <row r="276" spans="1:17" ht="14.4" customHeight="1" x14ac:dyDescent="0.3">
      <c r="A276" s="546" t="s">
        <v>1168</v>
      </c>
      <c r="B276" s="547" t="s">
        <v>1062</v>
      </c>
      <c r="C276" s="547" t="s">
        <v>1048</v>
      </c>
      <c r="D276" s="547" t="s">
        <v>1082</v>
      </c>
      <c r="E276" s="547" t="s">
        <v>1083</v>
      </c>
      <c r="F276" s="567"/>
      <c r="G276" s="567"/>
      <c r="H276" s="567"/>
      <c r="I276" s="567"/>
      <c r="J276" s="567"/>
      <c r="K276" s="567"/>
      <c r="L276" s="567"/>
      <c r="M276" s="567"/>
      <c r="N276" s="567">
        <v>1</v>
      </c>
      <c r="O276" s="567">
        <v>173</v>
      </c>
      <c r="P276" s="552"/>
      <c r="Q276" s="568">
        <v>173</v>
      </c>
    </row>
    <row r="277" spans="1:17" ht="14.4" customHeight="1" x14ac:dyDescent="0.3">
      <c r="A277" s="546" t="s">
        <v>1168</v>
      </c>
      <c r="B277" s="547" t="s">
        <v>1062</v>
      </c>
      <c r="C277" s="547" t="s">
        <v>1048</v>
      </c>
      <c r="D277" s="547" t="s">
        <v>1086</v>
      </c>
      <c r="E277" s="547" t="s">
        <v>1087</v>
      </c>
      <c r="F277" s="567">
        <v>8</v>
      </c>
      <c r="G277" s="567">
        <v>128</v>
      </c>
      <c r="H277" s="567">
        <v>1.5058823529411764</v>
      </c>
      <c r="I277" s="567">
        <v>16</v>
      </c>
      <c r="J277" s="567">
        <v>5</v>
      </c>
      <c r="K277" s="567">
        <v>85</v>
      </c>
      <c r="L277" s="567">
        <v>1</v>
      </c>
      <c r="M277" s="567">
        <v>17</v>
      </c>
      <c r="N277" s="567"/>
      <c r="O277" s="567"/>
      <c r="P277" s="552"/>
      <c r="Q277" s="568"/>
    </row>
    <row r="278" spans="1:17" ht="14.4" customHeight="1" x14ac:dyDescent="0.3">
      <c r="A278" s="546" t="s">
        <v>1168</v>
      </c>
      <c r="B278" s="547" t="s">
        <v>1062</v>
      </c>
      <c r="C278" s="547" t="s">
        <v>1048</v>
      </c>
      <c r="D278" s="547" t="s">
        <v>1088</v>
      </c>
      <c r="E278" s="547" t="s">
        <v>1089</v>
      </c>
      <c r="F278" s="567">
        <v>2</v>
      </c>
      <c r="G278" s="567">
        <v>532</v>
      </c>
      <c r="H278" s="567">
        <v>0.6495726495726496</v>
      </c>
      <c r="I278" s="567">
        <v>266</v>
      </c>
      <c r="J278" s="567">
        <v>3</v>
      </c>
      <c r="K278" s="567">
        <v>819</v>
      </c>
      <c r="L278" s="567">
        <v>1</v>
      </c>
      <c r="M278" s="567">
        <v>273</v>
      </c>
      <c r="N278" s="567"/>
      <c r="O278" s="567"/>
      <c r="P278" s="552"/>
      <c r="Q278" s="568"/>
    </row>
    <row r="279" spans="1:17" ht="14.4" customHeight="1" x14ac:dyDescent="0.3">
      <c r="A279" s="546" t="s">
        <v>1168</v>
      </c>
      <c r="B279" s="547" t="s">
        <v>1062</v>
      </c>
      <c r="C279" s="547" t="s">
        <v>1048</v>
      </c>
      <c r="D279" s="547" t="s">
        <v>1090</v>
      </c>
      <c r="E279" s="547" t="s">
        <v>1091</v>
      </c>
      <c r="F279" s="567">
        <v>3</v>
      </c>
      <c r="G279" s="567">
        <v>423</v>
      </c>
      <c r="H279" s="567">
        <v>0.74471830985915488</v>
      </c>
      <c r="I279" s="567">
        <v>141</v>
      </c>
      <c r="J279" s="567">
        <v>4</v>
      </c>
      <c r="K279" s="567">
        <v>568</v>
      </c>
      <c r="L279" s="567">
        <v>1</v>
      </c>
      <c r="M279" s="567">
        <v>142</v>
      </c>
      <c r="N279" s="567">
        <v>3</v>
      </c>
      <c r="O279" s="567">
        <v>426</v>
      </c>
      <c r="P279" s="552">
        <v>0.75</v>
      </c>
      <c r="Q279" s="568">
        <v>142</v>
      </c>
    </row>
    <row r="280" spans="1:17" ht="14.4" customHeight="1" x14ac:dyDescent="0.3">
      <c r="A280" s="546" t="s">
        <v>1168</v>
      </c>
      <c r="B280" s="547" t="s">
        <v>1062</v>
      </c>
      <c r="C280" s="547" t="s">
        <v>1048</v>
      </c>
      <c r="D280" s="547" t="s">
        <v>1092</v>
      </c>
      <c r="E280" s="547" t="s">
        <v>1091</v>
      </c>
      <c r="F280" s="567">
        <v>2</v>
      </c>
      <c r="G280" s="567">
        <v>156</v>
      </c>
      <c r="H280" s="567"/>
      <c r="I280" s="567">
        <v>78</v>
      </c>
      <c r="J280" s="567"/>
      <c r="K280" s="567"/>
      <c r="L280" s="567"/>
      <c r="M280" s="567"/>
      <c r="N280" s="567">
        <v>1</v>
      </c>
      <c r="O280" s="567">
        <v>78</v>
      </c>
      <c r="P280" s="552"/>
      <c r="Q280" s="568">
        <v>78</v>
      </c>
    </row>
    <row r="281" spans="1:17" ht="14.4" customHeight="1" x14ac:dyDescent="0.3">
      <c r="A281" s="546" t="s">
        <v>1168</v>
      </c>
      <c r="B281" s="547" t="s">
        <v>1062</v>
      </c>
      <c r="C281" s="547" t="s">
        <v>1048</v>
      </c>
      <c r="D281" s="547" t="s">
        <v>1093</v>
      </c>
      <c r="E281" s="547" t="s">
        <v>1094</v>
      </c>
      <c r="F281" s="567">
        <v>3</v>
      </c>
      <c r="G281" s="567">
        <v>921</v>
      </c>
      <c r="H281" s="567">
        <v>0.73562300319488816</v>
      </c>
      <c r="I281" s="567">
        <v>307</v>
      </c>
      <c r="J281" s="567">
        <v>4</v>
      </c>
      <c r="K281" s="567">
        <v>1252</v>
      </c>
      <c r="L281" s="567">
        <v>1</v>
      </c>
      <c r="M281" s="567">
        <v>313</v>
      </c>
      <c r="N281" s="567">
        <v>3</v>
      </c>
      <c r="O281" s="567">
        <v>942</v>
      </c>
      <c r="P281" s="552">
        <v>0.75239616613418525</v>
      </c>
      <c r="Q281" s="568">
        <v>314</v>
      </c>
    </row>
    <row r="282" spans="1:17" ht="14.4" customHeight="1" x14ac:dyDescent="0.3">
      <c r="A282" s="546" t="s">
        <v>1168</v>
      </c>
      <c r="B282" s="547" t="s">
        <v>1062</v>
      </c>
      <c r="C282" s="547" t="s">
        <v>1048</v>
      </c>
      <c r="D282" s="547" t="s">
        <v>1097</v>
      </c>
      <c r="E282" s="547" t="s">
        <v>1098</v>
      </c>
      <c r="F282" s="567">
        <v>3</v>
      </c>
      <c r="G282" s="567">
        <v>483</v>
      </c>
      <c r="H282" s="567">
        <v>2.96319018404908</v>
      </c>
      <c r="I282" s="567">
        <v>161</v>
      </c>
      <c r="J282" s="567">
        <v>1</v>
      </c>
      <c r="K282" s="567">
        <v>163</v>
      </c>
      <c r="L282" s="567">
        <v>1</v>
      </c>
      <c r="M282" s="567">
        <v>163</v>
      </c>
      <c r="N282" s="567">
        <v>4</v>
      </c>
      <c r="O282" s="567">
        <v>652</v>
      </c>
      <c r="P282" s="552">
        <v>4</v>
      </c>
      <c r="Q282" s="568">
        <v>163</v>
      </c>
    </row>
    <row r="283" spans="1:17" ht="14.4" customHeight="1" x14ac:dyDescent="0.3">
      <c r="A283" s="546" t="s">
        <v>1168</v>
      </c>
      <c r="B283" s="547" t="s">
        <v>1062</v>
      </c>
      <c r="C283" s="547" t="s">
        <v>1048</v>
      </c>
      <c r="D283" s="547" t="s">
        <v>1101</v>
      </c>
      <c r="E283" s="547" t="s">
        <v>1067</v>
      </c>
      <c r="F283" s="567">
        <v>5</v>
      </c>
      <c r="G283" s="567">
        <v>355</v>
      </c>
      <c r="H283" s="567"/>
      <c r="I283" s="567">
        <v>71</v>
      </c>
      <c r="J283" s="567"/>
      <c r="K283" s="567"/>
      <c r="L283" s="567"/>
      <c r="M283" s="567"/>
      <c r="N283" s="567">
        <v>6</v>
      </c>
      <c r="O283" s="567">
        <v>432</v>
      </c>
      <c r="P283" s="552"/>
      <c r="Q283" s="568">
        <v>72</v>
      </c>
    </row>
    <row r="284" spans="1:17" ht="14.4" customHeight="1" x14ac:dyDescent="0.3">
      <c r="A284" s="546" t="s">
        <v>1168</v>
      </c>
      <c r="B284" s="547" t="s">
        <v>1062</v>
      </c>
      <c r="C284" s="547" t="s">
        <v>1048</v>
      </c>
      <c r="D284" s="547" t="s">
        <v>1108</v>
      </c>
      <c r="E284" s="547" t="s">
        <v>1109</v>
      </c>
      <c r="F284" s="567"/>
      <c r="G284" s="567"/>
      <c r="H284" s="567"/>
      <c r="I284" s="567"/>
      <c r="J284" s="567"/>
      <c r="K284" s="567"/>
      <c r="L284" s="567"/>
      <c r="M284" s="567"/>
      <c r="N284" s="567">
        <v>2</v>
      </c>
      <c r="O284" s="567">
        <v>2422</v>
      </c>
      <c r="P284" s="552"/>
      <c r="Q284" s="568">
        <v>1211</v>
      </c>
    </row>
    <row r="285" spans="1:17" ht="14.4" customHeight="1" x14ac:dyDescent="0.3">
      <c r="A285" s="546" t="s">
        <v>1168</v>
      </c>
      <c r="B285" s="547" t="s">
        <v>1062</v>
      </c>
      <c r="C285" s="547" t="s">
        <v>1048</v>
      </c>
      <c r="D285" s="547" t="s">
        <v>1110</v>
      </c>
      <c r="E285" s="547" t="s">
        <v>1111</v>
      </c>
      <c r="F285" s="567"/>
      <c r="G285" s="567"/>
      <c r="H285" s="567"/>
      <c r="I285" s="567"/>
      <c r="J285" s="567"/>
      <c r="K285" s="567"/>
      <c r="L285" s="567"/>
      <c r="M285" s="567"/>
      <c r="N285" s="567">
        <v>1</v>
      </c>
      <c r="O285" s="567">
        <v>114</v>
      </c>
      <c r="P285" s="552"/>
      <c r="Q285" s="568">
        <v>114</v>
      </c>
    </row>
    <row r="286" spans="1:17" ht="14.4" customHeight="1" x14ac:dyDescent="0.3">
      <c r="A286" s="546" t="s">
        <v>1169</v>
      </c>
      <c r="B286" s="547" t="s">
        <v>1062</v>
      </c>
      <c r="C286" s="547" t="s">
        <v>1048</v>
      </c>
      <c r="D286" s="547" t="s">
        <v>1066</v>
      </c>
      <c r="E286" s="547" t="s">
        <v>1067</v>
      </c>
      <c r="F286" s="567">
        <v>4</v>
      </c>
      <c r="G286" s="567">
        <v>824</v>
      </c>
      <c r="H286" s="567">
        <v>3.90521327014218</v>
      </c>
      <c r="I286" s="567">
        <v>206</v>
      </c>
      <c r="J286" s="567">
        <v>1</v>
      </c>
      <c r="K286" s="567">
        <v>211</v>
      </c>
      <c r="L286" s="567">
        <v>1</v>
      </c>
      <c r="M286" s="567">
        <v>211</v>
      </c>
      <c r="N286" s="567"/>
      <c r="O286" s="567"/>
      <c r="P286" s="552"/>
      <c r="Q286" s="568"/>
    </row>
    <row r="287" spans="1:17" ht="14.4" customHeight="1" x14ac:dyDescent="0.3">
      <c r="A287" s="546" t="s">
        <v>1169</v>
      </c>
      <c r="B287" s="547" t="s">
        <v>1062</v>
      </c>
      <c r="C287" s="547" t="s">
        <v>1048</v>
      </c>
      <c r="D287" s="547" t="s">
        <v>1068</v>
      </c>
      <c r="E287" s="547" t="s">
        <v>1067</v>
      </c>
      <c r="F287" s="567">
        <v>1</v>
      </c>
      <c r="G287" s="567">
        <v>85</v>
      </c>
      <c r="H287" s="567"/>
      <c r="I287" s="567">
        <v>85</v>
      </c>
      <c r="J287" s="567"/>
      <c r="K287" s="567"/>
      <c r="L287" s="567"/>
      <c r="M287" s="567"/>
      <c r="N287" s="567"/>
      <c r="O287" s="567"/>
      <c r="P287" s="552"/>
      <c r="Q287" s="568"/>
    </row>
    <row r="288" spans="1:17" ht="14.4" customHeight="1" x14ac:dyDescent="0.3">
      <c r="A288" s="546" t="s">
        <v>1169</v>
      </c>
      <c r="B288" s="547" t="s">
        <v>1062</v>
      </c>
      <c r="C288" s="547" t="s">
        <v>1048</v>
      </c>
      <c r="D288" s="547" t="s">
        <v>1069</v>
      </c>
      <c r="E288" s="547" t="s">
        <v>1070</v>
      </c>
      <c r="F288" s="567">
        <v>2</v>
      </c>
      <c r="G288" s="567">
        <v>590</v>
      </c>
      <c r="H288" s="567"/>
      <c r="I288" s="567">
        <v>295</v>
      </c>
      <c r="J288" s="567"/>
      <c r="K288" s="567"/>
      <c r="L288" s="567"/>
      <c r="M288" s="567"/>
      <c r="N288" s="567"/>
      <c r="O288" s="567"/>
      <c r="P288" s="552"/>
      <c r="Q288" s="568"/>
    </row>
    <row r="289" spans="1:17" ht="14.4" customHeight="1" x14ac:dyDescent="0.3">
      <c r="A289" s="546" t="s">
        <v>1169</v>
      </c>
      <c r="B289" s="547" t="s">
        <v>1062</v>
      </c>
      <c r="C289" s="547" t="s">
        <v>1048</v>
      </c>
      <c r="D289" s="547" t="s">
        <v>1077</v>
      </c>
      <c r="E289" s="547" t="s">
        <v>1076</v>
      </c>
      <c r="F289" s="567">
        <v>1</v>
      </c>
      <c r="G289" s="567">
        <v>178</v>
      </c>
      <c r="H289" s="567"/>
      <c r="I289" s="567">
        <v>178</v>
      </c>
      <c r="J289" s="567"/>
      <c r="K289" s="567"/>
      <c r="L289" s="567"/>
      <c r="M289" s="567"/>
      <c r="N289" s="567"/>
      <c r="O289" s="567"/>
      <c r="P289" s="552"/>
      <c r="Q289" s="568"/>
    </row>
    <row r="290" spans="1:17" ht="14.4" customHeight="1" x14ac:dyDescent="0.3">
      <c r="A290" s="546" t="s">
        <v>1169</v>
      </c>
      <c r="B290" s="547" t="s">
        <v>1062</v>
      </c>
      <c r="C290" s="547" t="s">
        <v>1048</v>
      </c>
      <c r="D290" s="547" t="s">
        <v>1080</v>
      </c>
      <c r="E290" s="547" t="s">
        <v>1081</v>
      </c>
      <c r="F290" s="567">
        <v>1</v>
      </c>
      <c r="G290" s="567">
        <v>593</v>
      </c>
      <c r="H290" s="567"/>
      <c r="I290" s="567">
        <v>593</v>
      </c>
      <c r="J290" s="567"/>
      <c r="K290" s="567"/>
      <c r="L290" s="567"/>
      <c r="M290" s="567"/>
      <c r="N290" s="567"/>
      <c r="O290" s="567"/>
      <c r="P290" s="552"/>
      <c r="Q290" s="568"/>
    </row>
    <row r="291" spans="1:17" ht="14.4" customHeight="1" x14ac:dyDescent="0.3">
      <c r="A291" s="546" t="s">
        <v>1169</v>
      </c>
      <c r="B291" s="547" t="s">
        <v>1062</v>
      </c>
      <c r="C291" s="547" t="s">
        <v>1048</v>
      </c>
      <c r="D291" s="547" t="s">
        <v>1082</v>
      </c>
      <c r="E291" s="547" t="s">
        <v>1083</v>
      </c>
      <c r="F291" s="567">
        <v>1</v>
      </c>
      <c r="G291" s="567">
        <v>161</v>
      </c>
      <c r="H291" s="567"/>
      <c r="I291" s="567">
        <v>161</v>
      </c>
      <c r="J291" s="567"/>
      <c r="K291" s="567"/>
      <c r="L291" s="567"/>
      <c r="M291" s="567"/>
      <c r="N291" s="567"/>
      <c r="O291" s="567"/>
      <c r="P291" s="552"/>
      <c r="Q291" s="568"/>
    </row>
    <row r="292" spans="1:17" ht="14.4" customHeight="1" x14ac:dyDescent="0.3">
      <c r="A292" s="546" t="s">
        <v>1169</v>
      </c>
      <c r="B292" s="547" t="s">
        <v>1062</v>
      </c>
      <c r="C292" s="547" t="s">
        <v>1048</v>
      </c>
      <c r="D292" s="547" t="s">
        <v>1086</v>
      </c>
      <c r="E292" s="547" t="s">
        <v>1087</v>
      </c>
      <c r="F292" s="567">
        <v>2</v>
      </c>
      <c r="G292" s="567">
        <v>32</v>
      </c>
      <c r="H292" s="567">
        <v>1.8823529411764706</v>
      </c>
      <c r="I292" s="567">
        <v>16</v>
      </c>
      <c r="J292" s="567">
        <v>1</v>
      </c>
      <c r="K292" s="567">
        <v>17</v>
      </c>
      <c r="L292" s="567">
        <v>1</v>
      </c>
      <c r="M292" s="567">
        <v>17</v>
      </c>
      <c r="N292" s="567"/>
      <c r="O292" s="567"/>
      <c r="P292" s="552"/>
      <c r="Q292" s="568"/>
    </row>
    <row r="293" spans="1:17" ht="14.4" customHeight="1" x14ac:dyDescent="0.3">
      <c r="A293" s="546" t="s">
        <v>1169</v>
      </c>
      <c r="B293" s="547" t="s">
        <v>1062</v>
      </c>
      <c r="C293" s="547" t="s">
        <v>1048</v>
      </c>
      <c r="D293" s="547" t="s">
        <v>1088</v>
      </c>
      <c r="E293" s="547" t="s">
        <v>1089</v>
      </c>
      <c r="F293" s="567">
        <v>1</v>
      </c>
      <c r="G293" s="567">
        <v>266</v>
      </c>
      <c r="H293" s="567"/>
      <c r="I293" s="567">
        <v>266</v>
      </c>
      <c r="J293" s="567"/>
      <c r="K293" s="567"/>
      <c r="L293" s="567"/>
      <c r="M293" s="567"/>
      <c r="N293" s="567"/>
      <c r="O293" s="567"/>
      <c r="P293" s="552"/>
      <c r="Q293" s="568"/>
    </row>
    <row r="294" spans="1:17" ht="14.4" customHeight="1" x14ac:dyDescent="0.3">
      <c r="A294" s="546" t="s">
        <v>1169</v>
      </c>
      <c r="B294" s="547" t="s">
        <v>1062</v>
      </c>
      <c r="C294" s="547" t="s">
        <v>1048</v>
      </c>
      <c r="D294" s="547" t="s">
        <v>1090</v>
      </c>
      <c r="E294" s="547" t="s">
        <v>1091</v>
      </c>
      <c r="F294" s="567">
        <v>1</v>
      </c>
      <c r="G294" s="567">
        <v>141</v>
      </c>
      <c r="H294" s="567">
        <v>0.99295774647887325</v>
      </c>
      <c r="I294" s="567">
        <v>141</v>
      </c>
      <c r="J294" s="567">
        <v>1</v>
      </c>
      <c r="K294" s="567">
        <v>142</v>
      </c>
      <c r="L294" s="567">
        <v>1</v>
      </c>
      <c r="M294" s="567">
        <v>142</v>
      </c>
      <c r="N294" s="567"/>
      <c r="O294" s="567"/>
      <c r="P294" s="552"/>
      <c r="Q294" s="568"/>
    </row>
    <row r="295" spans="1:17" ht="14.4" customHeight="1" x14ac:dyDescent="0.3">
      <c r="A295" s="546" t="s">
        <v>1169</v>
      </c>
      <c r="B295" s="547" t="s">
        <v>1062</v>
      </c>
      <c r="C295" s="547" t="s">
        <v>1048</v>
      </c>
      <c r="D295" s="547" t="s">
        <v>1093</v>
      </c>
      <c r="E295" s="547" t="s">
        <v>1094</v>
      </c>
      <c r="F295" s="567">
        <v>1</v>
      </c>
      <c r="G295" s="567">
        <v>307</v>
      </c>
      <c r="H295" s="567">
        <v>0.98083067092651754</v>
      </c>
      <c r="I295" s="567">
        <v>307</v>
      </c>
      <c r="J295" s="567">
        <v>1</v>
      </c>
      <c r="K295" s="567">
        <v>313</v>
      </c>
      <c r="L295" s="567">
        <v>1</v>
      </c>
      <c r="M295" s="567">
        <v>313</v>
      </c>
      <c r="N295" s="567"/>
      <c r="O295" s="567"/>
      <c r="P295" s="552"/>
      <c r="Q295" s="568"/>
    </row>
    <row r="296" spans="1:17" ht="14.4" customHeight="1" x14ac:dyDescent="0.3">
      <c r="A296" s="546" t="s">
        <v>1169</v>
      </c>
      <c r="B296" s="547" t="s">
        <v>1062</v>
      </c>
      <c r="C296" s="547" t="s">
        <v>1048</v>
      </c>
      <c r="D296" s="547" t="s">
        <v>1106</v>
      </c>
      <c r="E296" s="547" t="s">
        <v>1107</v>
      </c>
      <c r="F296" s="567">
        <v>1</v>
      </c>
      <c r="G296" s="567">
        <v>220</v>
      </c>
      <c r="H296" s="567"/>
      <c r="I296" s="567">
        <v>220</v>
      </c>
      <c r="J296" s="567"/>
      <c r="K296" s="567"/>
      <c r="L296" s="567"/>
      <c r="M296" s="567"/>
      <c r="N296" s="567"/>
      <c r="O296" s="567"/>
      <c r="P296" s="552"/>
      <c r="Q296" s="568"/>
    </row>
    <row r="297" spans="1:17" ht="14.4" customHeight="1" x14ac:dyDescent="0.3">
      <c r="A297" s="546" t="s">
        <v>1169</v>
      </c>
      <c r="B297" s="547" t="s">
        <v>1062</v>
      </c>
      <c r="C297" s="547" t="s">
        <v>1048</v>
      </c>
      <c r="D297" s="547" t="s">
        <v>1118</v>
      </c>
      <c r="E297" s="547" t="s">
        <v>1119</v>
      </c>
      <c r="F297" s="567">
        <v>1</v>
      </c>
      <c r="G297" s="567">
        <v>1033</v>
      </c>
      <c r="H297" s="567"/>
      <c r="I297" s="567">
        <v>1033</v>
      </c>
      <c r="J297" s="567"/>
      <c r="K297" s="567"/>
      <c r="L297" s="567"/>
      <c r="M297" s="567"/>
      <c r="N297" s="567"/>
      <c r="O297" s="567"/>
      <c r="P297" s="552"/>
      <c r="Q297" s="568"/>
    </row>
    <row r="298" spans="1:17" ht="14.4" customHeight="1" x14ac:dyDescent="0.3">
      <c r="A298" s="546" t="s">
        <v>1170</v>
      </c>
      <c r="B298" s="547" t="s">
        <v>1062</v>
      </c>
      <c r="C298" s="547" t="s">
        <v>1048</v>
      </c>
      <c r="D298" s="547" t="s">
        <v>1066</v>
      </c>
      <c r="E298" s="547" t="s">
        <v>1067</v>
      </c>
      <c r="F298" s="567">
        <v>10</v>
      </c>
      <c r="G298" s="567">
        <v>2060</v>
      </c>
      <c r="H298" s="567">
        <v>1.95260663507109</v>
      </c>
      <c r="I298" s="567">
        <v>206</v>
      </c>
      <c r="J298" s="567">
        <v>5</v>
      </c>
      <c r="K298" s="567">
        <v>1055</v>
      </c>
      <c r="L298" s="567">
        <v>1</v>
      </c>
      <c r="M298" s="567">
        <v>211</v>
      </c>
      <c r="N298" s="567">
        <v>11</v>
      </c>
      <c r="O298" s="567">
        <v>2321</v>
      </c>
      <c r="P298" s="552">
        <v>2.2000000000000002</v>
      </c>
      <c r="Q298" s="568">
        <v>211</v>
      </c>
    </row>
    <row r="299" spans="1:17" ht="14.4" customHeight="1" x14ac:dyDescent="0.3">
      <c r="A299" s="546" t="s">
        <v>1170</v>
      </c>
      <c r="B299" s="547" t="s">
        <v>1062</v>
      </c>
      <c r="C299" s="547" t="s">
        <v>1048</v>
      </c>
      <c r="D299" s="547" t="s">
        <v>1068</v>
      </c>
      <c r="E299" s="547" t="s">
        <v>1067</v>
      </c>
      <c r="F299" s="567">
        <v>3</v>
      </c>
      <c r="G299" s="567">
        <v>255</v>
      </c>
      <c r="H299" s="567"/>
      <c r="I299" s="567">
        <v>85</v>
      </c>
      <c r="J299" s="567"/>
      <c r="K299" s="567"/>
      <c r="L299" s="567"/>
      <c r="M299" s="567"/>
      <c r="N299" s="567"/>
      <c r="O299" s="567"/>
      <c r="P299" s="552"/>
      <c r="Q299" s="568"/>
    </row>
    <row r="300" spans="1:17" ht="14.4" customHeight="1" x14ac:dyDescent="0.3">
      <c r="A300" s="546" t="s">
        <v>1170</v>
      </c>
      <c r="B300" s="547" t="s">
        <v>1062</v>
      </c>
      <c r="C300" s="547" t="s">
        <v>1048</v>
      </c>
      <c r="D300" s="547" t="s">
        <v>1069</v>
      </c>
      <c r="E300" s="547" t="s">
        <v>1070</v>
      </c>
      <c r="F300" s="567">
        <v>50</v>
      </c>
      <c r="G300" s="567">
        <v>14750</v>
      </c>
      <c r="H300" s="567">
        <v>1.0209025470653377</v>
      </c>
      <c r="I300" s="567">
        <v>295</v>
      </c>
      <c r="J300" s="567">
        <v>48</v>
      </c>
      <c r="K300" s="567">
        <v>14448</v>
      </c>
      <c r="L300" s="567">
        <v>1</v>
      </c>
      <c r="M300" s="567">
        <v>301</v>
      </c>
      <c r="N300" s="567">
        <v>168</v>
      </c>
      <c r="O300" s="567">
        <v>50568</v>
      </c>
      <c r="P300" s="552">
        <v>3.5</v>
      </c>
      <c r="Q300" s="568">
        <v>301</v>
      </c>
    </row>
    <row r="301" spans="1:17" ht="14.4" customHeight="1" x14ac:dyDescent="0.3">
      <c r="A301" s="546" t="s">
        <v>1170</v>
      </c>
      <c r="B301" s="547" t="s">
        <v>1062</v>
      </c>
      <c r="C301" s="547" t="s">
        <v>1048</v>
      </c>
      <c r="D301" s="547" t="s">
        <v>1071</v>
      </c>
      <c r="E301" s="547" t="s">
        <v>1072</v>
      </c>
      <c r="F301" s="567"/>
      <c r="G301" s="567"/>
      <c r="H301" s="567"/>
      <c r="I301" s="567"/>
      <c r="J301" s="567"/>
      <c r="K301" s="567"/>
      <c r="L301" s="567"/>
      <c r="M301" s="567"/>
      <c r="N301" s="567">
        <v>6</v>
      </c>
      <c r="O301" s="567">
        <v>594</v>
      </c>
      <c r="P301" s="552"/>
      <c r="Q301" s="568">
        <v>99</v>
      </c>
    </row>
    <row r="302" spans="1:17" ht="14.4" customHeight="1" x14ac:dyDescent="0.3">
      <c r="A302" s="546" t="s">
        <v>1170</v>
      </c>
      <c r="B302" s="547" t="s">
        <v>1062</v>
      </c>
      <c r="C302" s="547" t="s">
        <v>1048</v>
      </c>
      <c r="D302" s="547" t="s">
        <v>1073</v>
      </c>
      <c r="E302" s="547" t="s">
        <v>1074</v>
      </c>
      <c r="F302" s="567"/>
      <c r="G302" s="567"/>
      <c r="H302" s="567"/>
      <c r="I302" s="567"/>
      <c r="J302" s="567"/>
      <c r="K302" s="567"/>
      <c r="L302" s="567"/>
      <c r="M302" s="567"/>
      <c r="N302" s="567">
        <v>1</v>
      </c>
      <c r="O302" s="567">
        <v>232</v>
      </c>
      <c r="P302" s="552"/>
      <c r="Q302" s="568">
        <v>232</v>
      </c>
    </row>
    <row r="303" spans="1:17" ht="14.4" customHeight="1" x14ac:dyDescent="0.3">
      <c r="A303" s="546" t="s">
        <v>1170</v>
      </c>
      <c r="B303" s="547" t="s">
        <v>1062</v>
      </c>
      <c r="C303" s="547" t="s">
        <v>1048</v>
      </c>
      <c r="D303" s="547" t="s">
        <v>1075</v>
      </c>
      <c r="E303" s="547" t="s">
        <v>1076</v>
      </c>
      <c r="F303" s="567">
        <v>62</v>
      </c>
      <c r="G303" s="567">
        <v>8370</v>
      </c>
      <c r="H303" s="567">
        <v>1.2218978102189781</v>
      </c>
      <c r="I303" s="567">
        <v>135</v>
      </c>
      <c r="J303" s="567">
        <v>50</v>
      </c>
      <c r="K303" s="567">
        <v>6850</v>
      </c>
      <c r="L303" s="567">
        <v>1</v>
      </c>
      <c r="M303" s="567">
        <v>137</v>
      </c>
      <c r="N303" s="567">
        <v>61</v>
      </c>
      <c r="O303" s="567">
        <v>8357</v>
      </c>
      <c r="P303" s="552">
        <v>1.22</v>
      </c>
      <c r="Q303" s="568">
        <v>137</v>
      </c>
    </row>
    <row r="304" spans="1:17" ht="14.4" customHeight="1" x14ac:dyDescent="0.3">
      <c r="A304" s="546" t="s">
        <v>1170</v>
      </c>
      <c r="B304" s="547" t="s">
        <v>1062</v>
      </c>
      <c r="C304" s="547" t="s">
        <v>1048</v>
      </c>
      <c r="D304" s="547" t="s">
        <v>1077</v>
      </c>
      <c r="E304" s="547" t="s">
        <v>1076</v>
      </c>
      <c r="F304" s="567">
        <v>1</v>
      </c>
      <c r="G304" s="567">
        <v>178</v>
      </c>
      <c r="H304" s="567"/>
      <c r="I304" s="567">
        <v>178</v>
      </c>
      <c r="J304" s="567"/>
      <c r="K304" s="567"/>
      <c r="L304" s="567"/>
      <c r="M304" s="567"/>
      <c r="N304" s="567"/>
      <c r="O304" s="567"/>
      <c r="P304" s="552"/>
      <c r="Q304" s="568"/>
    </row>
    <row r="305" spans="1:17" ht="14.4" customHeight="1" x14ac:dyDescent="0.3">
      <c r="A305" s="546" t="s">
        <v>1170</v>
      </c>
      <c r="B305" s="547" t="s">
        <v>1062</v>
      </c>
      <c r="C305" s="547" t="s">
        <v>1048</v>
      </c>
      <c r="D305" s="547" t="s">
        <v>1078</v>
      </c>
      <c r="E305" s="547" t="s">
        <v>1079</v>
      </c>
      <c r="F305" s="567"/>
      <c r="G305" s="567"/>
      <c r="H305" s="567"/>
      <c r="I305" s="567"/>
      <c r="J305" s="567"/>
      <c r="K305" s="567"/>
      <c r="L305" s="567"/>
      <c r="M305" s="567"/>
      <c r="N305" s="567">
        <v>1</v>
      </c>
      <c r="O305" s="567">
        <v>639</v>
      </c>
      <c r="P305" s="552"/>
      <c r="Q305" s="568">
        <v>639</v>
      </c>
    </row>
    <row r="306" spans="1:17" ht="14.4" customHeight="1" x14ac:dyDescent="0.3">
      <c r="A306" s="546" t="s">
        <v>1170</v>
      </c>
      <c r="B306" s="547" t="s">
        <v>1062</v>
      </c>
      <c r="C306" s="547" t="s">
        <v>1048</v>
      </c>
      <c r="D306" s="547" t="s">
        <v>1082</v>
      </c>
      <c r="E306" s="547" t="s">
        <v>1083</v>
      </c>
      <c r="F306" s="567">
        <v>2</v>
      </c>
      <c r="G306" s="567">
        <v>322</v>
      </c>
      <c r="H306" s="567">
        <v>0.62042389210019266</v>
      </c>
      <c r="I306" s="567">
        <v>161</v>
      </c>
      <c r="J306" s="567">
        <v>3</v>
      </c>
      <c r="K306" s="567">
        <v>519</v>
      </c>
      <c r="L306" s="567">
        <v>1</v>
      </c>
      <c r="M306" s="567">
        <v>173</v>
      </c>
      <c r="N306" s="567">
        <v>6</v>
      </c>
      <c r="O306" s="567">
        <v>1038</v>
      </c>
      <c r="P306" s="552">
        <v>2</v>
      </c>
      <c r="Q306" s="568">
        <v>173</v>
      </c>
    </row>
    <row r="307" spans="1:17" ht="14.4" customHeight="1" x14ac:dyDescent="0.3">
      <c r="A307" s="546" t="s">
        <v>1170</v>
      </c>
      <c r="B307" s="547" t="s">
        <v>1062</v>
      </c>
      <c r="C307" s="547" t="s">
        <v>1048</v>
      </c>
      <c r="D307" s="547" t="s">
        <v>1086</v>
      </c>
      <c r="E307" s="547" t="s">
        <v>1087</v>
      </c>
      <c r="F307" s="567">
        <v>67</v>
      </c>
      <c r="G307" s="567">
        <v>1072</v>
      </c>
      <c r="H307" s="567">
        <v>1.167755991285403</v>
      </c>
      <c r="I307" s="567">
        <v>16</v>
      </c>
      <c r="J307" s="567">
        <v>54</v>
      </c>
      <c r="K307" s="567">
        <v>918</v>
      </c>
      <c r="L307" s="567">
        <v>1</v>
      </c>
      <c r="M307" s="567">
        <v>17</v>
      </c>
      <c r="N307" s="567">
        <v>4</v>
      </c>
      <c r="O307" s="567">
        <v>68</v>
      </c>
      <c r="P307" s="552">
        <v>7.407407407407407E-2</v>
      </c>
      <c r="Q307" s="568">
        <v>17</v>
      </c>
    </row>
    <row r="308" spans="1:17" ht="14.4" customHeight="1" x14ac:dyDescent="0.3">
      <c r="A308" s="546" t="s">
        <v>1170</v>
      </c>
      <c r="B308" s="547" t="s">
        <v>1062</v>
      </c>
      <c r="C308" s="547" t="s">
        <v>1048</v>
      </c>
      <c r="D308" s="547" t="s">
        <v>1088</v>
      </c>
      <c r="E308" s="547" t="s">
        <v>1089</v>
      </c>
      <c r="F308" s="567">
        <v>4</v>
      </c>
      <c r="G308" s="567">
        <v>1064</v>
      </c>
      <c r="H308" s="567">
        <v>3.8974358974358974</v>
      </c>
      <c r="I308" s="567">
        <v>266</v>
      </c>
      <c r="J308" s="567">
        <v>1</v>
      </c>
      <c r="K308" s="567">
        <v>273</v>
      </c>
      <c r="L308" s="567">
        <v>1</v>
      </c>
      <c r="M308" s="567">
        <v>273</v>
      </c>
      <c r="N308" s="567"/>
      <c r="O308" s="567"/>
      <c r="P308" s="552"/>
      <c r="Q308" s="568"/>
    </row>
    <row r="309" spans="1:17" ht="14.4" customHeight="1" x14ac:dyDescent="0.3">
      <c r="A309" s="546" t="s">
        <v>1170</v>
      </c>
      <c r="B309" s="547" t="s">
        <v>1062</v>
      </c>
      <c r="C309" s="547" t="s">
        <v>1048</v>
      </c>
      <c r="D309" s="547" t="s">
        <v>1090</v>
      </c>
      <c r="E309" s="547" t="s">
        <v>1091</v>
      </c>
      <c r="F309" s="567">
        <v>4</v>
      </c>
      <c r="G309" s="567">
        <v>564</v>
      </c>
      <c r="H309" s="567">
        <v>1.9859154929577465</v>
      </c>
      <c r="I309" s="567">
        <v>141</v>
      </c>
      <c r="J309" s="567">
        <v>2</v>
      </c>
      <c r="K309" s="567">
        <v>284</v>
      </c>
      <c r="L309" s="567">
        <v>1</v>
      </c>
      <c r="M309" s="567">
        <v>142</v>
      </c>
      <c r="N309" s="567">
        <v>3</v>
      </c>
      <c r="O309" s="567">
        <v>426</v>
      </c>
      <c r="P309" s="552">
        <v>1.5</v>
      </c>
      <c r="Q309" s="568">
        <v>142</v>
      </c>
    </row>
    <row r="310" spans="1:17" ht="14.4" customHeight="1" x14ac:dyDescent="0.3">
      <c r="A310" s="546" t="s">
        <v>1170</v>
      </c>
      <c r="B310" s="547" t="s">
        <v>1062</v>
      </c>
      <c r="C310" s="547" t="s">
        <v>1048</v>
      </c>
      <c r="D310" s="547" t="s">
        <v>1092</v>
      </c>
      <c r="E310" s="547" t="s">
        <v>1091</v>
      </c>
      <c r="F310" s="567">
        <v>62</v>
      </c>
      <c r="G310" s="567">
        <v>4836</v>
      </c>
      <c r="H310" s="567">
        <v>1.24</v>
      </c>
      <c r="I310" s="567">
        <v>78</v>
      </c>
      <c r="J310" s="567">
        <v>50</v>
      </c>
      <c r="K310" s="567">
        <v>3900</v>
      </c>
      <c r="L310" s="567">
        <v>1</v>
      </c>
      <c r="M310" s="567">
        <v>78</v>
      </c>
      <c r="N310" s="567">
        <v>61</v>
      </c>
      <c r="O310" s="567">
        <v>4758</v>
      </c>
      <c r="P310" s="552">
        <v>1.22</v>
      </c>
      <c r="Q310" s="568">
        <v>78</v>
      </c>
    </row>
    <row r="311" spans="1:17" ht="14.4" customHeight="1" x14ac:dyDescent="0.3">
      <c r="A311" s="546" t="s">
        <v>1170</v>
      </c>
      <c r="B311" s="547" t="s">
        <v>1062</v>
      </c>
      <c r="C311" s="547" t="s">
        <v>1048</v>
      </c>
      <c r="D311" s="547" t="s">
        <v>1093</v>
      </c>
      <c r="E311" s="547" t="s">
        <v>1094</v>
      </c>
      <c r="F311" s="567">
        <v>4</v>
      </c>
      <c r="G311" s="567">
        <v>1228</v>
      </c>
      <c r="H311" s="567">
        <v>1.9616613418530351</v>
      </c>
      <c r="I311" s="567">
        <v>307</v>
      </c>
      <c r="J311" s="567">
        <v>2</v>
      </c>
      <c r="K311" s="567">
        <v>626</v>
      </c>
      <c r="L311" s="567">
        <v>1</v>
      </c>
      <c r="M311" s="567">
        <v>313</v>
      </c>
      <c r="N311" s="567">
        <v>3</v>
      </c>
      <c r="O311" s="567">
        <v>942</v>
      </c>
      <c r="P311" s="552">
        <v>1.5047923322683705</v>
      </c>
      <c r="Q311" s="568">
        <v>314</v>
      </c>
    </row>
    <row r="312" spans="1:17" ht="14.4" customHeight="1" x14ac:dyDescent="0.3">
      <c r="A312" s="546" t="s">
        <v>1170</v>
      </c>
      <c r="B312" s="547" t="s">
        <v>1062</v>
      </c>
      <c r="C312" s="547" t="s">
        <v>1048</v>
      </c>
      <c r="D312" s="547" t="s">
        <v>1097</v>
      </c>
      <c r="E312" s="547" t="s">
        <v>1098</v>
      </c>
      <c r="F312" s="567">
        <v>40</v>
      </c>
      <c r="G312" s="567">
        <v>6440</v>
      </c>
      <c r="H312" s="567">
        <v>0.98773006134969321</v>
      </c>
      <c r="I312" s="567">
        <v>161</v>
      </c>
      <c r="J312" s="567">
        <v>40</v>
      </c>
      <c r="K312" s="567">
        <v>6520</v>
      </c>
      <c r="L312" s="567">
        <v>1</v>
      </c>
      <c r="M312" s="567">
        <v>163</v>
      </c>
      <c r="N312" s="567">
        <v>56</v>
      </c>
      <c r="O312" s="567">
        <v>9128</v>
      </c>
      <c r="P312" s="552">
        <v>1.4</v>
      </c>
      <c r="Q312" s="568">
        <v>163</v>
      </c>
    </row>
    <row r="313" spans="1:17" ht="14.4" customHeight="1" x14ac:dyDescent="0.3">
      <c r="A313" s="546" t="s">
        <v>1170</v>
      </c>
      <c r="B313" s="547" t="s">
        <v>1062</v>
      </c>
      <c r="C313" s="547" t="s">
        <v>1048</v>
      </c>
      <c r="D313" s="547" t="s">
        <v>1101</v>
      </c>
      <c r="E313" s="547" t="s">
        <v>1067</v>
      </c>
      <c r="F313" s="567">
        <v>161</v>
      </c>
      <c r="G313" s="567">
        <v>11431</v>
      </c>
      <c r="H313" s="567">
        <v>1.1340277777777779</v>
      </c>
      <c r="I313" s="567">
        <v>71</v>
      </c>
      <c r="J313" s="567">
        <v>140</v>
      </c>
      <c r="K313" s="567">
        <v>10080</v>
      </c>
      <c r="L313" s="567">
        <v>1</v>
      </c>
      <c r="M313" s="567">
        <v>72</v>
      </c>
      <c r="N313" s="567">
        <v>247</v>
      </c>
      <c r="O313" s="567">
        <v>17784</v>
      </c>
      <c r="P313" s="552">
        <v>1.7642857142857142</v>
      </c>
      <c r="Q313" s="568">
        <v>72</v>
      </c>
    </row>
    <row r="314" spans="1:17" ht="14.4" customHeight="1" x14ac:dyDescent="0.3">
      <c r="A314" s="546" t="s">
        <v>1170</v>
      </c>
      <c r="B314" s="547" t="s">
        <v>1062</v>
      </c>
      <c r="C314" s="547" t="s">
        <v>1048</v>
      </c>
      <c r="D314" s="547" t="s">
        <v>1106</v>
      </c>
      <c r="E314" s="547" t="s">
        <v>1107</v>
      </c>
      <c r="F314" s="567">
        <v>3</v>
      </c>
      <c r="G314" s="567">
        <v>660</v>
      </c>
      <c r="H314" s="567"/>
      <c r="I314" s="567">
        <v>220</v>
      </c>
      <c r="J314" s="567"/>
      <c r="K314" s="567"/>
      <c r="L314" s="567"/>
      <c r="M314" s="567"/>
      <c r="N314" s="567"/>
      <c r="O314" s="567"/>
      <c r="P314" s="552"/>
      <c r="Q314" s="568"/>
    </row>
    <row r="315" spans="1:17" ht="14.4" customHeight="1" x14ac:dyDescent="0.3">
      <c r="A315" s="546" t="s">
        <v>1170</v>
      </c>
      <c r="B315" s="547" t="s">
        <v>1062</v>
      </c>
      <c r="C315" s="547" t="s">
        <v>1048</v>
      </c>
      <c r="D315" s="547" t="s">
        <v>1108</v>
      </c>
      <c r="E315" s="547" t="s">
        <v>1109</v>
      </c>
      <c r="F315" s="567"/>
      <c r="G315" s="567"/>
      <c r="H315" s="567"/>
      <c r="I315" s="567"/>
      <c r="J315" s="567">
        <v>1</v>
      </c>
      <c r="K315" s="567">
        <v>1211</v>
      </c>
      <c r="L315" s="567">
        <v>1</v>
      </c>
      <c r="M315" s="567">
        <v>1211</v>
      </c>
      <c r="N315" s="567">
        <v>10</v>
      </c>
      <c r="O315" s="567">
        <v>12110</v>
      </c>
      <c r="P315" s="552">
        <v>10</v>
      </c>
      <c r="Q315" s="568">
        <v>1211</v>
      </c>
    </row>
    <row r="316" spans="1:17" ht="14.4" customHeight="1" x14ac:dyDescent="0.3">
      <c r="A316" s="546" t="s">
        <v>1170</v>
      </c>
      <c r="B316" s="547" t="s">
        <v>1062</v>
      </c>
      <c r="C316" s="547" t="s">
        <v>1048</v>
      </c>
      <c r="D316" s="547" t="s">
        <v>1110</v>
      </c>
      <c r="E316" s="547" t="s">
        <v>1111</v>
      </c>
      <c r="F316" s="567">
        <v>2</v>
      </c>
      <c r="G316" s="567">
        <v>220</v>
      </c>
      <c r="H316" s="567">
        <v>1.9298245614035088</v>
      </c>
      <c r="I316" s="567">
        <v>110</v>
      </c>
      <c r="J316" s="567">
        <v>1</v>
      </c>
      <c r="K316" s="567">
        <v>114</v>
      </c>
      <c r="L316" s="567">
        <v>1</v>
      </c>
      <c r="M316" s="567">
        <v>114</v>
      </c>
      <c r="N316" s="567">
        <v>6</v>
      </c>
      <c r="O316" s="567">
        <v>684</v>
      </c>
      <c r="P316" s="552">
        <v>6</v>
      </c>
      <c r="Q316" s="568">
        <v>114</v>
      </c>
    </row>
    <row r="317" spans="1:17" ht="14.4" customHeight="1" x14ac:dyDescent="0.3">
      <c r="A317" s="546" t="s">
        <v>1170</v>
      </c>
      <c r="B317" s="547" t="s">
        <v>1062</v>
      </c>
      <c r="C317" s="547" t="s">
        <v>1048</v>
      </c>
      <c r="D317" s="547" t="s">
        <v>1112</v>
      </c>
      <c r="E317" s="547" t="s">
        <v>1113</v>
      </c>
      <c r="F317" s="567">
        <v>1</v>
      </c>
      <c r="G317" s="567">
        <v>323</v>
      </c>
      <c r="H317" s="567"/>
      <c r="I317" s="567">
        <v>323</v>
      </c>
      <c r="J317" s="567"/>
      <c r="K317" s="567"/>
      <c r="L317" s="567"/>
      <c r="M317" s="567"/>
      <c r="N317" s="567">
        <v>1</v>
      </c>
      <c r="O317" s="567">
        <v>347</v>
      </c>
      <c r="P317" s="552"/>
      <c r="Q317" s="568">
        <v>347</v>
      </c>
    </row>
    <row r="318" spans="1:17" ht="14.4" customHeight="1" x14ac:dyDescent="0.3">
      <c r="A318" s="546" t="s">
        <v>1170</v>
      </c>
      <c r="B318" s="547" t="s">
        <v>1062</v>
      </c>
      <c r="C318" s="547" t="s">
        <v>1048</v>
      </c>
      <c r="D318" s="547" t="s">
        <v>1120</v>
      </c>
      <c r="E318" s="547" t="s">
        <v>1121</v>
      </c>
      <c r="F318" s="567"/>
      <c r="G318" s="567"/>
      <c r="H318" s="567"/>
      <c r="I318" s="567"/>
      <c r="J318" s="567"/>
      <c r="K318" s="567"/>
      <c r="L318" s="567"/>
      <c r="M318" s="567"/>
      <c r="N318" s="567">
        <v>1</v>
      </c>
      <c r="O318" s="567">
        <v>302</v>
      </c>
      <c r="P318" s="552"/>
      <c r="Q318" s="568">
        <v>302</v>
      </c>
    </row>
    <row r="319" spans="1:17" ht="14.4" customHeight="1" x14ac:dyDescent="0.3">
      <c r="A319" s="546" t="s">
        <v>1171</v>
      </c>
      <c r="B319" s="547" t="s">
        <v>1062</v>
      </c>
      <c r="C319" s="547" t="s">
        <v>1048</v>
      </c>
      <c r="D319" s="547" t="s">
        <v>1066</v>
      </c>
      <c r="E319" s="547" t="s">
        <v>1067</v>
      </c>
      <c r="F319" s="567">
        <v>2</v>
      </c>
      <c r="G319" s="567">
        <v>412</v>
      </c>
      <c r="H319" s="567">
        <v>0.1627172195892575</v>
      </c>
      <c r="I319" s="567">
        <v>206</v>
      </c>
      <c r="J319" s="567">
        <v>12</v>
      </c>
      <c r="K319" s="567">
        <v>2532</v>
      </c>
      <c r="L319" s="567">
        <v>1</v>
      </c>
      <c r="M319" s="567">
        <v>211</v>
      </c>
      <c r="N319" s="567">
        <v>8</v>
      </c>
      <c r="O319" s="567">
        <v>1688</v>
      </c>
      <c r="P319" s="552">
        <v>0.66666666666666663</v>
      </c>
      <c r="Q319" s="568">
        <v>211</v>
      </c>
    </row>
    <row r="320" spans="1:17" ht="14.4" customHeight="1" x14ac:dyDescent="0.3">
      <c r="A320" s="546" t="s">
        <v>1171</v>
      </c>
      <c r="B320" s="547" t="s">
        <v>1062</v>
      </c>
      <c r="C320" s="547" t="s">
        <v>1048</v>
      </c>
      <c r="D320" s="547" t="s">
        <v>1069</v>
      </c>
      <c r="E320" s="547" t="s">
        <v>1070</v>
      </c>
      <c r="F320" s="567"/>
      <c r="G320" s="567"/>
      <c r="H320" s="567"/>
      <c r="I320" s="567"/>
      <c r="J320" s="567"/>
      <c r="K320" s="567"/>
      <c r="L320" s="567"/>
      <c r="M320" s="567"/>
      <c r="N320" s="567">
        <v>53</v>
      </c>
      <c r="O320" s="567">
        <v>15953</v>
      </c>
      <c r="P320" s="552"/>
      <c r="Q320" s="568">
        <v>301</v>
      </c>
    </row>
    <row r="321" spans="1:17" ht="14.4" customHeight="1" x14ac:dyDescent="0.3">
      <c r="A321" s="546" t="s">
        <v>1171</v>
      </c>
      <c r="B321" s="547" t="s">
        <v>1062</v>
      </c>
      <c r="C321" s="547" t="s">
        <v>1048</v>
      </c>
      <c r="D321" s="547" t="s">
        <v>1075</v>
      </c>
      <c r="E321" s="547" t="s">
        <v>1076</v>
      </c>
      <c r="F321" s="567">
        <v>4</v>
      </c>
      <c r="G321" s="567">
        <v>540</v>
      </c>
      <c r="H321" s="567">
        <v>0.43795620437956206</v>
      </c>
      <c r="I321" s="567">
        <v>135</v>
      </c>
      <c r="J321" s="567">
        <v>9</v>
      </c>
      <c r="K321" s="567">
        <v>1233</v>
      </c>
      <c r="L321" s="567">
        <v>1</v>
      </c>
      <c r="M321" s="567">
        <v>137</v>
      </c>
      <c r="N321" s="567">
        <v>10</v>
      </c>
      <c r="O321" s="567">
        <v>1370</v>
      </c>
      <c r="P321" s="552">
        <v>1.1111111111111112</v>
      </c>
      <c r="Q321" s="568">
        <v>137</v>
      </c>
    </row>
    <row r="322" spans="1:17" ht="14.4" customHeight="1" x14ac:dyDescent="0.3">
      <c r="A322" s="546" t="s">
        <v>1171</v>
      </c>
      <c r="B322" s="547" t="s">
        <v>1062</v>
      </c>
      <c r="C322" s="547" t="s">
        <v>1048</v>
      </c>
      <c r="D322" s="547" t="s">
        <v>1082</v>
      </c>
      <c r="E322" s="547" t="s">
        <v>1083</v>
      </c>
      <c r="F322" s="567"/>
      <c r="G322" s="567"/>
      <c r="H322" s="567"/>
      <c r="I322" s="567"/>
      <c r="J322" s="567"/>
      <c r="K322" s="567"/>
      <c r="L322" s="567"/>
      <c r="M322" s="567"/>
      <c r="N322" s="567">
        <v>2</v>
      </c>
      <c r="O322" s="567">
        <v>346</v>
      </c>
      <c r="P322" s="552"/>
      <c r="Q322" s="568">
        <v>173</v>
      </c>
    </row>
    <row r="323" spans="1:17" ht="14.4" customHeight="1" x14ac:dyDescent="0.3">
      <c r="A323" s="546" t="s">
        <v>1171</v>
      </c>
      <c r="B323" s="547" t="s">
        <v>1062</v>
      </c>
      <c r="C323" s="547" t="s">
        <v>1048</v>
      </c>
      <c r="D323" s="547" t="s">
        <v>1086</v>
      </c>
      <c r="E323" s="547" t="s">
        <v>1087</v>
      </c>
      <c r="F323" s="567">
        <v>4</v>
      </c>
      <c r="G323" s="567">
        <v>64</v>
      </c>
      <c r="H323" s="567">
        <v>0.34224598930481281</v>
      </c>
      <c r="I323" s="567">
        <v>16</v>
      </c>
      <c r="J323" s="567">
        <v>11</v>
      </c>
      <c r="K323" s="567">
        <v>187</v>
      </c>
      <c r="L323" s="567">
        <v>1</v>
      </c>
      <c r="M323" s="567">
        <v>17</v>
      </c>
      <c r="N323" s="567">
        <v>3</v>
      </c>
      <c r="O323" s="567">
        <v>51</v>
      </c>
      <c r="P323" s="552">
        <v>0.27272727272727271</v>
      </c>
      <c r="Q323" s="568">
        <v>17</v>
      </c>
    </row>
    <row r="324" spans="1:17" ht="14.4" customHeight="1" x14ac:dyDescent="0.3">
      <c r="A324" s="546" t="s">
        <v>1171</v>
      </c>
      <c r="B324" s="547" t="s">
        <v>1062</v>
      </c>
      <c r="C324" s="547" t="s">
        <v>1048</v>
      </c>
      <c r="D324" s="547" t="s">
        <v>1088</v>
      </c>
      <c r="E324" s="547" t="s">
        <v>1089</v>
      </c>
      <c r="F324" s="567"/>
      <c r="G324" s="567"/>
      <c r="H324" s="567"/>
      <c r="I324" s="567"/>
      <c r="J324" s="567">
        <v>2</v>
      </c>
      <c r="K324" s="567">
        <v>546</v>
      </c>
      <c r="L324" s="567">
        <v>1</v>
      </c>
      <c r="M324" s="567">
        <v>273</v>
      </c>
      <c r="N324" s="567"/>
      <c r="O324" s="567"/>
      <c r="P324" s="552"/>
      <c r="Q324" s="568"/>
    </row>
    <row r="325" spans="1:17" ht="14.4" customHeight="1" x14ac:dyDescent="0.3">
      <c r="A325" s="546" t="s">
        <v>1171</v>
      </c>
      <c r="B325" s="547" t="s">
        <v>1062</v>
      </c>
      <c r="C325" s="547" t="s">
        <v>1048</v>
      </c>
      <c r="D325" s="547" t="s">
        <v>1090</v>
      </c>
      <c r="E325" s="547" t="s">
        <v>1091</v>
      </c>
      <c r="F325" s="567"/>
      <c r="G325" s="567"/>
      <c r="H325" s="567"/>
      <c r="I325" s="567"/>
      <c r="J325" s="567">
        <v>2</v>
      </c>
      <c r="K325" s="567">
        <v>284</v>
      </c>
      <c r="L325" s="567">
        <v>1</v>
      </c>
      <c r="M325" s="567">
        <v>142</v>
      </c>
      <c r="N325" s="567">
        <v>2</v>
      </c>
      <c r="O325" s="567">
        <v>284</v>
      </c>
      <c r="P325" s="552">
        <v>1</v>
      </c>
      <c r="Q325" s="568">
        <v>142</v>
      </c>
    </row>
    <row r="326" spans="1:17" ht="14.4" customHeight="1" x14ac:dyDescent="0.3">
      <c r="A326" s="546" t="s">
        <v>1171</v>
      </c>
      <c r="B326" s="547" t="s">
        <v>1062</v>
      </c>
      <c r="C326" s="547" t="s">
        <v>1048</v>
      </c>
      <c r="D326" s="547" t="s">
        <v>1092</v>
      </c>
      <c r="E326" s="547" t="s">
        <v>1091</v>
      </c>
      <c r="F326" s="567">
        <v>4</v>
      </c>
      <c r="G326" s="567">
        <v>312</v>
      </c>
      <c r="H326" s="567">
        <v>0.44444444444444442</v>
      </c>
      <c r="I326" s="567">
        <v>78</v>
      </c>
      <c r="J326" s="567">
        <v>9</v>
      </c>
      <c r="K326" s="567">
        <v>702</v>
      </c>
      <c r="L326" s="567">
        <v>1</v>
      </c>
      <c r="M326" s="567">
        <v>78</v>
      </c>
      <c r="N326" s="567">
        <v>10</v>
      </c>
      <c r="O326" s="567">
        <v>780</v>
      </c>
      <c r="P326" s="552">
        <v>1.1111111111111112</v>
      </c>
      <c r="Q326" s="568">
        <v>78</v>
      </c>
    </row>
    <row r="327" spans="1:17" ht="14.4" customHeight="1" x14ac:dyDescent="0.3">
      <c r="A327" s="546" t="s">
        <v>1171</v>
      </c>
      <c r="B327" s="547" t="s">
        <v>1062</v>
      </c>
      <c r="C327" s="547" t="s">
        <v>1048</v>
      </c>
      <c r="D327" s="547" t="s">
        <v>1093</v>
      </c>
      <c r="E327" s="547" t="s">
        <v>1094</v>
      </c>
      <c r="F327" s="567"/>
      <c r="G327" s="567"/>
      <c r="H327" s="567"/>
      <c r="I327" s="567"/>
      <c r="J327" s="567">
        <v>2</v>
      </c>
      <c r="K327" s="567">
        <v>626</v>
      </c>
      <c r="L327" s="567">
        <v>1</v>
      </c>
      <c r="M327" s="567">
        <v>313</v>
      </c>
      <c r="N327" s="567">
        <v>2</v>
      </c>
      <c r="O327" s="567">
        <v>628</v>
      </c>
      <c r="P327" s="552">
        <v>1.0031948881789137</v>
      </c>
      <c r="Q327" s="568">
        <v>314</v>
      </c>
    </row>
    <row r="328" spans="1:17" ht="14.4" customHeight="1" x14ac:dyDescent="0.3">
      <c r="A328" s="546" t="s">
        <v>1171</v>
      </c>
      <c r="B328" s="547" t="s">
        <v>1062</v>
      </c>
      <c r="C328" s="547" t="s">
        <v>1048</v>
      </c>
      <c r="D328" s="547" t="s">
        <v>1097</v>
      </c>
      <c r="E328" s="547" t="s">
        <v>1098</v>
      </c>
      <c r="F328" s="567">
        <v>4</v>
      </c>
      <c r="G328" s="567">
        <v>644</v>
      </c>
      <c r="H328" s="567">
        <v>0.43899113837764142</v>
      </c>
      <c r="I328" s="567">
        <v>161</v>
      </c>
      <c r="J328" s="567">
        <v>9</v>
      </c>
      <c r="K328" s="567">
        <v>1467</v>
      </c>
      <c r="L328" s="567">
        <v>1</v>
      </c>
      <c r="M328" s="567">
        <v>163</v>
      </c>
      <c r="N328" s="567">
        <v>14</v>
      </c>
      <c r="O328" s="567">
        <v>2282</v>
      </c>
      <c r="P328" s="552">
        <v>1.5555555555555556</v>
      </c>
      <c r="Q328" s="568">
        <v>163</v>
      </c>
    </row>
    <row r="329" spans="1:17" ht="14.4" customHeight="1" x14ac:dyDescent="0.3">
      <c r="A329" s="546" t="s">
        <v>1171</v>
      </c>
      <c r="B329" s="547" t="s">
        <v>1062</v>
      </c>
      <c r="C329" s="547" t="s">
        <v>1048</v>
      </c>
      <c r="D329" s="547" t="s">
        <v>1101</v>
      </c>
      <c r="E329" s="547" t="s">
        <v>1067</v>
      </c>
      <c r="F329" s="567">
        <v>9</v>
      </c>
      <c r="G329" s="567">
        <v>639</v>
      </c>
      <c r="H329" s="567">
        <v>0.46710526315789475</v>
      </c>
      <c r="I329" s="567">
        <v>71</v>
      </c>
      <c r="J329" s="567">
        <v>19</v>
      </c>
      <c r="K329" s="567">
        <v>1368</v>
      </c>
      <c r="L329" s="567">
        <v>1</v>
      </c>
      <c r="M329" s="567">
        <v>72</v>
      </c>
      <c r="N329" s="567">
        <v>24</v>
      </c>
      <c r="O329" s="567">
        <v>1728</v>
      </c>
      <c r="P329" s="552">
        <v>1.263157894736842</v>
      </c>
      <c r="Q329" s="568">
        <v>72</v>
      </c>
    </row>
    <row r="330" spans="1:17" ht="14.4" customHeight="1" x14ac:dyDescent="0.3">
      <c r="A330" s="546" t="s">
        <v>1171</v>
      </c>
      <c r="B330" s="547" t="s">
        <v>1062</v>
      </c>
      <c r="C330" s="547" t="s">
        <v>1048</v>
      </c>
      <c r="D330" s="547" t="s">
        <v>1108</v>
      </c>
      <c r="E330" s="547" t="s">
        <v>1109</v>
      </c>
      <c r="F330" s="567"/>
      <c r="G330" s="567"/>
      <c r="H330" s="567"/>
      <c r="I330" s="567"/>
      <c r="J330" s="567"/>
      <c r="K330" s="567"/>
      <c r="L330" s="567"/>
      <c r="M330" s="567"/>
      <c r="N330" s="567">
        <v>1</v>
      </c>
      <c r="O330" s="567">
        <v>1211</v>
      </c>
      <c r="P330" s="552"/>
      <c r="Q330" s="568">
        <v>1211</v>
      </c>
    </row>
    <row r="331" spans="1:17" ht="14.4" customHeight="1" x14ac:dyDescent="0.3">
      <c r="A331" s="546" t="s">
        <v>1171</v>
      </c>
      <c r="B331" s="547" t="s">
        <v>1062</v>
      </c>
      <c r="C331" s="547" t="s">
        <v>1048</v>
      </c>
      <c r="D331" s="547" t="s">
        <v>1110</v>
      </c>
      <c r="E331" s="547" t="s">
        <v>1111</v>
      </c>
      <c r="F331" s="567"/>
      <c r="G331" s="567"/>
      <c r="H331" s="567"/>
      <c r="I331" s="567"/>
      <c r="J331" s="567"/>
      <c r="K331" s="567"/>
      <c r="L331" s="567"/>
      <c r="M331" s="567"/>
      <c r="N331" s="567">
        <v>2</v>
      </c>
      <c r="O331" s="567">
        <v>228</v>
      </c>
      <c r="P331" s="552"/>
      <c r="Q331" s="568">
        <v>114</v>
      </c>
    </row>
    <row r="332" spans="1:17" ht="14.4" customHeight="1" x14ac:dyDescent="0.3">
      <c r="A332" s="546" t="s">
        <v>1172</v>
      </c>
      <c r="B332" s="547" t="s">
        <v>1062</v>
      </c>
      <c r="C332" s="547" t="s">
        <v>1048</v>
      </c>
      <c r="D332" s="547" t="s">
        <v>1066</v>
      </c>
      <c r="E332" s="547" t="s">
        <v>1067</v>
      </c>
      <c r="F332" s="567">
        <v>1</v>
      </c>
      <c r="G332" s="567">
        <v>206</v>
      </c>
      <c r="H332" s="567"/>
      <c r="I332" s="567">
        <v>206</v>
      </c>
      <c r="J332" s="567"/>
      <c r="K332" s="567"/>
      <c r="L332" s="567"/>
      <c r="M332" s="567"/>
      <c r="N332" s="567"/>
      <c r="O332" s="567"/>
      <c r="P332" s="552"/>
      <c r="Q332" s="568"/>
    </row>
    <row r="333" spans="1:17" ht="14.4" customHeight="1" x14ac:dyDescent="0.3">
      <c r="A333" s="546" t="s">
        <v>1172</v>
      </c>
      <c r="B333" s="547" t="s">
        <v>1062</v>
      </c>
      <c r="C333" s="547" t="s">
        <v>1048</v>
      </c>
      <c r="D333" s="547" t="s">
        <v>1084</v>
      </c>
      <c r="E333" s="547" t="s">
        <v>1085</v>
      </c>
      <c r="F333" s="567"/>
      <c r="G333" s="567"/>
      <c r="H333" s="567"/>
      <c r="I333" s="567"/>
      <c r="J333" s="567"/>
      <c r="K333" s="567"/>
      <c r="L333" s="567"/>
      <c r="M333" s="567"/>
      <c r="N333" s="567">
        <v>1</v>
      </c>
      <c r="O333" s="567">
        <v>347</v>
      </c>
      <c r="P333" s="552"/>
      <c r="Q333" s="568">
        <v>347</v>
      </c>
    </row>
    <row r="334" spans="1:17" ht="14.4" customHeight="1" x14ac:dyDescent="0.3">
      <c r="A334" s="546" t="s">
        <v>1172</v>
      </c>
      <c r="B334" s="547" t="s">
        <v>1062</v>
      </c>
      <c r="C334" s="547" t="s">
        <v>1048</v>
      </c>
      <c r="D334" s="547" t="s">
        <v>1086</v>
      </c>
      <c r="E334" s="547" t="s">
        <v>1087</v>
      </c>
      <c r="F334" s="567">
        <v>1</v>
      </c>
      <c r="G334" s="567">
        <v>16</v>
      </c>
      <c r="H334" s="567"/>
      <c r="I334" s="567">
        <v>16</v>
      </c>
      <c r="J334" s="567"/>
      <c r="K334" s="567"/>
      <c r="L334" s="567"/>
      <c r="M334" s="567"/>
      <c r="N334" s="567">
        <v>1</v>
      </c>
      <c r="O334" s="567">
        <v>17</v>
      </c>
      <c r="P334" s="552"/>
      <c r="Q334" s="568">
        <v>17</v>
      </c>
    </row>
    <row r="335" spans="1:17" ht="14.4" customHeight="1" x14ac:dyDescent="0.3">
      <c r="A335" s="546" t="s">
        <v>1172</v>
      </c>
      <c r="B335" s="547" t="s">
        <v>1062</v>
      </c>
      <c r="C335" s="547" t="s">
        <v>1048</v>
      </c>
      <c r="D335" s="547" t="s">
        <v>1090</v>
      </c>
      <c r="E335" s="547" t="s">
        <v>1091</v>
      </c>
      <c r="F335" s="567">
        <v>1</v>
      </c>
      <c r="G335" s="567">
        <v>141</v>
      </c>
      <c r="H335" s="567"/>
      <c r="I335" s="567">
        <v>141</v>
      </c>
      <c r="J335" s="567"/>
      <c r="K335" s="567"/>
      <c r="L335" s="567"/>
      <c r="M335" s="567"/>
      <c r="N335" s="567"/>
      <c r="O335" s="567"/>
      <c r="P335" s="552"/>
      <c r="Q335" s="568"/>
    </row>
    <row r="336" spans="1:17" ht="14.4" customHeight="1" x14ac:dyDescent="0.3">
      <c r="A336" s="546" t="s">
        <v>1172</v>
      </c>
      <c r="B336" s="547" t="s">
        <v>1062</v>
      </c>
      <c r="C336" s="547" t="s">
        <v>1048</v>
      </c>
      <c r="D336" s="547" t="s">
        <v>1093</v>
      </c>
      <c r="E336" s="547" t="s">
        <v>1094</v>
      </c>
      <c r="F336" s="567">
        <v>1</v>
      </c>
      <c r="G336" s="567">
        <v>307</v>
      </c>
      <c r="H336" s="567"/>
      <c r="I336" s="567">
        <v>307</v>
      </c>
      <c r="J336" s="567"/>
      <c r="K336" s="567"/>
      <c r="L336" s="567"/>
      <c r="M336" s="567"/>
      <c r="N336" s="567"/>
      <c r="O336" s="567"/>
      <c r="P336" s="552"/>
      <c r="Q336" s="568"/>
    </row>
    <row r="337" spans="1:17" ht="14.4" customHeight="1" x14ac:dyDescent="0.3">
      <c r="A337" s="546" t="s">
        <v>1172</v>
      </c>
      <c r="B337" s="547" t="s">
        <v>1062</v>
      </c>
      <c r="C337" s="547" t="s">
        <v>1048</v>
      </c>
      <c r="D337" s="547" t="s">
        <v>1095</v>
      </c>
      <c r="E337" s="547" t="s">
        <v>1096</v>
      </c>
      <c r="F337" s="567"/>
      <c r="G337" s="567"/>
      <c r="H337" s="567"/>
      <c r="I337" s="567"/>
      <c r="J337" s="567"/>
      <c r="K337" s="567"/>
      <c r="L337" s="567"/>
      <c r="M337" s="567"/>
      <c r="N337" s="567">
        <v>1</v>
      </c>
      <c r="O337" s="567">
        <v>328</v>
      </c>
      <c r="P337" s="552"/>
      <c r="Q337" s="568">
        <v>328</v>
      </c>
    </row>
    <row r="338" spans="1:17" ht="14.4" customHeight="1" x14ac:dyDescent="0.3">
      <c r="A338" s="546" t="s">
        <v>1173</v>
      </c>
      <c r="B338" s="547" t="s">
        <v>1062</v>
      </c>
      <c r="C338" s="547" t="s">
        <v>1048</v>
      </c>
      <c r="D338" s="547" t="s">
        <v>1066</v>
      </c>
      <c r="E338" s="547" t="s">
        <v>1067</v>
      </c>
      <c r="F338" s="567">
        <v>2</v>
      </c>
      <c r="G338" s="567">
        <v>412</v>
      </c>
      <c r="H338" s="567"/>
      <c r="I338" s="567">
        <v>206</v>
      </c>
      <c r="J338" s="567"/>
      <c r="K338" s="567"/>
      <c r="L338" s="567"/>
      <c r="M338" s="567"/>
      <c r="N338" s="567"/>
      <c r="O338" s="567"/>
      <c r="P338" s="552"/>
      <c r="Q338" s="568"/>
    </row>
    <row r="339" spans="1:17" ht="14.4" customHeight="1" x14ac:dyDescent="0.3">
      <c r="A339" s="546" t="s">
        <v>1173</v>
      </c>
      <c r="B339" s="547" t="s">
        <v>1062</v>
      </c>
      <c r="C339" s="547" t="s">
        <v>1048</v>
      </c>
      <c r="D339" s="547" t="s">
        <v>1068</v>
      </c>
      <c r="E339" s="547" t="s">
        <v>1067</v>
      </c>
      <c r="F339" s="567">
        <v>1</v>
      </c>
      <c r="G339" s="567">
        <v>85</v>
      </c>
      <c r="H339" s="567"/>
      <c r="I339" s="567">
        <v>85</v>
      </c>
      <c r="J339" s="567"/>
      <c r="K339" s="567"/>
      <c r="L339" s="567"/>
      <c r="M339" s="567"/>
      <c r="N339" s="567"/>
      <c r="O339" s="567"/>
      <c r="P339" s="552"/>
      <c r="Q339" s="568"/>
    </row>
    <row r="340" spans="1:17" ht="14.4" customHeight="1" x14ac:dyDescent="0.3">
      <c r="A340" s="546" t="s">
        <v>1173</v>
      </c>
      <c r="B340" s="547" t="s">
        <v>1062</v>
      </c>
      <c r="C340" s="547" t="s">
        <v>1048</v>
      </c>
      <c r="D340" s="547" t="s">
        <v>1069</v>
      </c>
      <c r="E340" s="547" t="s">
        <v>1070</v>
      </c>
      <c r="F340" s="567">
        <v>50</v>
      </c>
      <c r="G340" s="567">
        <v>14750</v>
      </c>
      <c r="H340" s="567">
        <v>1.9601328903654485</v>
      </c>
      <c r="I340" s="567">
        <v>295</v>
      </c>
      <c r="J340" s="567">
        <v>25</v>
      </c>
      <c r="K340" s="567">
        <v>7525</v>
      </c>
      <c r="L340" s="567">
        <v>1</v>
      </c>
      <c r="M340" s="567">
        <v>301</v>
      </c>
      <c r="N340" s="567"/>
      <c r="O340" s="567"/>
      <c r="P340" s="552"/>
      <c r="Q340" s="568"/>
    </row>
    <row r="341" spans="1:17" ht="14.4" customHeight="1" x14ac:dyDescent="0.3">
      <c r="A341" s="546" t="s">
        <v>1173</v>
      </c>
      <c r="B341" s="547" t="s">
        <v>1062</v>
      </c>
      <c r="C341" s="547" t="s">
        <v>1048</v>
      </c>
      <c r="D341" s="547" t="s">
        <v>1071</v>
      </c>
      <c r="E341" s="547" t="s">
        <v>1072</v>
      </c>
      <c r="F341" s="567">
        <v>6</v>
      </c>
      <c r="G341" s="567">
        <v>570</v>
      </c>
      <c r="H341" s="567"/>
      <c r="I341" s="567">
        <v>95</v>
      </c>
      <c r="J341" s="567"/>
      <c r="K341" s="567"/>
      <c r="L341" s="567"/>
      <c r="M341" s="567"/>
      <c r="N341" s="567"/>
      <c r="O341" s="567"/>
      <c r="P341" s="552"/>
      <c r="Q341" s="568"/>
    </row>
    <row r="342" spans="1:17" ht="14.4" customHeight="1" x14ac:dyDescent="0.3">
      <c r="A342" s="546" t="s">
        <v>1173</v>
      </c>
      <c r="B342" s="547" t="s">
        <v>1062</v>
      </c>
      <c r="C342" s="547" t="s">
        <v>1048</v>
      </c>
      <c r="D342" s="547" t="s">
        <v>1073</v>
      </c>
      <c r="E342" s="547" t="s">
        <v>1074</v>
      </c>
      <c r="F342" s="567">
        <v>1</v>
      </c>
      <c r="G342" s="567">
        <v>224</v>
      </c>
      <c r="H342" s="567"/>
      <c r="I342" s="567">
        <v>224</v>
      </c>
      <c r="J342" s="567"/>
      <c r="K342" s="567"/>
      <c r="L342" s="567"/>
      <c r="M342" s="567"/>
      <c r="N342" s="567"/>
      <c r="O342" s="567"/>
      <c r="P342" s="552"/>
      <c r="Q342" s="568"/>
    </row>
    <row r="343" spans="1:17" ht="14.4" customHeight="1" x14ac:dyDescent="0.3">
      <c r="A343" s="546" t="s">
        <v>1173</v>
      </c>
      <c r="B343" s="547" t="s">
        <v>1062</v>
      </c>
      <c r="C343" s="547" t="s">
        <v>1048</v>
      </c>
      <c r="D343" s="547" t="s">
        <v>1075</v>
      </c>
      <c r="E343" s="547" t="s">
        <v>1076</v>
      </c>
      <c r="F343" s="567">
        <v>9</v>
      </c>
      <c r="G343" s="567">
        <v>1215</v>
      </c>
      <c r="H343" s="567">
        <v>0.98540145985401462</v>
      </c>
      <c r="I343" s="567">
        <v>135</v>
      </c>
      <c r="J343" s="567">
        <v>9</v>
      </c>
      <c r="K343" s="567">
        <v>1233</v>
      </c>
      <c r="L343" s="567">
        <v>1</v>
      </c>
      <c r="M343" s="567">
        <v>137</v>
      </c>
      <c r="N343" s="567">
        <v>4</v>
      </c>
      <c r="O343" s="567">
        <v>548</v>
      </c>
      <c r="P343" s="552">
        <v>0.44444444444444442</v>
      </c>
      <c r="Q343" s="568">
        <v>137</v>
      </c>
    </row>
    <row r="344" spans="1:17" ht="14.4" customHeight="1" x14ac:dyDescent="0.3">
      <c r="A344" s="546" t="s">
        <v>1173</v>
      </c>
      <c r="B344" s="547" t="s">
        <v>1062</v>
      </c>
      <c r="C344" s="547" t="s">
        <v>1048</v>
      </c>
      <c r="D344" s="547" t="s">
        <v>1077</v>
      </c>
      <c r="E344" s="547" t="s">
        <v>1076</v>
      </c>
      <c r="F344" s="567">
        <v>1</v>
      </c>
      <c r="G344" s="567">
        <v>178</v>
      </c>
      <c r="H344" s="567">
        <v>0.97267759562841527</v>
      </c>
      <c r="I344" s="567">
        <v>178</v>
      </c>
      <c r="J344" s="567">
        <v>1</v>
      </c>
      <c r="K344" s="567">
        <v>183</v>
      </c>
      <c r="L344" s="567">
        <v>1</v>
      </c>
      <c r="M344" s="567">
        <v>183</v>
      </c>
      <c r="N344" s="567"/>
      <c r="O344" s="567"/>
      <c r="P344" s="552"/>
      <c r="Q344" s="568"/>
    </row>
    <row r="345" spans="1:17" ht="14.4" customHeight="1" x14ac:dyDescent="0.3">
      <c r="A345" s="546" t="s">
        <v>1173</v>
      </c>
      <c r="B345" s="547" t="s">
        <v>1062</v>
      </c>
      <c r="C345" s="547" t="s">
        <v>1048</v>
      </c>
      <c r="D345" s="547" t="s">
        <v>1080</v>
      </c>
      <c r="E345" s="547" t="s">
        <v>1081</v>
      </c>
      <c r="F345" s="567">
        <v>1</v>
      </c>
      <c r="G345" s="567">
        <v>593</v>
      </c>
      <c r="H345" s="567"/>
      <c r="I345" s="567">
        <v>593</v>
      </c>
      <c r="J345" s="567"/>
      <c r="K345" s="567"/>
      <c r="L345" s="567"/>
      <c r="M345" s="567"/>
      <c r="N345" s="567"/>
      <c r="O345" s="567"/>
      <c r="P345" s="552"/>
      <c r="Q345" s="568"/>
    </row>
    <row r="346" spans="1:17" ht="14.4" customHeight="1" x14ac:dyDescent="0.3">
      <c r="A346" s="546" t="s">
        <v>1173</v>
      </c>
      <c r="B346" s="547" t="s">
        <v>1062</v>
      </c>
      <c r="C346" s="547" t="s">
        <v>1048</v>
      </c>
      <c r="D346" s="547" t="s">
        <v>1082</v>
      </c>
      <c r="E346" s="547" t="s">
        <v>1083</v>
      </c>
      <c r="F346" s="567">
        <v>3</v>
      </c>
      <c r="G346" s="567">
        <v>483</v>
      </c>
      <c r="H346" s="567">
        <v>2.7919075144508669</v>
      </c>
      <c r="I346" s="567">
        <v>161</v>
      </c>
      <c r="J346" s="567">
        <v>1</v>
      </c>
      <c r="K346" s="567">
        <v>173</v>
      </c>
      <c r="L346" s="567">
        <v>1</v>
      </c>
      <c r="M346" s="567">
        <v>173</v>
      </c>
      <c r="N346" s="567"/>
      <c r="O346" s="567"/>
      <c r="P346" s="552"/>
      <c r="Q346" s="568"/>
    </row>
    <row r="347" spans="1:17" ht="14.4" customHeight="1" x14ac:dyDescent="0.3">
      <c r="A347" s="546" t="s">
        <v>1173</v>
      </c>
      <c r="B347" s="547" t="s">
        <v>1062</v>
      </c>
      <c r="C347" s="547" t="s">
        <v>1048</v>
      </c>
      <c r="D347" s="547" t="s">
        <v>1086</v>
      </c>
      <c r="E347" s="547" t="s">
        <v>1087</v>
      </c>
      <c r="F347" s="567">
        <v>10</v>
      </c>
      <c r="G347" s="567">
        <v>160</v>
      </c>
      <c r="H347" s="567">
        <v>1.0457516339869282</v>
      </c>
      <c r="I347" s="567">
        <v>16</v>
      </c>
      <c r="J347" s="567">
        <v>9</v>
      </c>
      <c r="K347" s="567">
        <v>153</v>
      </c>
      <c r="L347" s="567">
        <v>1</v>
      </c>
      <c r="M347" s="567">
        <v>17</v>
      </c>
      <c r="N347" s="567"/>
      <c r="O347" s="567"/>
      <c r="P347" s="552"/>
      <c r="Q347" s="568"/>
    </row>
    <row r="348" spans="1:17" ht="14.4" customHeight="1" x14ac:dyDescent="0.3">
      <c r="A348" s="546" t="s">
        <v>1173</v>
      </c>
      <c r="B348" s="547" t="s">
        <v>1062</v>
      </c>
      <c r="C348" s="547" t="s">
        <v>1048</v>
      </c>
      <c r="D348" s="547" t="s">
        <v>1090</v>
      </c>
      <c r="E348" s="547" t="s">
        <v>1091</v>
      </c>
      <c r="F348" s="567">
        <v>1</v>
      </c>
      <c r="G348" s="567">
        <v>141</v>
      </c>
      <c r="H348" s="567"/>
      <c r="I348" s="567">
        <v>141</v>
      </c>
      <c r="J348" s="567"/>
      <c r="K348" s="567"/>
      <c r="L348" s="567"/>
      <c r="M348" s="567"/>
      <c r="N348" s="567"/>
      <c r="O348" s="567"/>
      <c r="P348" s="552"/>
      <c r="Q348" s="568"/>
    </row>
    <row r="349" spans="1:17" ht="14.4" customHeight="1" x14ac:dyDescent="0.3">
      <c r="A349" s="546" t="s">
        <v>1173</v>
      </c>
      <c r="B349" s="547" t="s">
        <v>1062</v>
      </c>
      <c r="C349" s="547" t="s">
        <v>1048</v>
      </c>
      <c r="D349" s="547" t="s">
        <v>1092</v>
      </c>
      <c r="E349" s="547" t="s">
        <v>1091</v>
      </c>
      <c r="F349" s="567">
        <v>9</v>
      </c>
      <c r="G349" s="567">
        <v>702</v>
      </c>
      <c r="H349" s="567">
        <v>1</v>
      </c>
      <c r="I349" s="567">
        <v>78</v>
      </c>
      <c r="J349" s="567">
        <v>9</v>
      </c>
      <c r="K349" s="567">
        <v>702</v>
      </c>
      <c r="L349" s="567">
        <v>1</v>
      </c>
      <c r="M349" s="567">
        <v>78</v>
      </c>
      <c r="N349" s="567">
        <v>4</v>
      </c>
      <c r="O349" s="567">
        <v>312</v>
      </c>
      <c r="P349" s="552">
        <v>0.44444444444444442</v>
      </c>
      <c r="Q349" s="568">
        <v>78</v>
      </c>
    </row>
    <row r="350" spans="1:17" ht="14.4" customHeight="1" x14ac:dyDescent="0.3">
      <c r="A350" s="546" t="s">
        <v>1173</v>
      </c>
      <c r="B350" s="547" t="s">
        <v>1062</v>
      </c>
      <c r="C350" s="547" t="s">
        <v>1048</v>
      </c>
      <c r="D350" s="547" t="s">
        <v>1093</v>
      </c>
      <c r="E350" s="547" t="s">
        <v>1094</v>
      </c>
      <c r="F350" s="567">
        <v>1</v>
      </c>
      <c r="G350" s="567">
        <v>307</v>
      </c>
      <c r="H350" s="567"/>
      <c r="I350" s="567">
        <v>307</v>
      </c>
      <c r="J350" s="567"/>
      <c r="K350" s="567"/>
      <c r="L350" s="567"/>
      <c r="M350" s="567"/>
      <c r="N350" s="567"/>
      <c r="O350" s="567"/>
      <c r="P350" s="552"/>
      <c r="Q350" s="568"/>
    </row>
    <row r="351" spans="1:17" ht="14.4" customHeight="1" x14ac:dyDescent="0.3">
      <c r="A351" s="546" t="s">
        <v>1173</v>
      </c>
      <c r="B351" s="547" t="s">
        <v>1062</v>
      </c>
      <c r="C351" s="547" t="s">
        <v>1048</v>
      </c>
      <c r="D351" s="547" t="s">
        <v>1097</v>
      </c>
      <c r="E351" s="547" t="s">
        <v>1098</v>
      </c>
      <c r="F351" s="567">
        <v>3</v>
      </c>
      <c r="G351" s="567">
        <v>483</v>
      </c>
      <c r="H351" s="567">
        <v>0.59263803680981597</v>
      </c>
      <c r="I351" s="567">
        <v>161</v>
      </c>
      <c r="J351" s="567">
        <v>5</v>
      </c>
      <c r="K351" s="567">
        <v>815</v>
      </c>
      <c r="L351" s="567">
        <v>1</v>
      </c>
      <c r="M351" s="567">
        <v>163</v>
      </c>
      <c r="N351" s="567">
        <v>3</v>
      </c>
      <c r="O351" s="567">
        <v>489</v>
      </c>
      <c r="P351" s="552">
        <v>0.6</v>
      </c>
      <c r="Q351" s="568">
        <v>163</v>
      </c>
    </row>
    <row r="352" spans="1:17" ht="14.4" customHeight="1" x14ac:dyDescent="0.3">
      <c r="A352" s="546" t="s">
        <v>1173</v>
      </c>
      <c r="B352" s="547" t="s">
        <v>1062</v>
      </c>
      <c r="C352" s="547" t="s">
        <v>1048</v>
      </c>
      <c r="D352" s="547" t="s">
        <v>1101</v>
      </c>
      <c r="E352" s="547" t="s">
        <v>1067</v>
      </c>
      <c r="F352" s="567">
        <v>13</v>
      </c>
      <c r="G352" s="567">
        <v>923</v>
      </c>
      <c r="H352" s="567">
        <v>1.1654040404040404</v>
      </c>
      <c r="I352" s="567">
        <v>71</v>
      </c>
      <c r="J352" s="567">
        <v>11</v>
      </c>
      <c r="K352" s="567">
        <v>792</v>
      </c>
      <c r="L352" s="567">
        <v>1</v>
      </c>
      <c r="M352" s="567">
        <v>72</v>
      </c>
      <c r="N352" s="567">
        <v>8</v>
      </c>
      <c r="O352" s="567">
        <v>576</v>
      </c>
      <c r="P352" s="552">
        <v>0.72727272727272729</v>
      </c>
      <c r="Q352" s="568">
        <v>72</v>
      </c>
    </row>
    <row r="353" spans="1:17" ht="14.4" customHeight="1" x14ac:dyDescent="0.3">
      <c r="A353" s="546" t="s">
        <v>1173</v>
      </c>
      <c r="B353" s="547" t="s">
        <v>1062</v>
      </c>
      <c r="C353" s="547" t="s">
        <v>1048</v>
      </c>
      <c r="D353" s="547" t="s">
        <v>1106</v>
      </c>
      <c r="E353" s="547" t="s">
        <v>1107</v>
      </c>
      <c r="F353" s="567">
        <v>1</v>
      </c>
      <c r="G353" s="567">
        <v>220</v>
      </c>
      <c r="H353" s="567"/>
      <c r="I353" s="567">
        <v>220</v>
      </c>
      <c r="J353" s="567"/>
      <c r="K353" s="567"/>
      <c r="L353" s="567"/>
      <c r="M353" s="567"/>
      <c r="N353" s="567"/>
      <c r="O353" s="567"/>
      <c r="P353" s="552"/>
      <c r="Q353" s="568"/>
    </row>
    <row r="354" spans="1:17" ht="14.4" customHeight="1" x14ac:dyDescent="0.3">
      <c r="A354" s="546" t="s">
        <v>1173</v>
      </c>
      <c r="B354" s="547" t="s">
        <v>1062</v>
      </c>
      <c r="C354" s="547" t="s">
        <v>1048</v>
      </c>
      <c r="D354" s="547" t="s">
        <v>1108</v>
      </c>
      <c r="E354" s="547" t="s">
        <v>1109</v>
      </c>
      <c r="F354" s="567">
        <v>2</v>
      </c>
      <c r="G354" s="567">
        <v>2390</v>
      </c>
      <c r="H354" s="567">
        <v>0.98678777869529311</v>
      </c>
      <c r="I354" s="567">
        <v>1195</v>
      </c>
      <c r="J354" s="567">
        <v>2</v>
      </c>
      <c r="K354" s="567">
        <v>2422</v>
      </c>
      <c r="L354" s="567">
        <v>1</v>
      </c>
      <c r="M354" s="567">
        <v>1211</v>
      </c>
      <c r="N354" s="567"/>
      <c r="O354" s="567"/>
      <c r="P354" s="552"/>
      <c r="Q354" s="568"/>
    </row>
    <row r="355" spans="1:17" ht="14.4" customHeight="1" x14ac:dyDescent="0.3">
      <c r="A355" s="546" t="s">
        <v>1173</v>
      </c>
      <c r="B355" s="547" t="s">
        <v>1062</v>
      </c>
      <c r="C355" s="547" t="s">
        <v>1048</v>
      </c>
      <c r="D355" s="547" t="s">
        <v>1110</v>
      </c>
      <c r="E355" s="547" t="s">
        <v>1111</v>
      </c>
      <c r="F355" s="567">
        <v>3</v>
      </c>
      <c r="G355" s="567">
        <v>330</v>
      </c>
      <c r="H355" s="567">
        <v>2.8947368421052633</v>
      </c>
      <c r="I355" s="567">
        <v>110</v>
      </c>
      <c r="J355" s="567">
        <v>1</v>
      </c>
      <c r="K355" s="567">
        <v>114</v>
      </c>
      <c r="L355" s="567">
        <v>1</v>
      </c>
      <c r="M355" s="567">
        <v>114</v>
      </c>
      <c r="N355" s="567"/>
      <c r="O355" s="567"/>
      <c r="P355" s="552"/>
      <c r="Q355" s="568"/>
    </row>
    <row r="356" spans="1:17" ht="14.4" customHeight="1" x14ac:dyDescent="0.3">
      <c r="A356" s="546" t="s">
        <v>1173</v>
      </c>
      <c r="B356" s="547" t="s">
        <v>1062</v>
      </c>
      <c r="C356" s="547" t="s">
        <v>1048</v>
      </c>
      <c r="D356" s="547" t="s">
        <v>1112</v>
      </c>
      <c r="E356" s="547" t="s">
        <v>1113</v>
      </c>
      <c r="F356" s="567">
        <v>1</v>
      </c>
      <c r="G356" s="567">
        <v>323</v>
      </c>
      <c r="H356" s="567"/>
      <c r="I356" s="567">
        <v>323</v>
      </c>
      <c r="J356" s="567"/>
      <c r="K356" s="567"/>
      <c r="L356" s="567"/>
      <c r="M356" s="567"/>
      <c r="N356" s="567"/>
      <c r="O356" s="567"/>
      <c r="P356" s="552"/>
      <c r="Q356" s="568"/>
    </row>
    <row r="357" spans="1:17" ht="14.4" customHeight="1" x14ac:dyDescent="0.3">
      <c r="A357" s="546" t="s">
        <v>1173</v>
      </c>
      <c r="B357" s="547" t="s">
        <v>1062</v>
      </c>
      <c r="C357" s="547" t="s">
        <v>1048</v>
      </c>
      <c r="D357" s="547" t="s">
        <v>1118</v>
      </c>
      <c r="E357" s="547" t="s">
        <v>1119</v>
      </c>
      <c r="F357" s="567">
        <v>1</v>
      </c>
      <c r="G357" s="567">
        <v>1033</v>
      </c>
      <c r="H357" s="567"/>
      <c r="I357" s="567">
        <v>1033</v>
      </c>
      <c r="J357" s="567"/>
      <c r="K357" s="567"/>
      <c r="L357" s="567"/>
      <c r="M357" s="567"/>
      <c r="N357" s="567"/>
      <c r="O357" s="567"/>
      <c r="P357" s="552"/>
      <c r="Q357" s="568"/>
    </row>
    <row r="358" spans="1:17" ht="14.4" customHeight="1" x14ac:dyDescent="0.3">
      <c r="A358" s="546" t="s">
        <v>1173</v>
      </c>
      <c r="B358" s="547" t="s">
        <v>1062</v>
      </c>
      <c r="C358" s="547" t="s">
        <v>1048</v>
      </c>
      <c r="D358" s="547" t="s">
        <v>1120</v>
      </c>
      <c r="E358" s="547" t="s">
        <v>1121</v>
      </c>
      <c r="F358" s="567">
        <v>1</v>
      </c>
      <c r="G358" s="567">
        <v>294</v>
      </c>
      <c r="H358" s="567"/>
      <c r="I358" s="567">
        <v>294</v>
      </c>
      <c r="J358" s="567"/>
      <c r="K358" s="567"/>
      <c r="L358" s="567"/>
      <c r="M358" s="567"/>
      <c r="N358" s="567"/>
      <c r="O358" s="567"/>
      <c r="P358" s="552"/>
      <c r="Q358" s="568"/>
    </row>
    <row r="359" spans="1:17" ht="14.4" customHeight="1" x14ac:dyDescent="0.3">
      <c r="A359" s="546" t="s">
        <v>1174</v>
      </c>
      <c r="B359" s="547" t="s">
        <v>1062</v>
      </c>
      <c r="C359" s="547" t="s">
        <v>1048</v>
      </c>
      <c r="D359" s="547" t="s">
        <v>1066</v>
      </c>
      <c r="E359" s="547" t="s">
        <v>1067</v>
      </c>
      <c r="F359" s="567">
        <v>119</v>
      </c>
      <c r="G359" s="567">
        <v>24514</v>
      </c>
      <c r="H359" s="567">
        <v>0.86701563273678994</v>
      </c>
      <c r="I359" s="567">
        <v>206</v>
      </c>
      <c r="J359" s="567">
        <v>134</v>
      </c>
      <c r="K359" s="567">
        <v>28274</v>
      </c>
      <c r="L359" s="567">
        <v>1</v>
      </c>
      <c r="M359" s="567">
        <v>211</v>
      </c>
      <c r="N359" s="567">
        <v>128</v>
      </c>
      <c r="O359" s="567">
        <v>27008</v>
      </c>
      <c r="P359" s="552">
        <v>0.95522388059701491</v>
      </c>
      <c r="Q359" s="568">
        <v>211</v>
      </c>
    </row>
    <row r="360" spans="1:17" ht="14.4" customHeight="1" x14ac:dyDescent="0.3">
      <c r="A360" s="546" t="s">
        <v>1174</v>
      </c>
      <c r="B360" s="547" t="s">
        <v>1062</v>
      </c>
      <c r="C360" s="547" t="s">
        <v>1048</v>
      </c>
      <c r="D360" s="547" t="s">
        <v>1069</v>
      </c>
      <c r="E360" s="547" t="s">
        <v>1070</v>
      </c>
      <c r="F360" s="567">
        <v>17</v>
      </c>
      <c r="G360" s="567">
        <v>5015</v>
      </c>
      <c r="H360" s="567">
        <v>0.79338712229077679</v>
      </c>
      <c r="I360" s="567">
        <v>295</v>
      </c>
      <c r="J360" s="567">
        <v>21</v>
      </c>
      <c r="K360" s="567">
        <v>6321</v>
      </c>
      <c r="L360" s="567">
        <v>1</v>
      </c>
      <c r="M360" s="567">
        <v>301</v>
      </c>
      <c r="N360" s="567">
        <v>35</v>
      </c>
      <c r="O360" s="567">
        <v>10535</v>
      </c>
      <c r="P360" s="552">
        <v>1.6666666666666667</v>
      </c>
      <c r="Q360" s="568">
        <v>301</v>
      </c>
    </row>
    <row r="361" spans="1:17" ht="14.4" customHeight="1" x14ac:dyDescent="0.3">
      <c r="A361" s="546" t="s">
        <v>1174</v>
      </c>
      <c r="B361" s="547" t="s">
        <v>1062</v>
      </c>
      <c r="C361" s="547" t="s">
        <v>1048</v>
      </c>
      <c r="D361" s="547" t="s">
        <v>1075</v>
      </c>
      <c r="E361" s="547" t="s">
        <v>1076</v>
      </c>
      <c r="F361" s="567">
        <v>4</v>
      </c>
      <c r="G361" s="567">
        <v>540</v>
      </c>
      <c r="H361" s="567">
        <v>0.56308654848800832</v>
      </c>
      <c r="I361" s="567">
        <v>135</v>
      </c>
      <c r="J361" s="567">
        <v>7</v>
      </c>
      <c r="K361" s="567">
        <v>959</v>
      </c>
      <c r="L361" s="567">
        <v>1</v>
      </c>
      <c r="M361" s="567">
        <v>137</v>
      </c>
      <c r="N361" s="567">
        <v>7</v>
      </c>
      <c r="O361" s="567">
        <v>959</v>
      </c>
      <c r="P361" s="552">
        <v>1</v>
      </c>
      <c r="Q361" s="568">
        <v>137</v>
      </c>
    </row>
    <row r="362" spans="1:17" ht="14.4" customHeight="1" x14ac:dyDescent="0.3">
      <c r="A362" s="546" t="s">
        <v>1174</v>
      </c>
      <c r="B362" s="547" t="s">
        <v>1062</v>
      </c>
      <c r="C362" s="547" t="s">
        <v>1048</v>
      </c>
      <c r="D362" s="547" t="s">
        <v>1082</v>
      </c>
      <c r="E362" s="547" t="s">
        <v>1083</v>
      </c>
      <c r="F362" s="567">
        <v>1</v>
      </c>
      <c r="G362" s="567">
        <v>161</v>
      </c>
      <c r="H362" s="567">
        <v>0.93063583815028905</v>
      </c>
      <c r="I362" s="567">
        <v>161</v>
      </c>
      <c r="J362" s="567">
        <v>1</v>
      </c>
      <c r="K362" s="567">
        <v>173</v>
      </c>
      <c r="L362" s="567">
        <v>1</v>
      </c>
      <c r="M362" s="567">
        <v>173</v>
      </c>
      <c r="N362" s="567">
        <v>3</v>
      </c>
      <c r="O362" s="567">
        <v>519</v>
      </c>
      <c r="P362" s="552">
        <v>3</v>
      </c>
      <c r="Q362" s="568">
        <v>173</v>
      </c>
    </row>
    <row r="363" spans="1:17" ht="14.4" customHeight="1" x14ac:dyDescent="0.3">
      <c r="A363" s="546" t="s">
        <v>1174</v>
      </c>
      <c r="B363" s="547" t="s">
        <v>1062</v>
      </c>
      <c r="C363" s="547" t="s">
        <v>1048</v>
      </c>
      <c r="D363" s="547" t="s">
        <v>1086</v>
      </c>
      <c r="E363" s="547" t="s">
        <v>1087</v>
      </c>
      <c r="F363" s="567">
        <v>51</v>
      </c>
      <c r="G363" s="567">
        <v>816</v>
      </c>
      <c r="H363" s="567">
        <v>0.92307692307692313</v>
      </c>
      <c r="I363" s="567">
        <v>16</v>
      </c>
      <c r="J363" s="567">
        <v>52</v>
      </c>
      <c r="K363" s="567">
        <v>884</v>
      </c>
      <c r="L363" s="567">
        <v>1</v>
      </c>
      <c r="M363" s="567">
        <v>17</v>
      </c>
      <c r="N363" s="567"/>
      <c r="O363" s="567"/>
      <c r="P363" s="552"/>
      <c r="Q363" s="568"/>
    </row>
    <row r="364" spans="1:17" ht="14.4" customHeight="1" x14ac:dyDescent="0.3">
      <c r="A364" s="546" t="s">
        <v>1174</v>
      </c>
      <c r="B364" s="547" t="s">
        <v>1062</v>
      </c>
      <c r="C364" s="547" t="s">
        <v>1048</v>
      </c>
      <c r="D364" s="547" t="s">
        <v>1088</v>
      </c>
      <c r="E364" s="547" t="s">
        <v>1089</v>
      </c>
      <c r="F364" s="567">
        <v>37</v>
      </c>
      <c r="G364" s="567">
        <v>9842</v>
      </c>
      <c r="H364" s="567">
        <v>1.0603318250377074</v>
      </c>
      <c r="I364" s="567">
        <v>266</v>
      </c>
      <c r="J364" s="567">
        <v>34</v>
      </c>
      <c r="K364" s="567">
        <v>9282</v>
      </c>
      <c r="L364" s="567">
        <v>1</v>
      </c>
      <c r="M364" s="567">
        <v>273</v>
      </c>
      <c r="N364" s="567"/>
      <c r="O364" s="567"/>
      <c r="P364" s="552"/>
      <c r="Q364" s="568"/>
    </row>
    <row r="365" spans="1:17" ht="14.4" customHeight="1" x14ac:dyDescent="0.3">
      <c r="A365" s="546" t="s">
        <v>1174</v>
      </c>
      <c r="B365" s="547" t="s">
        <v>1062</v>
      </c>
      <c r="C365" s="547" t="s">
        <v>1048</v>
      </c>
      <c r="D365" s="547" t="s">
        <v>1090</v>
      </c>
      <c r="E365" s="547" t="s">
        <v>1091</v>
      </c>
      <c r="F365" s="567">
        <v>46</v>
      </c>
      <c r="G365" s="567">
        <v>6486</v>
      </c>
      <c r="H365" s="567">
        <v>1.0380921895006403</v>
      </c>
      <c r="I365" s="567">
        <v>141</v>
      </c>
      <c r="J365" s="567">
        <v>44</v>
      </c>
      <c r="K365" s="567">
        <v>6248</v>
      </c>
      <c r="L365" s="567">
        <v>1</v>
      </c>
      <c r="M365" s="567">
        <v>142</v>
      </c>
      <c r="N365" s="567">
        <v>49</v>
      </c>
      <c r="O365" s="567">
        <v>6958</v>
      </c>
      <c r="P365" s="552">
        <v>1.1136363636363635</v>
      </c>
      <c r="Q365" s="568">
        <v>142</v>
      </c>
    </row>
    <row r="366" spans="1:17" ht="14.4" customHeight="1" x14ac:dyDescent="0.3">
      <c r="A366" s="546" t="s">
        <v>1174</v>
      </c>
      <c r="B366" s="547" t="s">
        <v>1062</v>
      </c>
      <c r="C366" s="547" t="s">
        <v>1048</v>
      </c>
      <c r="D366" s="547" t="s">
        <v>1092</v>
      </c>
      <c r="E366" s="547" t="s">
        <v>1091</v>
      </c>
      <c r="F366" s="567">
        <v>4</v>
      </c>
      <c r="G366" s="567">
        <v>312</v>
      </c>
      <c r="H366" s="567">
        <v>0.5714285714285714</v>
      </c>
      <c r="I366" s="567">
        <v>78</v>
      </c>
      <c r="J366" s="567">
        <v>7</v>
      </c>
      <c r="K366" s="567">
        <v>546</v>
      </c>
      <c r="L366" s="567">
        <v>1</v>
      </c>
      <c r="M366" s="567">
        <v>78</v>
      </c>
      <c r="N366" s="567">
        <v>7</v>
      </c>
      <c r="O366" s="567">
        <v>546</v>
      </c>
      <c r="P366" s="552">
        <v>1</v>
      </c>
      <c r="Q366" s="568">
        <v>78</v>
      </c>
    </row>
    <row r="367" spans="1:17" ht="14.4" customHeight="1" x14ac:dyDescent="0.3">
      <c r="A367" s="546" t="s">
        <v>1174</v>
      </c>
      <c r="B367" s="547" t="s">
        <v>1062</v>
      </c>
      <c r="C367" s="547" t="s">
        <v>1048</v>
      </c>
      <c r="D367" s="547" t="s">
        <v>1093</v>
      </c>
      <c r="E367" s="547" t="s">
        <v>1094</v>
      </c>
      <c r="F367" s="567">
        <v>46</v>
      </c>
      <c r="G367" s="567">
        <v>14122</v>
      </c>
      <c r="H367" s="567">
        <v>1.0254138832413593</v>
      </c>
      <c r="I367" s="567">
        <v>307</v>
      </c>
      <c r="J367" s="567">
        <v>44</v>
      </c>
      <c r="K367" s="567">
        <v>13772</v>
      </c>
      <c r="L367" s="567">
        <v>1</v>
      </c>
      <c r="M367" s="567">
        <v>313</v>
      </c>
      <c r="N367" s="567">
        <v>48</v>
      </c>
      <c r="O367" s="567">
        <v>15072</v>
      </c>
      <c r="P367" s="552">
        <v>1.0943944234679059</v>
      </c>
      <c r="Q367" s="568">
        <v>314</v>
      </c>
    </row>
    <row r="368" spans="1:17" ht="14.4" customHeight="1" x14ac:dyDescent="0.3">
      <c r="A368" s="546" t="s">
        <v>1174</v>
      </c>
      <c r="B368" s="547" t="s">
        <v>1062</v>
      </c>
      <c r="C368" s="547" t="s">
        <v>1048</v>
      </c>
      <c r="D368" s="547" t="s">
        <v>1097</v>
      </c>
      <c r="E368" s="547" t="s">
        <v>1098</v>
      </c>
      <c r="F368" s="567">
        <v>4</v>
      </c>
      <c r="G368" s="567">
        <v>644</v>
      </c>
      <c r="H368" s="567">
        <v>1.3169734151329244</v>
      </c>
      <c r="I368" s="567">
        <v>161</v>
      </c>
      <c r="J368" s="567">
        <v>3</v>
      </c>
      <c r="K368" s="567">
        <v>489</v>
      </c>
      <c r="L368" s="567">
        <v>1</v>
      </c>
      <c r="M368" s="567">
        <v>163</v>
      </c>
      <c r="N368" s="567">
        <v>46</v>
      </c>
      <c r="O368" s="567">
        <v>7498</v>
      </c>
      <c r="P368" s="552">
        <v>15.333333333333334</v>
      </c>
      <c r="Q368" s="568">
        <v>163</v>
      </c>
    </row>
    <row r="369" spans="1:17" ht="14.4" customHeight="1" x14ac:dyDescent="0.3">
      <c r="A369" s="546" t="s">
        <v>1174</v>
      </c>
      <c r="B369" s="547" t="s">
        <v>1062</v>
      </c>
      <c r="C369" s="547" t="s">
        <v>1048</v>
      </c>
      <c r="D369" s="547" t="s">
        <v>1101</v>
      </c>
      <c r="E369" s="547" t="s">
        <v>1067</v>
      </c>
      <c r="F369" s="567">
        <v>24</v>
      </c>
      <c r="G369" s="567">
        <v>1704</v>
      </c>
      <c r="H369" s="567">
        <v>1.0289855072463767</v>
      </c>
      <c r="I369" s="567">
        <v>71</v>
      </c>
      <c r="J369" s="567">
        <v>23</v>
      </c>
      <c r="K369" s="567">
        <v>1656</v>
      </c>
      <c r="L369" s="567">
        <v>1</v>
      </c>
      <c r="M369" s="567">
        <v>72</v>
      </c>
      <c r="N369" s="567">
        <v>23</v>
      </c>
      <c r="O369" s="567">
        <v>1656</v>
      </c>
      <c r="P369" s="552">
        <v>1</v>
      </c>
      <c r="Q369" s="568">
        <v>72</v>
      </c>
    </row>
    <row r="370" spans="1:17" ht="14.4" customHeight="1" x14ac:dyDescent="0.3">
      <c r="A370" s="546" t="s">
        <v>1174</v>
      </c>
      <c r="B370" s="547" t="s">
        <v>1062</v>
      </c>
      <c r="C370" s="547" t="s">
        <v>1048</v>
      </c>
      <c r="D370" s="547" t="s">
        <v>1108</v>
      </c>
      <c r="E370" s="547" t="s">
        <v>1109</v>
      </c>
      <c r="F370" s="567">
        <v>1</v>
      </c>
      <c r="G370" s="567">
        <v>1195</v>
      </c>
      <c r="H370" s="567"/>
      <c r="I370" s="567">
        <v>1195</v>
      </c>
      <c r="J370" s="567"/>
      <c r="K370" s="567"/>
      <c r="L370" s="567"/>
      <c r="M370" s="567"/>
      <c r="N370" s="567">
        <v>2</v>
      </c>
      <c r="O370" s="567">
        <v>2422</v>
      </c>
      <c r="P370" s="552"/>
      <c r="Q370" s="568">
        <v>1211</v>
      </c>
    </row>
    <row r="371" spans="1:17" ht="14.4" customHeight="1" x14ac:dyDescent="0.3">
      <c r="A371" s="546" t="s">
        <v>1174</v>
      </c>
      <c r="B371" s="547" t="s">
        <v>1062</v>
      </c>
      <c r="C371" s="547" t="s">
        <v>1048</v>
      </c>
      <c r="D371" s="547" t="s">
        <v>1110</v>
      </c>
      <c r="E371" s="547" t="s">
        <v>1111</v>
      </c>
      <c r="F371" s="567">
        <v>1</v>
      </c>
      <c r="G371" s="567">
        <v>110</v>
      </c>
      <c r="H371" s="567"/>
      <c r="I371" s="567">
        <v>110</v>
      </c>
      <c r="J371" s="567"/>
      <c r="K371" s="567"/>
      <c r="L371" s="567"/>
      <c r="M371" s="567"/>
      <c r="N371" s="567">
        <v>3</v>
      </c>
      <c r="O371" s="567">
        <v>342</v>
      </c>
      <c r="P371" s="552"/>
      <c r="Q371" s="568">
        <v>114</v>
      </c>
    </row>
    <row r="372" spans="1:17" ht="14.4" customHeight="1" x14ac:dyDescent="0.3">
      <c r="A372" s="546" t="s">
        <v>1175</v>
      </c>
      <c r="B372" s="547" t="s">
        <v>1062</v>
      </c>
      <c r="C372" s="547" t="s">
        <v>1048</v>
      </c>
      <c r="D372" s="547" t="s">
        <v>1066</v>
      </c>
      <c r="E372" s="547" t="s">
        <v>1067</v>
      </c>
      <c r="F372" s="567">
        <v>56</v>
      </c>
      <c r="G372" s="567">
        <v>11536</v>
      </c>
      <c r="H372" s="567">
        <v>1.7085308056872037</v>
      </c>
      <c r="I372" s="567">
        <v>206</v>
      </c>
      <c r="J372" s="567">
        <v>32</v>
      </c>
      <c r="K372" s="567">
        <v>6752</v>
      </c>
      <c r="L372" s="567">
        <v>1</v>
      </c>
      <c r="M372" s="567">
        <v>211</v>
      </c>
      <c r="N372" s="567">
        <v>28</v>
      </c>
      <c r="O372" s="567">
        <v>5908</v>
      </c>
      <c r="P372" s="552">
        <v>0.875</v>
      </c>
      <c r="Q372" s="568">
        <v>211</v>
      </c>
    </row>
    <row r="373" spans="1:17" ht="14.4" customHeight="1" x14ac:dyDescent="0.3">
      <c r="A373" s="546" t="s">
        <v>1175</v>
      </c>
      <c r="B373" s="547" t="s">
        <v>1062</v>
      </c>
      <c r="C373" s="547" t="s">
        <v>1048</v>
      </c>
      <c r="D373" s="547" t="s">
        <v>1068</v>
      </c>
      <c r="E373" s="547" t="s">
        <v>1067</v>
      </c>
      <c r="F373" s="567">
        <v>21</v>
      </c>
      <c r="G373" s="567">
        <v>1785</v>
      </c>
      <c r="H373" s="567">
        <v>0.97701149425287359</v>
      </c>
      <c r="I373" s="567">
        <v>85</v>
      </c>
      <c r="J373" s="567">
        <v>21</v>
      </c>
      <c r="K373" s="567">
        <v>1827</v>
      </c>
      <c r="L373" s="567">
        <v>1</v>
      </c>
      <c r="M373" s="567">
        <v>87</v>
      </c>
      <c r="N373" s="567">
        <v>22</v>
      </c>
      <c r="O373" s="567">
        <v>1914</v>
      </c>
      <c r="P373" s="552">
        <v>1.0476190476190477</v>
      </c>
      <c r="Q373" s="568">
        <v>87</v>
      </c>
    </row>
    <row r="374" spans="1:17" ht="14.4" customHeight="1" x14ac:dyDescent="0.3">
      <c r="A374" s="546" t="s">
        <v>1175</v>
      </c>
      <c r="B374" s="547" t="s">
        <v>1062</v>
      </c>
      <c r="C374" s="547" t="s">
        <v>1048</v>
      </c>
      <c r="D374" s="547" t="s">
        <v>1069</v>
      </c>
      <c r="E374" s="547" t="s">
        <v>1070</v>
      </c>
      <c r="F374" s="567">
        <v>658</v>
      </c>
      <c r="G374" s="567">
        <v>194110</v>
      </c>
      <c r="H374" s="567">
        <v>0.80109778997544412</v>
      </c>
      <c r="I374" s="567">
        <v>295</v>
      </c>
      <c r="J374" s="567">
        <v>805</v>
      </c>
      <c r="K374" s="567">
        <v>242305</v>
      </c>
      <c r="L374" s="567">
        <v>1</v>
      </c>
      <c r="M374" s="567">
        <v>301</v>
      </c>
      <c r="N374" s="567">
        <v>531</v>
      </c>
      <c r="O374" s="567">
        <v>159831</v>
      </c>
      <c r="P374" s="552">
        <v>0.65962732919254663</v>
      </c>
      <c r="Q374" s="568">
        <v>301</v>
      </c>
    </row>
    <row r="375" spans="1:17" ht="14.4" customHeight="1" x14ac:dyDescent="0.3">
      <c r="A375" s="546" t="s">
        <v>1175</v>
      </c>
      <c r="B375" s="547" t="s">
        <v>1062</v>
      </c>
      <c r="C375" s="547" t="s">
        <v>1048</v>
      </c>
      <c r="D375" s="547" t="s">
        <v>1071</v>
      </c>
      <c r="E375" s="547" t="s">
        <v>1072</v>
      </c>
      <c r="F375" s="567">
        <v>22</v>
      </c>
      <c r="G375" s="567">
        <v>2090</v>
      </c>
      <c r="H375" s="567">
        <v>1.4074074074074074</v>
      </c>
      <c r="I375" s="567">
        <v>95</v>
      </c>
      <c r="J375" s="567">
        <v>15</v>
      </c>
      <c r="K375" s="567">
        <v>1485</v>
      </c>
      <c r="L375" s="567">
        <v>1</v>
      </c>
      <c r="M375" s="567">
        <v>99</v>
      </c>
      <c r="N375" s="567">
        <v>27</v>
      </c>
      <c r="O375" s="567">
        <v>2673</v>
      </c>
      <c r="P375" s="552">
        <v>1.8</v>
      </c>
      <c r="Q375" s="568">
        <v>99</v>
      </c>
    </row>
    <row r="376" spans="1:17" ht="14.4" customHeight="1" x14ac:dyDescent="0.3">
      <c r="A376" s="546" t="s">
        <v>1175</v>
      </c>
      <c r="B376" s="547" t="s">
        <v>1062</v>
      </c>
      <c r="C376" s="547" t="s">
        <v>1048</v>
      </c>
      <c r="D376" s="547" t="s">
        <v>1073</v>
      </c>
      <c r="E376" s="547" t="s">
        <v>1074</v>
      </c>
      <c r="F376" s="567">
        <v>2</v>
      </c>
      <c r="G376" s="567">
        <v>448</v>
      </c>
      <c r="H376" s="567"/>
      <c r="I376" s="567">
        <v>224</v>
      </c>
      <c r="J376" s="567"/>
      <c r="K376" s="567"/>
      <c r="L376" s="567"/>
      <c r="M376" s="567"/>
      <c r="N376" s="567">
        <v>2</v>
      </c>
      <c r="O376" s="567">
        <v>464</v>
      </c>
      <c r="P376" s="552"/>
      <c r="Q376" s="568">
        <v>232</v>
      </c>
    </row>
    <row r="377" spans="1:17" ht="14.4" customHeight="1" x14ac:dyDescent="0.3">
      <c r="A377" s="546" t="s">
        <v>1175</v>
      </c>
      <c r="B377" s="547" t="s">
        <v>1062</v>
      </c>
      <c r="C377" s="547" t="s">
        <v>1048</v>
      </c>
      <c r="D377" s="547" t="s">
        <v>1075</v>
      </c>
      <c r="E377" s="547" t="s">
        <v>1076</v>
      </c>
      <c r="F377" s="567">
        <v>181</v>
      </c>
      <c r="G377" s="567">
        <v>24435</v>
      </c>
      <c r="H377" s="567">
        <v>0.83735992597923303</v>
      </c>
      <c r="I377" s="567">
        <v>135</v>
      </c>
      <c r="J377" s="567">
        <v>213</v>
      </c>
      <c r="K377" s="567">
        <v>29181</v>
      </c>
      <c r="L377" s="567">
        <v>1</v>
      </c>
      <c r="M377" s="567">
        <v>137</v>
      </c>
      <c r="N377" s="567">
        <v>166</v>
      </c>
      <c r="O377" s="567">
        <v>22742</v>
      </c>
      <c r="P377" s="552">
        <v>0.77934272300469487</v>
      </c>
      <c r="Q377" s="568">
        <v>137</v>
      </c>
    </row>
    <row r="378" spans="1:17" ht="14.4" customHeight="1" x14ac:dyDescent="0.3">
      <c r="A378" s="546" t="s">
        <v>1175</v>
      </c>
      <c r="B378" s="547" t="s">
        <v>1062</v>
      </c>
      <c r="C378" s="547" t="s">
        <v>1048</v>
      </c>
      <c r="D378" s="547" t="s">
        <v>1077</v>
      </c>
      <c r="E378" s="547" t="s">
        <v>1076</v>
      </c>
      <c r="F378" s="567">
        <v>21</v>
      </c>
      <c r="G378" s="567">
        <v>3738</v>
      </c>
      <c r="H378" s="567">
        <v>1.0750647109577223</v>
      </c>
      <c r="I378" s="567">
        <v>178</v>
      </c>
      <c r="J378" s="567">
        <v>19</v>
      </c>
      <c r="K378" s="567">
        <v>3477</v>
      </c>
      <c r="L378" s="567">
        <v>1</v>
      </c>
      <c r="M378" s="567">
        <v>183</v>
      </c>
      <c r="N378" s="567">
        <v>23</v>
      </c>
      <c r="O378" s="567">
        <v>4209</v>
      </c>
      <c r="P378" s="552">
        <v>1.2105263157894737</v>
      </c>
      <c r="Q378" s="568">
        <v>183</v>
      </c>
    </row>
    <row r="379" spans="1:17" ht="14.4" customHeight="1" x14ac:dyDescent="0.3">
      <c r="A379" s="546" t="s">
        <v>1175</v>
      </c>
      <c r="B379" s="547" t="s">
        <v>1062</v>
      </c>
      <c r="C379" s="547" t="s">
        <v>1048</v>
      </c>
      <c r="D379" s="547" t="s">
        <v>1078</v>
      </c>
      <c r="E379" s="547" t="s">
        <v>1079</v>
      </c>
      <c r="F379" s="567">
        <v>4</v>
      </c>
      <c r="G379" s="567">
        <v>2480</v>
      </c>
      <c r="H379" s="567"/>
      <c r="I379" s="567">
        <v>620</v>
      </c>
      <c r="J379" s="567"/>
      <c r="K379" s="567"/>
      <c r="L379" s="567"/>
      <c r="M379" s="567"/>
      <c r="N379" s="567">
        <v>1</v>
      </c>
      <c r="O379" s="567">
        <v>639</v>
      </c>
      <c r="P379" s="552"/>
      <c r="Q379" s="568">
        <v>639</v>
      </c>
    </row>
    <row r="380" spans="1:17" ht="14.4" customHeight="1" x14ac:dyDescent="0.3">
      <c r="A380" s="546" t="s">
        <v>1175</v>
      </c>
      <c r="B380" s="547" t="s">
        <v>1062</v>
      </c>
      <c r="C380" s="547" t="s">
        <v>1048</v>
      </c>
      <c r="D380" s="547" t="s">
        <v>1080</v>
      </c>
      <c r="E380" s="547" t="s">
        <v>1081</v>
      </c>
      <c r="F380" s="567">
        <v>5</v>
      </c>
      <c r="G380" s="567">
        <v>2965</v>
      </c>
      <c r="H380" s="567">
        <v>2.4383223684210527</v>
      </c>
      <c r="I380" s="567">
        <v>593</v>
      </c>
      <c r="J380" s="567">
        <v>2</v>
      </c>
      <c r="K380" s="567">
        <v>1216</v>
      </c>
      <c r="L380" s="567">
        <v>1</v>
      </c>
      <c r="M380" s="567">
        <v>608</v>
      </c>
      <c r="N380" s="567">
        <v>4</v>
      </c>
      <c r="O380" s="567">
        <v>2432</v>
      </c>
      <c r="P380" s="552">
        <v>2</v>
      </c>
      <c r="Q380" s="568">
        <v>608</v>
      </c>
    </row>
    <row r="381" spans="1:17" ht="14.4" customHeight="1" x14ac:dyDescent="0.3">
      <c r="A381" s="546" t="s">
        <v>1175</v>
      </c>
      <c r="B381" s="547" t="s">
        <v>1062</v>
      </c>
      <c r="C381" s="547" t="s">
        <v>1048</v>
      </c>
      <c r="D381" s="547" t="s">
        <v>1082</v>
      </c>
      <c r="E381" s="547" t="s">
        <v>1083</v>
      </c>
      <c r="F381" s="567">
        <v>39</v>
      </c>
      <c r="G381" s="567">
        <v>6279</v>
      </c>
      <c r="H381" s="567">
        <v>1.0369942196531792</v>
      </c>
      <c r="I381" s="567">
        <v>161</v>
      </c>
      <c r="J381" s="567">
        <v>35</v>
      </c>
      <c r="K381" s="567">
        <v>6055</v>
      </c>
      <c r="L381" s="567">
        <v>1</v>
      </c>
      <c r="M381" s="567">
        <v>173</v>
      </c>
      <c r="N381" s="567">
        <v>41</v>
      </c>
      <c r="O381" s="567">
        <v>7093</v>
      </c>
      <c r="P381" s="552">
        <v>1.1714285714285715</v>
      </c>
      <c r="Q381" s="568">
        <v>173</v>
      </c>
    </row>
    <row r="382" spans="1:17" ht="14.4" customHeight="1" x14ac:dyDescent="0.3">
      <c r="A382" s="546" t="s">
        <v>1175</v>
      </c>
      <c r="B382" s="547" t="s">
        <v>1062</v>
      </c>
      <c r="C382" s="547" t="s">
        <v>1048</v>
      </c>
      <c r="D382" s="547" t="s">
        <v>1084</v>
      </c>
      <c r="E382" s="547" t="s">
        <v>1085</v>
      </c>
      <c r="F382" s="567">
        <v>6</v>
      </c>
      <c r="G382" s="567">
        <v>2298</v>
      </c>
      <c r="H382" s="567">
        <v>0.66493055555555558</v>
      </c>
      <c r="I382" s="567">
        <v>383</v>
      </c>
      <c r="J382" s="567">
        <v>9</v>
      </c>
      <c r="K382" s="567">
        <v>3456</v>
      </c>
      <c r="L382" s="567">
        <v>1</v>
      </c>
      <c r="M382" s="567">
        <v>384</v>
      </c>
      <c r="N382" s="567">
        <v>24</v>
      </c>
      <c r="O382" s="567">
        <v>8328</v>
      </c>
      <c r="P382" s="552">
        <v>2.4097222222222223</v>
      </c>
      <c r="Q382" s="568">
        <v>347</v>
      </c>
    </row>
    <row r="383" spans="1:17" ht="14.4" customHeight="1" x14ac:dyDescent="0.3">
      <c r="A383" s="546" t="s">
        <v>1175</v>
      </c>
      <c r="B383" s="547" t="s">
        <v>1062</v>
      </c>
      <c r="C383" s="547" t="s">
        <v>1048</v>
      </c>
      <c r="D383" s="547" t="s">
        <v>1086</v>
      </c>
      <c r="E383" s="547" t="s">
        <v>1087</v>
      </c>
      <c r="F383" s="567">
        <v>256</v>
      </c>
      <c r="G383" s="567">
        <v>4096</v>
      </c>
      <c r="H383" s="567">
        <v>0.87934735938170894</v>
      </c>
      <c r="I383" s="567">
        <v>16</v>
      </c>
      <c r="J383" s="567">
        <v>274</v>
      </c>
      <c r="K383" s="567">
        <v>4658</v>
      </c>
      <c r="L383" s="567">
        <v>1</v>
      </c>
      <c r="M383" s="567">
        <v>17</v>
      </c>
      <c r="N383" s="567">
        <v>74</v>
      </c>
      <c r="O383" s="567">
        <v>1258</v>
      </c>
      <c r="P383" s="552">
        <v>0.27007299270072993</v>
      </c>
      <c r="Q383" s="568">
        <v>17</v>
      </c>
    </row>
    <row r="384" spans="1:17" ht="14.4" customHeight="1" x14ac:dyDescent="0.3">
      <c r="A384" s="546" t="s">
        <v>1175</v>
      </c>
      <c r="B384" s="547" t="s">
        <v>1062</v>
      </c>
      <c r="C384" s="547" t="s">
        <v>1048</v>
      </c>
      <c r="D384" s="547" t="s">
        <v>1088</v>
      </c>
      <c r="E384" s="547" t="s">
        <v>1089</v>
      </c>
      <c r="F384" s="567">
        <v>18</v>
      </c>
      <c r="G384" s="567">
        <v>4788</v>
      </c>
      <c r="H384" s="567">
        <v>2.9230769230769229</v>
      </c>
      <c r="I384" s="567">
        <v>266</v>
      </c>
      <c r="J384" s="567">
        <v>6</v>
      </c>
      <c r="K384" s="567">
        <v>1638</v>
      </c>
      <c r="L384" s="567">
        <v>1</v>
      </c>
      <c r="M384" s="567">
        <v>273</v>
      </c>
      <c r="N384" s="567"/>
      <c r="O384" s="567"/>
      <c r="P384" s="552"/>
      <c r="Q384" s="568"/>
    </row>
    <row r="385" spans="1:17" ht="14.4" customHeight="1" x14ac:dyDescent="0.3">
      <c r="A385" s="546" t="s">
        <v>1175</v>
      </c>
      <c r="B385" s="547" t="s">
        <v>1062</v>
      </c>
      <c r="C385" s="547" t="s">
        <v>1048</v>
      </c>
      <c r="D385" s="547" t="s">
        <v>1090</v>
      </c>
      <c r="E385" s="547" t="s">
        <v>1091</v>
      </c>
      <c r="F385" s="567">
        <v>22</v>
      </c>
      <c r="G385" s="567">
        <v>3102</v>
      </c>
      <c r="H385" s="567">
        <v>0.99295774647887325</v>
      </c>
      <c r="I385" s="567">
        <v>141</v>
      </c>
      <c r="J385" s="567">
        <v>22</v>
      </c>
      <c r="K385" s="567">
        <v>3124</v>
      </c>
      <c r="L385" s="567">
        <v>1</v>
      </c>
      <c r="M385" s="567">
        <v>142</v>
      </c>
      <c r="N385" s="567">
        <v>18</v>
      </c>
      <c r="O385" s="567">
        <v>2556</v>
      </c>
      <c r="P385" s="552">
        <v>0.81818181818181823</v>
      </c>
      <c r="Q385" s="568">
        <v>142</v>
      </c>
    </row>
    <row r="386" spans="1:17" ht="14.4" customHeight="1" x14ac:dyDescent="0.3">
      <c r="A386" s="546" t="s">
        <v>1175</v>
      </c>
      <c r="B386" s="547" t="s">
        <v>1062</v>
      </c>
      <c r="C386" s="547" t="s">
        <v>1048</v>
      </c>
      <c r="D386" s="547" t="s">
        <v>1092</v>
      </c>
      <c r="E386" s="547" t="s">
        <v>1091</v>
      </c>
      <c r="F386" s="567">
        <v>181</v>
      </c>
      <c r="G386" s="567">
        <v>14118</v>
      </c>
      <c r="H386" s="567">
        <v>0.84976525821596249</v>
      </c>
      <c r="I386" s="567">
        <v>78</v>
      </c>
      <c r="J386" s="567">
        <v>213</v>
      </c>
      <c r="K386" s="567">
        <v>16614</v>
      </c>
      <c r="L386" s="567">
        <v>1</v>
      </c>
      <c r="M386" s="567">
        <v>78</v>
      </c>
      <c r="N386" s="567">
        <v>166</v>
      </c>
      <c r="O386" s="567">
        <v>12948</v>
      </c>
      <c r="P386" s="552">
        <v>0.77934272300469487</v>
      </c>
      <c r="Q386" s="568">
        <v>78</v>
      </c>
    </row>
    <row r="387" spans="1:17" ht="14.4" customHeight="1" x14ac:dyDescent="0.3">
      <c r="A387" s="546" t="s">
        <v>1175</v>
      </c>
      <c r="B387" s="547" t="s">
        <v>1062</v>
      </c>
      <c r="C387" s="547" t="s">
        <v>1048</v>
      </c>
      <c r="D387" s="547" t="s">
        <v>1093</v>
      </c>
      <c r="E387" s="547" t="s">
        <v>1094</v>
      </c>
      <c r="F387" s="567">
        <v>22</v>
      </c>
      <c r="G387" s="567">
        <v>6754</v>
      </c>
      <c r="H387" s="567">
        <v>0.98083067092651754</v>
      </c>
      <c r="I387" s="567">
        <v>307</v>
      </c>
      <c r="J387" s="567">
        <v>22</v>
      </c>
      <c r="K387" s="567">
        <v>6886</v>
      </c>
      <c r="L387" s="567">
        <v>1</v>
      </c>
      <c r="M387" s="567">
        <v>313</v>
      </c>
      <c r="N387" s="567">
        <v>18</v>
      </c>
      <c r="O387" s="567">
        <v>5652</v>
      </c>
      <c r="P387" s="552">
        <v>0.82079581760092946</v>
      </c>
      <c r="Q387" s="568">
        <v>314</v>
      </c>
    </row>
    <row r="388" spans="1:17" ht="14.4" customHeight="1" x14ac:dyDescent="0.3">
      <c r="A388" s="546" t="s">
        <v>1175</v>
      </c>
      <c r="B388" s="547" t="s">
        <v>1062</v>
      </c>
      <c r="C388" s="547" t="s">
        <v>1048</v>
      </c>
      <c r="D388" s="547" t="s">
        <v>1095</v>
      </c>
      <c r="E388" s="547" t="s">
        <v>1096</v>
      </c>
      <c r="F388" s="567">
        <v>6</v>
      </c>
      <c r="G388" s="567">
        <v>2922</v>
      </c>
      <c r="H388" s="567">
        <v>0.74846311475409832</v>
      </c>
      <c r="I388" s="567">
        <v>487</v>
      </c>
      <c r="J388" s="567">
        <v>8</v>
      </c>
      <c r="K388" s="567">
        <v>3904</v>
      </c>
      <c r="L388" s="567">
        <v>1</v>
      </c>
      <c r="M388" s="567">
        <v>488</v>
      </c>
      <c r="N388" s="567">
        <v>24</v>
      </c>
      <c r="O388" s="567">
        <v>7872</v>
      </c>
      <c r="P388" s="552">
        <v>2.0163934426229506</v>
      </c>
      <c r="Q388" s="568">
        <v>328</v>
      </c>
    </row>
    <row r="389" spans="1:17" ht="14.4" customHeight="1" x14ac:dyDescent="0.3">
      <c r="A389" s="546" t="s">
        <v>1175</v>
      </c>
      <c r="B389" s="547" t="s">
        <v>1062</v>
      </c>
      <c r="C389" s="547" t="s">
        <v>1048</v>
      </c>
      <c r="D389" s="547" t="s">
        <v>1097</v>
      </c>
      <c r="E389" s="547" t="s">
        <v>1098</v>
      </c>
      <c r="F389" s="567">
        <v>43</v>
      </c>
      <c r="G389" s="567">
        <v>6923</v>
      </c>
      <c r="H389" s="567">
        <v>0.73228263169028984</v>
      </c>
      <c r="I389" s="567">
        <v>161</v>
      </c>
      <c r="J389" s="567">
        <v>58</v>
      </c>
      <c r="K389" s="567">
        <v>9454</v>
      </c>
      <c r="L389" s="567">
        <v>1</v>
      </c>
      <c r="M389" s="567">
        <v>163</v>
      </c>
      <c r="N389" s="567">
        <v>156</v>
      </c>
      <c r="O389" s="567">
        <v>25428</v>
      </c>
      <c r="P389" s="552">
        <v>2.6896551724137931</v>
      </c>
      <c r="Q389" s="568">
        <v>163</v>
      </c>
    </row>
    <row r="390" spans="1:17" ht="14.4" customHeight="1" x14ac:dyDescent="0.3">
      <c r="A390" s="546" t="s">
        <v>1175</v>
      </c>
      <c r="B390" s="547" t="s">
        <v>1062</v>
      </c>
      <c r="C390" s="547" t="s">
        <v>1048</v>
      </c>
      <c r="D390" s="547" t="s">
        <v>1101</v>
      </c>
      <c r="E390" s="547" t="s">
        <v>1067</v>
      </c>
      <c r="F390" s="567">
        <v>302</v>
      </c>
      <c r="G390" s="567">
        <v>21442</v>
      </c>
      <c r="H390" s="567">
        <v>0.93649545772187281</v>
      </c>
      <c r="I390" s="567">
        <v>71</v>
      </c>
      <c r="J390" s="567">
        <v>318</v>
      </c>
      <c r="K390" s="567">
        <v>22896</v>
      </c>
      <c r="L390" s="567">
        <v>1</v>
      </c>
      <c r="M390" s="567">
        <v>72</v>
      </c>
      <c r="N390" s="567">
        <v>251</v>
      </c>
      <c r="O390" s="567">
        <v>18072</v>
      </c>
      <c r="P390" s="552">
        <v>0.78930817610062898</v>
      </c>
      <c r="Q390" s="568">
        <v>72</v>
      </c>
    </row>
    <row r="391" spans="1:17" ht="14.4" customHeight="1" x14ac:dyDescent="0.3">
      <c r="A391" s="546" t="s">
        <v>1175</v>
      </c>
      <c r="B391" s="547" t="s">
        <v>1062</v>
      </c>
      <c r="C391" s="547" t="s">
        <v>1048</v>
      </c>
      <c r="D391" s="547" t="s">
        <v>1106</v>
      </c>
      <c r="E391" s="547" t="s">
        <v>1107</v>
      </c>
      <c r="F391" s="567">
        <v>21</v>
      </c>
      <c r="G391" s="567">
        <v>4620</v>
      </c>
      <c r="H391" s="567">
        <v>0.91703056768558955</v>
      </c>
      <c r="I391" s="567">
        <v>220</v>
      </c>
      <c r="J391" s="567">
        <v>22</v>
      </c>
      <c r="K391" s="567">
        <v>5038</v>
      </c>
      <c r="L391" s="567">
        <v>1</v>
      </c>
      <c r="M391" s="567">
        <v>229</v>
      </c>
      <c r="N391" s="567">
        <v>1</v>
      </c>
      <c r="O391" s="567">
        <v>230</v>
      </c>
      <c r="P391" s="552">
        <v>4.5653036919412464E-2</v>
      </c>
      <c r="Q391" s="568">
        <v>230</v>
      </c>
    </row>
    <row r="392" spans="1:17" ht="14.4" customHeight="1" x14ac:dyDescent="0.3">
      <c r="A392" s="546" t="s">
        <v>1175</v>
      </c>
      <c r="B392" s="547" t="s">
        <v>1062</v>
      </c>
      <c r="C392" s="547" t="s">
        <v>1048</v>
      </c>
      <c r="D392" s="547" t="s">
        <v>1108</v>
      </c>
      <c r="E392" s="547" t="s">
        <v>1109</v>
      </c>
      <c r="F392" s="567">
        <v>15</v>
      </c>
      <c r="G392" s="567">
        <v>17925</v>
      </c>
      <c r="H392" s="567">
        <v>1.1386012831099537</v>
      </c>
      <c r="I392" s="567">
        <v>1195</v>
      </c>
      <c r="J392" s="567">
        <v>13</v>
      </c>
      <c r="K392" s="567">
        <v>15743</v>
      </c>
      <c r="L392" s="567">
        <v>1</v>
      </c>
      <c r="M392" s="567">
        <v>1211</v>
      </c>
      <c r="N392" s="567">
        <v>12</v>
      </c>
      <c r="O392" s="567">
        <v>14532</v>
      </c>
      <c r="P392" s="552">
        <v>0.92307692307692313</v>
      </c>
      <c r="Q392" s="568">
        <v>1211</v>
      </c>
    </row>
    <row r="393" spans="1:17" ht="14.4" customHeight="1" x14ac:dyDescent="0.3">
      <c r="A393" s="546" t="s">
        <v>1175</v>
      </c>
      <c r="B393" s="547" t="s">
        <v>1062</v>
      </c>
      <c r="C393" s="547" t="s">
        <v>1048</v>
      </c>
      <c r="D393" s="547" t="s">
        <v>1110</v>
      </c>
      <c r="E393" s="547" t="s">
        <v>1111</v>
      </c>
      <c r="F393" s="567">
        <v>29</v>
      </c>
      <c r="G393" s="567">
        <v>3190</v>
      </c>
      <c r="H393" s="567">
        <v>1.0363872644574399</v>
      </c>
      <c r="I393" s="567">
        <v>110</v>
      </c>
      <c r="J393" s="567">
        <v>27</v>
      </c>
      <c r="K393" s="567">
        <v>3078</v>
      </c>
      <c r="L393" s="567">
        <v>1</v>
      </c>
      <c r="M393" s="567">
        <v>114</v>
      </c>
      <c r="N393" s="567">
        <v>27</v>
      </c>
      <c r="O393" s="567">
        <v>3078</v>
      </c>
      <c r="P393" s="552">
        <v>1</v>
      </c>
      <c r="Q393" s="568">
        <v>114</v>
      </c>
    </row>
    <row r="394" spans="1:17" ht="14.4" customHeight="1" x14ac:dyDescent="0.3">
      <c r="A394" s="546" t="s">
        <v>1175</v>
      </c>
      <c r="B394" s="547" t="s">
        <v>1062</v>
      </c>
      <c r="C394" s="547" t="s">
        <v>1048</v>
      </c>
      <c r="D394" s="547" t="s">
        <v>1112</v>
      </c>
      <c r="E394" s="547" t="s">
        <v>1113</v>
      </c>
      <c r="F394" s="567">
        <v>3</v>
      </c>
      <c r="G394" s="567">
        <v>969</v>
      </c>
      <c r="H394" s="567">
        <v>1.4002890173410405</v>
      </c>
      <c r="I394" s="567">
        <v>323</v>
      </c>
      <c r="J394" s="567">
        <v>2</v>
      </c>
      <c r="K394" s="567">
        <v>692</v>
      </c>
      <c r="L394" s="567">
        <v>1</v>
      </c>
      <c r="M394" s="567">
        <v>346</v>
      </c>
      <c r="N394" s="567"/>
      <c r="O394" s="567"/>
      <c r="P394" s="552"/>
      <c r="Q394" s="568"/>
    </row>
    <row r="395" spans="1:17" ht="14.4" customHeight="1" x14ac:dyDescent="0.3">
      <c r="A395" s="546" t="s">
        <v>1175</v>
      </c>
      <c r="B395" s="547" t="s">
        <v>1062</v>
      </c>
      <c r="C395" s="547" t="s">
        <v>1048</v>
      </c>
      <c r="D395" s="547" t="s">
        <v>1118</v>
      </c>
      <c r="E395" s="547" t="s">
        <v>1119</v>
      </c>
      <c r="F395" s="567">
        <v>4</v>
      </c>
      <c r="G395" s="567">
        <v>4132</v>
      </c>
      <c r="H395" s="567">
        <v>1.9417293233082706</v>
      </c>
      <c r="I395" s="567">
        <v>1033</v>
      </c>
      <c r="J395" s="567">
        <v>2</v>
      </c>
      <c r="K395" s="567">
        <v>2128</v>
      </c>
      <c r="L395" s="567">
        <v>1</v>
      </c>
      <c r="M395" s="567">
        <v>1064</v>
      </c>
      <c r="N395" s="567">
        <v>2</v>
      </c>
      <c r="O395" s="567">
        <v>2130</v>
      </c>
      <c r="P395" s="552">
        <v>1.0009398496240602</v>
      </c>
      <c r="Q395" s="568">
        <v>1065</v>
      </c>
    </row>
    <row r="396" spans="1:17" ht="14.4" customHeight="1" x14ac:dyDescent="0.3">
      <c r="A396" s="546" t="s">
        <v>1175</v>
      </c>
      <c r="B396" s="547" t="s">
        <v>1062</v>
      </c>
      <c r="C396" s="547" t="s">
        <v>1048</v>
      </c>
      <c r="D396" s="547" t="s">
        <v>1120</v>
      </c>
      <c r="E396" s="547" t="s">
        <v>1121</v>
      </c>
      <c r="F396" s="567">
        <v>2</v>
      </c>
      <c r="G396" s="567">
        <v>588</v>
      </c>
      <c r="H396" s="567">
        <v>1.9534883720930232</v>
      </c>
      <c r="I396" s="567">
        <v>294</v>
      </c>
      <c r="J396" s="567">
        <v>1</v>
      </c>
      <c r="K396" s="567">
        <v>301</v>
      </c>
      <c r="L396" s="567">
        <v>1</v>
      </c>
      <c r="M396" s="567">
        <v>301</v>
      </c>
      <c r="N396" s="567">
        <v>3</v>
      </c>
      <c r="O396" s="567">
        <v>906</v>
      </c>
      <c r="P396" s="552">
        <v>3.0099667774086378</v>
      </c>
      <c r="Q396" s="568">
        <v>302</v>
      </c>
    </row>
    <row r="397" spans="1:17" ht="14.4" customHeight="1" x14ac:dyDescent="0.3">
      <c r="A397" s="546" t="s">
        <v>1175</v>
      </c>
      <c r="B397" s="547" t="s">
        <v>1062</v>
      </c>
      <c r="C397" s="547" t="s">
        <v>1048</v>
      </c>
      <c r="D397" s="547" t="s">
        <v>1124</v>
      </c>
      <c r="E397" s="547" t="s">
        <v>1125</v>
      </c>
      <c r="F397" s="567"/>
      <c r="G397" s="567"/>
      <c r="H397" s="567"/>
      <c r="I397" s="567"/>
      <c r="J397" s="567"/>
      <c r="K397" s="567"/>
      <c r="L397" s="567"/>
      <c r="M397" s="567"/>
      <c r="N397" s="567">
        <v>1</v>
      </c>
      <c r="O397" s="567">
        <v>751</v>
      </c>
      <c r="P397" s="552"/>
      <c r="Q397" s="568">
        <v>751</v>
      </c>
    </row>
    <row r="398" spans="1:17" ht="14.4" customHeight="1" x14ac:dyDescent="0.3">
      <c r="A398" s="546" t="s">
        <v>1176</v>
      </c>
      <c r="B398" s="547" t="s">
        <v>1062</v>
      </c>
      <c r="C398" s="547" t="s">
        <v>1048</v>
      </c>
      <c r="D398" s="547" t="s">
        <v>1066</v>
      </c>
      <c r="E398" s="547" t="s">
        <v>1067</v>
      </c>
      <c r="F398" s="567">
        <v>126</v>
      </c>
      <c r="G398" s="567">
        <v>25956</v>
      </c>
      <c r="H398" s="567">
        <v>0.7410495060811968</v>
      </c>
      <c r="I398" s="567">
        <v>206</v>
      </c>
      <c r="J398" s="567">
        <v>166</v>
      </c>
      <c r="K398" s="567">
        <v>35026</v>
      </c>
      <c r="L398" s="567">
        <v>1</v>
      </c>
      <c r="M398" s="567">
        <v>211</v>
      </c>
      <c r="N398" s="567">
        <v>114</v>
      </c>
      <c r="O398" s="567">
        <v>24054</v>
      </c>
      <c r="P398" s="552">
        <v>0.68674698795180722</v>
      </c>
      <c r="Q398" s="568">
        <v>211</v>
      </c>
    </row>
    <row r="399" spans="1:17" ht="14.4" customHeight="1" x14ac:dyDescent="0.3">
      <c r="A399" s="546" t="s">
        <v>1176</v>
      </c>
      <c r="B399" s="547" t="s">
        <v>1062</v>
      </c>
      <c r="C399" s="547" t="s">
        <v>1048</v>
      </c>
      <c r="D399" s="547" t="s">
        <v>1069</v>
      </c>
      <c r="E399" s="547" t="s">
        <v>1070</v>
      </c>
      <c r="F399" s="567">
        <v>104</v>
      </c>
      <c r="G399" s="567">
        <v>30680</v>
      </c>
      <c r="H399" s="567">
        <v>1.2902140544177636</v>
      </c>
      <c r="I399" s="567">
        <v>295</v>
      </c>
      <c r="J399" s="567">
        <v>79</v>
      </c>
      <c r="K399" s="567">
        <v>23779</v>
      </c>
      <c r="L399" s="567">
        <v>1</v>
      </c>
      <c r="M399" s="567">
        <v>301</v>
      </c>
      <c r="N399" s="567">
        <v>43</v>
      </c>
      <c r="O399" s="567">
        <v>12943</v>
      </c>
      <c r="P399" s="552">
        <v>0.54430379746835444</v>
      </c>
      <c r="Q399" s="568">
        <v>301</v>
      </c>
    </row>
    <row r="400" spans="1:17" ht="14.4" customHeight="1" x14ac:dyDescent="0.3">
      <c r="A400" s="546" t="s">
        <v>1176</v>
      </c>
      <c r="B400" s="547" t="s">
        <v>1062</v>
      </c>
      <c r="C400" s="547" t="s">
        <v>1048</v>
      </c>
      <c r="D400" s="547" t="s">
        <v>1071</v>
      </c>
      <c r="E400" s="547" t="s">
        <v>1072</v>
      </c>
      <c r="F400" s="567">
        <v>6</v>
      </c>
      <c r="G400" s="567">
        <v>570</v>
      </c>
      <c r="H400" s="567"/>
      <c r="I400" s="567">
        <v>95</v>
      </c>
      <c r="J400" s="567"/>
      <c r="K400" s="567"/>
      <c r="L400" s="567"/>
      <c r="M400" s="567"/>
      <c r="N400" s="567"/>
      <c r="O400" s="567"/>
      <c r="P400" s="552"/>
      <c r="Q400" s="568"/>
    </row>
    <row r="401" spans="1:17" ht="14.4" customHeight="1" x14ac:dyDescent="0.3">
      <c r="A401" s="546" t="s">
        <v>1176</v>
      </c>
      <c r="B401" s="547" t="s">
        <v>1062</v>
      </c>
      <c r="C401" s="547" t="s">
        <v>1048</v>
      </c>
      <c r="D401" s="547" t="s">
        <v>1075</v>
      </c>
      <c r="E401" s="547" t="s">
        <v>1076</v>
      </c>
      <c r="F401" s="567">
        <v>129</v>
      </c>
      <c r="G401" s="567">
        <v>17415</v>
      </c>
      <c r="H401" s="567">
        <v>1.0682083052198981</v>
      </c>
      <c r="I401" s="567">
        <v>135</v>
      </c>
      <c r="J401" s="567">
        <v>119</v>
      </c>
      <c r="K401" s="567">
        <v>16303</v>
      </c>
      <c r="L401" s="567">
        <v>1</v>
      </c>
      <c r="M401" s="567">
        <v>137</v>
      </c>
      <c r="N401" s="567">
        <v>113</v>
      </c>
      <c r="O401" s="567">
        <v>15481</v>
      </c>
      <c r="P401" s="552">
        <v>0.94957983193277307</v>
      </c>
      <c r="Q401" s="568">
        <v>137</v>
      </c>
    </row>
    <row r="402" spans="1:17" ht="14.4" customHeight="1" x14ac:dyDescent="0.3">
      <c r="A402" s="546" t="s">
        <v>1176</v>
      </c>
      <c r="B402" s="547" t="s">
        <v>1062</v>
      </c>
      <c r="C402" s="547" t="s">
        <v>1048</v>
      </c>
      <c r="D402" s="547" t="s">
        <v>1078</v>
      </c>
      <c r="E402" s="547" t="s">
        <v>1079</v>
      </c>
      <c r="F402" s="567">
        <v>1</v>
      </c>
      <c r="G402" s="567">
        <v>620</v>
      </c>
      <c r="H402" s="567">
        <v>0.97026604068857591</v>
      </c>
      <c r="I402" s="567">
        <v>620</v>
      </c>
      <c r="J402" s="567">
        <v>1</v>
      </c>
      <c r="K402" s="567">
        <v>639</v>
      </c>
      <c r="L402" s="567">
        <v>1</v>
      </c>
      <c r="M402" s="567">
        <v>639</v>
      </c>
      <c r="N402" s="567"/>
      <c r="O402" s="567"/>
      <c r="P402" s="552"/>
      <c r="Q402" s="568"/>
    </row>
    <row r="403" spans="1:17" ht="14.4" customHeight="1" x14ac:dyDescent="0.3">
      <c r="A403" s="546" t="s">
        <v>1176</v>
      </c>
      <c r="B403" s="547" t="s">
        <v>1062</v>
      </c>
      <c r="C403" s="547" t="s">
        <v>1048</v>
      </c>
      <c r="D403" s="547" t="s">
        <v>1082</v>
      </c>
      <c r="E403" s="547" t="s">
        <v>1083</v>
      </c>
      <c r="F403" s="567">
        <v>4</v>
      </c>
      <c r="G403" s="567">
        <v>644</v>
      </c>
      <c r="H403" s="567">
        <v>0.74450867052023117</v>
      </c>
      <c r="I403" s="567">
        <v>161</v>
      </c>
      <c r="J403" s="567">
        <v>5</v>
      </c>
      <c r="K403" s="567">
        <v>865</v>
      </c>
      <c r="L403" s="567">
        <v>1</v>
      </c>
      <c r="M403" s="567">
        <v>173</v>
      </c>
      <c r="N403" s="567">
        <v>2</v>
      </c>
      <c r="O403" s="567">
        <v>346</v>
      </c>
      <c r="P403" s="552">
        <v>0.4</v>
      </c>
      <c r="Q403" s="568">
        <v>173</v>
      </c>
    </row>
    <row r="404" spans="1:17" ht="14.4" customHeight="1" x14ac:dyDescent="0.3">
      <c r="A404" s="546" t="s">
        <v>1176</v>
      </c>
      <c r="B404" s="547" t="s">
        <v>1062</v>
      </c>
      <c r="C404" s="547" t="s">
        <v>1048</v>
      </c>
      <c r="D404" s="547" t="s">
        <v>1084</v>
      </c>
      <c r="E404" s="547" t="s">
        <v>1085</v>
      </c>
      <c r="F404" s="567">
        <v>1</v>
      </c>
      <c r="G404" s="567">
        <v>383</v>
      </c>
      <c r="H404" s="567">
        <v>0.12467447916666667</v>
      </c>
      <c r="I404" s="567">
        <v>383</v>
      </c>
      <c r="J404" s="567">
        <v>8</v>
      </c>
      <c r="K404" s="567">
        <v>3072</v>
      </c>
      <c r="L404" s="567">
        <v>1</v>
      </c>
      <c r="M404" s="567">
        <v>384</v>
      </c>
      <c r="N404" s="567">
        <v>7</v>
      </c>
      <c r="O404" s="567">
        <v>2429</v>
      </c>
      <c r="P404" s="552">
        <v>0.79069010416666663</v>
      </c>
      <c r="Q404" s="568">
        <v>347</v>
      </c>
    </row>
    <row r="405" spans="1:17" ht="14.4" customHeight="1" x14ac:dyDescent="0.3">
      <c r="A405" s="546" t="s">
        <v>1176</v>
      </c>
      <c r="B405" s="547" t="s">
        <v>1062</v>
      </c>
      <c r="C405" s="547" t="s">
        <v>1048</v>
      </c>
      <c r="D405" s="547" t="s">
        <v>1086</v>
      </c>
      <c r="E405" s="547" t="s">
        <v>1087</v>
      </c>
      <c r="F405" s="567">
        <v>173</v>
      </c>
      <c r="G405" s="567">
        <v>2768</v>
      </c>
      <c r="H405" s="567">
        <v>0.99282639885222379</v>
      </c>
      <c r="I405" s="567">
        <v>16</v>
      </c>
      <c r="J405" s="567">
        <v>164</v>
      </c>
      <c r="K405" s="567">
        <v>2788</v>
      </c>
      <c r="L405" s="567">
        <v>1</v>
      </c>
      <c r="M405" s="567">
        <v>17</v>
      </c>
      <c r="N405" s="567">
        <v>36</v>
      </c>
      <c r="O405" s="567">
        <v>612</v>
      </c>
      <c r="P405" s="552">
        <v>0.21951219512195122</v>
      </c>
      <c r="Q405" s="568">
        <v>17</v>
      </c>
    </row>
    <row r="406" spans="1:17" ht="14.4" customHeight="1" x14ac:dyDescent="0.3">
      <c r="A406" s="546" t="s">
        <v>1176</v>
      </c>
      <c r="B406" s="547" t="s">
        <v>1062</v>
      </c>
      <c r="C406" s="547" t="s">
        <v>1048</v>
      </c>
      <c r="D406" s="547" t="s">
        <v>1088</v>
      </c>
      <c r="E406" s="547" t="s">
        <v>1089</v>
      </c>
      <c r="F406" s="567">
        <v>14</v>
      </c>
      <c r="G406" s="567">
        <v>3724</v>
      </c>
      <c r="H406" s="567">
        <v>1.1367521367521367</v>
      </c>
      <c r="I406" s="567">
        <v>266</v>
      </c>
      <c r="J406" s="567">
        <v>12</v>
      </c>
      <c r="K406" s="567">
        <v>3276</v>
      </c>
      <c r="L406" s="567">
        <v>1</v>
      </c>
      <c r="M406" s="567">
        <v>273</v>
      </c>
      <c r="N406" s="567"/>
      <c r="O406" s="567"/>
      <c r="P406" s="552"/>
      <c r="Q406" s="568"/>
    </row>
    <row r="407" spans="1:17" ht="14.4" customHeight="1" x14ac:dyDescent="0.3">
      <c r="A407" s="546" t="s">
        <v>1176</v>
      </c>
      <c r="B407" s="547" t="s">
        <v>1062</v>
      </c>
      <c r="C407" s="547" t="s">
        <v>1048</v>
      </c>
      <c r="D407" s="547" t="s">
        <v>1090</v>
      </c>
      <c r="E407" s="547" t="s">
        <v>1091</v>
      </c>
      <c r="F407" s="567">
        <v>32</v>
      </c>
      <c r="G407" s="567">
        <v>4512</v>
      </c>
      <c r="H407" s="567">
        <v>0.93454846727423369</v>
      </c>
      <c r="I407" s="567">
        <v>141</v>
      </c>
      <c r="J407" s="567">
        <v>34</v>
      </c>
      <c r="K407" s="567">
        <v>4828</v>
      </c>
      <c r="L407" s="567">
        <v>1</v>
      </c>
      <c r="M407" s="567">
        <v>142</v>
      </c>
      <c r="N407" s="567">
        <v>18</v>
      </c>
      <c r="O407" s="567">
        <v>2556</v>
      </c>
      <c r="P407" s="552">
        <v>0.52941176470588236</v>
      </c>
      <c r="Q407" s="568">
        <v>142</v>
      </c>
    </row>
    <row r="408" spans="1:17" ht="14.4" customHeight="1" x14ac:dyDescent="0.3">
      <c r="A408" s="546" t="s">
        <v>1176</v>
      </c>
      <c r="B408" s="547" t="s">
        <v>1062</v>
      </c>
      <c r="C408" s="547" t="s">
        <v>1048</v>
      </c>
      <c r="D408" s="547" t="s">
        <v>1092</v>
      </c>
      <c r="E408" s="547" t="s">
        <v>1091</v>
      </c>
      <c r="F408" s="567">
        <v>129</v>
      </c>
      <c r="G408" s="567">
        <v>10062</v>
      </c>
      <c r="H408" s="567">
        <v>1.0840336134453781</v>
      </c>
      <c r="I408" s="567">
        <v>78</v>
      </c>
      <c r="J408" s="567">
        <v>119</v>
      </c>
      <c r="K408" s="567">
        <v>9282</v>
      </c>
      <c r="L408" s="567">
        <v>1</v>
      </c>
      <c r="M408" s="567">
        <v>78</v>
      </c>
      <c r="N408" s="567">
        <v>113</v>
      </c>
      <c r="O408" s="567">
        <v>8814</v>
      </c>
      <c r="P408" s="552">
        <v>0.94957983193277307</v>
      </c>
      <c r="Q408" s="568">
        <v>78</v>
      </c>
    </row>
    <row r="409" spans="1:17" ht="14.4" customHeight="1" x14ac:dyDescent="0.3">
      <c r="A409" s="546" t="s">
        <v>1176</v>
      </c>
      <c r="B409" s="547" t="s">
        <v>1062</v>
      </c>
      <c r="C409" s="547" t="s">
        <v>1048</v>
      </c>
      <c r="D409" s="547" t="s">
        <v>1093</v>
      </c>
      <c r="E409" s="547" t="s">
        <v>1094</v>
      </c>
      <c r="F409" s="567">
        <v>32</v>
      </c>
      <c r="G409" s="567">
        <v>9824</v>
      </c>
      <c r="H409" s="567">
        <v>0.92313474910731064</v>
      </c>
      <c r="I409" s="567">
        <v>307</v>
      </c>
      <c r="J409" s="567">
        <v>34</v>
      </c>
      <c r="K409" s="567">
        <v>10642</v>
      </c>
      <c r="L409" s="567">
        <v>1</v>
      </c>
      <c r="M409" s="567">
        <v>313</v>
      </c>
      <c r="N409" s="567">
        <v>18</v>
      </c>
      <c r="O409" s="567">
        <v>5652</v>
      </c>
      <c r="P409" s="552">
        <v>0.53110317609471902</v>
      </c>
      <c r="Q409" s="568">
        <v>314</v>
      </c>
    </row>
    <row r="410" spans="1:17" ht="14.4" customHeight="1" x14ac:dyDescent="0.3">
      <c r="A410" s="546" t="s">
        <v>1176</v>
      </c>
      <c r="B410" s="547" t="s">
        <v>1062</v>
      </c>
      <c r="C410" s="547" t="s">
        <v>1048</v>
      </c>
      <c r="D410" s="547" t="s">
        <v>1095</v>
      </c>
      <c r="E410" s="547" t="s">
        <v>1096</v>
      </c>
      <c r="F410" s="567">
        <v>9</v>
      </c>
      <c r="G410" s="567">
        <v>4383</v>
      </c>
      <c r="H410" s="567">
        <v>0.89815573770491808</v>
      </c>
      <c r="I410" s="567">
        <v>487</v>
      </c>
      <c r="J410" s="567">
        <v>10</v>
      </c>
      <c r="K410" s="567">
        <v>4880</v>
      </c>
      <c r="L410" s="567">
        <v>1</v>
      </c>
      <c r="M410" s="567">
        <v>488</v>
      </c>
      <c r="N410" s="567">
        <v>30</v>
      </c>
      <c r="O410" s="567">
        <v>9840</v>
      </c>
      <c r="P410" s="552">
        <v>2.0163934426229506</v>
      </c>
      <c r="Q410" s="568">
        <v>328</v>
      </c>
    </row>
    <row r="411" spans="1:17" ht="14.4" customHeight="1" x14ac:dyDescent="0.3">
      <c r="A411" s="546" t="s">
        <v>1176</v>
      </c>
      <c r="B411" s="547" t="s">
        <v>1062</v>
      </c>
      <c r="C411" s="547" t="s">
        <v>1048</v>
      </c>
      <c r="D411" s="547" t="s">
        <v>1097</v>
      </c>
      <c r="E411" s="547" t="s">
        <v>1098</v>
      </c>
      <c r="F411" s="567">
        <v>76</v>
      </c>
      <c r="G411" s="567">
        <v>12236</v>
      </c>
      <c r="H411" s="567">
        <v>1.1915473755964554</v>
      </c>
      <c r="I411" s="567">
        <v>161</v>
      </c>
      <c r="J411" s="567">
        <v>63</v>
      </c>
      <c r="K411" s="567">
        <v>10269</v>
      </c>
      <c r="L411" s="567">
        <v>1</v>
      </c>
      <c r="M411" s="567">
        <v>163</v>
      </c>
      <c r="N411" s="567">
        <v>120</v>
      </c>
      <c r="O411" s="567">
        <v>19560</v>
      </c>
      <c r="P411" s="552">
        <v>1.9047619047619047</v>
      </c>
      <c r="Q411" s="568">
        <v>163</v>
      </c>
    </row>
    <row r="412" spans="1:17" ht="14.4" customHeight="1" x14ac:dyDescent="0.3">
      <c r="A412" s="546" t="s">
        <v>1176</v>
      </c>
      <c r="B412" s="547" t="s">
        <v>1062</v>
      </c>
      <c r="C412" s="547" t="s">
        <v>1048</v>
      </c>
      <c r="D412" s="547" t="s">
        <v>1101</v>
      </c>
      <c r="E412" s="547" t="s">
        <v>1067</v>
      </c>
      <c r="F412" s="567">
        <v>314</v>
      </c>
      <c r="G412" s="567">
        <v>22294</v>
      </c>
      <c r="H412" s="567">
        <v>0.8975040257648953</v>
      </c>
      <c r="I412" s="567">
        <v>71</v>
      </c>
      <c r="J412" s="567">
        <v>345</v>
      </c>
      <c r="K412" s="567">
        <v>24840</v>
      </c>
      <c r="L412" s="567">
        <v>1</v>
      </c>
      <c r="M412" s="567">
        <v>72</v>
      </c>
      <c r="N412" s="567">
        <v>314</v>
      </c>
      <c r="O412" s="567">
        <v>22608</v>
      </c>
      <c r="P412" s="552">
        <v>0.91014492753623188</v>
      </c>
      <c r="Q412" s="568">
        <v>72</v>
      </c>
    </row>
    <row r="413" spans="1:17" ht="14.4" customHeight="1" x14ac:dyDescent="0.3">
      <c r="A413" s="546" t="s">
        <v>1176</v>
      </c>
      <c r="B413" s="547" t="s">
        <v>1062</v>
      </c>
      <c r="C413" s="547" t="s">
        <v>1048</v>
      </c>
      <c r="D413" s="547" t="s">
        <v>1108</v>
      </c>
      <c r="E413" s="547" t="s">
        <v>1109</v>
      </c>
      <c r="F413" s="567">
        <v>4</v>
      </c>
      <c r="G413" s="567">
        <v>4780</v>
      </c>
      <c r="H413" s="567">
        <v>0.65785851913019544</v>
      </c>
      <c r="I413" s="567">
        <v>1195</v>
      </c>
      <c r="J413" s="567">
        <v>6</v>
      </c>
      <c r="K413" s="567">
        <v>7266</v>
      </c>
      <c r="L413" s="567">
        <v>1</v>
      </c>
      <c r="M413" s="567">
        <v>1211</v>
      </c>
      <c r="N413" s="567">
        <v>3</v>
      </c>
      <c r="O413" s="567">
        <v>3633</v>
      </c>
      <c r="P413" s="552">
        <v>0.5</v>
      </c>
      <c r="Q413" s="568">
        <v>1211</v>
      </c>
    </row>
    <row r="414" spans="1:17" ht="14.4" customHeight="1" x14ac:dyDescent="0.3">
      <c r="A414" s="546" t="s">
        <v>1176</v>
      </c>
      <c r="B414" s="547" t="s">
        <v>1062</v>
      </c>
      <c r="C414" s="547" t="s">
        <v>1048</v>
      </c>
      <c r="D414" s="547" t="s">
        <v>1110</v>
      </c>
      <c r="E414" s="547" t="s">
        <v>1111</v>
      </c>
      <c r="F414" s="567">
        <v>3</v>
      </c>
      <c r="G414" s="567">
        <v>330</v>
      </c>
      <c r="H414" s="567">
        <v>0.96491228070175439</v>
      </c>
      <c r="I414" s="567">
        <v>110</v>
      </c>
      <c r="J414" s="567">
        <v>3</v>
      </c>
      <c r="K414" s="567">
        <v>342</v>
      </c>
      <c r="L414" s="567">
        <v>1</v>
      </c>
      <c r="M414" s="567">
        <v>114</v>
      </c>
      <c r="N414" s="567">
        <v>3</v>
      </c>
      <c r="O414" s="567">
        <v>342</v>
      </c>
      <c r="P414" s="552">
        <v>1</v>
      </c>
      <c r="Q414" s="568">
        <v>114</v>
      </c>
    </row>
    <row r="415" spans="1:17" ht="14.4" customHeight="1" x14ac:dyDescent="0.3">
      <c r="A415" s="546" t="s">
        <v>1176</v>
      </c>
      <c r="B415" s="547" t="s">
        <v>1062</v>
      </c>
      <c r="C415" s="547" t="s">
        <v>1048</v>
      </c>
      <c r="D415" s="547" t="s">
        <v>1112</v>
      </c>
      <c r="E415" s="547" t="s">
        <v>1113</v>
      </c>
      <c r="F415" s="567"/>
      <c r="G415" s="567"/>
      <c r="H415" s="567"/>
      <c r="I415" s="567"/>
      <c r="J415" s="567">
        <v>1</v>
      </c>
      <c r="K415" s="567">
        <v>346</v>
      </c>
      <c r="L415" s="567">
        <v>1</v>
      </c>
      <c r="M415" s="567">
        <v>346</v>
      </c>
      <c r="N415" s="567"/>
      <c r="O415" s="567"/>
      <c r="P415" s="552"/>
      <c r="Q415" s="568"/>
    </row>
    <row r="416" spans="1:17" ht="14.4" customHeight="1" x14ac:dyDescent="0.3">
      <c r="A416" s="546" t="s">
        <v>1177</v>
      </c>
      <c r="B416" s="547" t="s">
        <v>1062</v>
      </c>
      <c r="C416" s="547" t="s">
        <v>1048</v>
      </c>
      <c r="D416" s="547" t="s">
        <v>1066</v>
      </c>
      <c r="E416" s="547" t="s">
        <v>1067</v>
      </c>
      <c r="F416" s="567">
        <v>192</v>
      </c>
      <c r="G416" s="567">
        <v>39552</v>
      </c>
      <c r="H416" s="567">
        <v>1.1157752200406228</v>
      </c>
      <c r="I416" s="567">
        <v>206</v>
      </c>
      <c r="J416" s="567">
        <v>168</v>
      </c>
      <c r="K416" s="567">
        <v>35448</v>
      </c>
      <c r="L416" s="567">
        <v>1</v>
      </c>
      <c r="M416" s="567">
        <v>211</v>
      </c>
      <c r="N416" s="567">
        <v>204</v>
      </c>
      <c r="O416" s="567">
        <v>43044</v>
      </c>
      <c r="P416" s="552">
        <v>1.2142857142857142</v>
      </c>
      <c r="Q416" s="568">
        <v>211</v>
      </c>
    </row>
    <row r="417" spans="1:17" ht="14.4" customHeight="1" x14ac:dyDescent="0.3">
      <c r="A417" s="546" t="s">
        <v>1177</v>
      </c>
      <c r="B417" s="547" t="s">
        <v>1062</v>
      </c>
      <c r="C417" s="547" t="s">
        <v>1048</v>
      </c>
      <c r="D417" s="547" t="s">
        <v>1069</v>
      </c>
      <c r="E417" s="547" t="s">
        <v>1070</v>
      </c>
      <c r="F417" s="567">
        <v>25</v>
      </c>
      <c r="G417" s="567">
        <v>7375</v>
      </c>
      <c r="H417" s="567">
        <v>0.18847431638129314</v>
      </c>
      <c r="I417" s="567">
        <v>295</v>
      </c>
      <c r="J417" s="567">
        <v>130</v>
      </c>
      <c r="K417" s="567">
        <v>39130</v>
      </c>
      <c r="L417" s="567">
        <v>1</v>
      </c>
      <c r="M417" s="567">
        <v>301</v>
      </c>
      <c r="N417" s="567">
        <v>214</v>
      </c>
      <c r="O417" s="567">
        <v>64414</v>
      </c>
      <c r="P417" s="552">
        <v>1.6461538461538461</v>
      </c>
      <c r="Q417" s="568">
        <v>301</v>
      </c>
    </row>
    <row r="418" spans="1:17" ht="14.4" customHeight="1" x14ac:dyDescent="0.3">
      <c r="A418" s="546" t="s">
        <v>1177</v>
      </c>
      <c r="B418" s="547" t="s">
        <v>1062</v>
      </c>
      <c r="C418" s="547" t="s">
        <v>1048</v>
      </c>
      <c r="D418" s="547" t="s">
        <v>1071</v>
      </c>
      <c r="E418" s="547" t="s">
        <v>1072</v>
      </c>
      <c r="F418" s="567"/>
      <c r="G418" s="567"/>
      <c r="H418" s="567"/>
      <c r="I418" s="567"/>
      <c r="J418" s="567">
        <v>3</v>
      </c>
      <c r="K418" s="567">
        <v>297</v>
      </c>
      <c r="L418" s="567">
        <v>1</v>
      </c>
      <c r="M418" s="567">
        <v>99</v>
      </c>
      <c r="N418" s="567"/>
      <c r="O418" s="567"/>
      <c r="P418" s="552"/>
      <c r="Q418" s="568"/>
    </row>
    <row r="419" spans="1:17" ht="14.4" customHeight="1" x14ac:dyDescent="0.3">
      <c r="A419" s="546" t="s">
        <v>1177</v>
      </c>
      <c r="B419" s="547" t="s">
        <v>1062</v>
      </c>
      <c r="C419" s="547" t="s">
        <v>1048</v>
      </c>
      <c r="D419" s="547" t="s">
        <v>1075</v>
      </c>
      <c r="E419" s="547" t="s">
        <v>1076</v>
      </c>
      <c r="F419" s="567">
        <v>31</v>
      </c>
      <c r="G419" s="567">
        <v>4185</v>
      </c>
      <c r="H419" s="567">
        <v>1.3281497937162805</v>
      </c>
      <c r="I419" s="567">
        <v>135</v>
      </c>
      <c r="J419" s="567">
        <v>23</v>
      </c>
      <c r="K419" s="567">
        <v>3151</v>
      </c>
      <c r="L419" s="567">
        <v>1</v>
      </c>
      <c r="M419" s="567">
        <v>137</v>
      </c>
      <c r="N419" s="567">
        <v>34</v>
      </c>
      <c r="O419" s="567">
        <v>4658</v>
      </c>
      <c r="P419" s="552">
        <v>1.4782608695652173</v>
      </c>
      <c r="Q419" s="568">
        <v>137</v>
      </c>
    </row>
    <row r="420" spans="1:17" ht="14.4" customHeight="1" x14ac:dyDescent="0.3">
      <c r="A420" s="546" t="s">
        <v>1177</v>
      </c>
      <c r="B420" s="547" t="s">
        <v>1062</v>
      </c>
      <c r="C420" s="547" t="s">
        <v>1048</v>
      </c>
      <c r="D420" s="547" t="s">
        <v>1082</v>
      </c>
      <c r="E420" s="547" t="s">
        <v>1083</v>
      </c>
      <c r="F420" s="567">
        <v>1</v>
      </c>
      <c r="G420" s="567">
        <v>161</v>
      </c>
      <c r="H420" s="567">
        <v>0.23265895953757226</v>
      </c>
      <c r="I420" s="567">
        <v>161</v>
      </c>
      <c r="J420" s="567">
        <v>4</v>
      </c>
      <c r="K420" s="567">
        <v>692</v>
      </c>
      <c r="L420" s="567">
        <v>1</v>
      </c>
      <c r="M420" s="567">
        <v>173</v>
      </c>
      <c r="N420" s="567">
        <v>8</v>
      </c>
      <c r="O420" s="567">
        <v>1384</v>
      </c>
      <c r="P420" s="552">
        <v>2</v>
      </c>
      <c r="Q420" s="568">
        <v>173</v>
      </c>
    </row>
    <row r="421" spans="1:17" ht="14.4" customHeight="1" x14ac:dyDescent="0.3">
      <c r="A421" s="546" t="s">
        <v>1177</v>
      </c>
      <c r="B421" s="547" t="s">
        <v>1062</v>
      </c>
      <c r="C421" s="547" t="s">
        <v>1048</v>
      </c>
      <c r="D421" s="547" t="s">
        <v>1086</v>
      </c>
      <c r="E421" s="547" t="s">
        <v>1087</v>
      </c>
      <c r="F421" s="567">
        <v>81</v>
      </c>
      <c r="G421" s="567">
        <v>1296</v>
      </c>
      <c r="H421" s="567">
        <v>1.2296015180265654</v>
      </c>
      <c r="I421" s="567">
        <v>16</v>
      </c>
      <c r="J421" s="567">
        <v>62</v>
      </c>
      <c r="K421" s="567">
        <v>1054</v>
      </c>
      <c r="L421" s="567">
        <v>1</v>
      </c>
      <c r="M421" s="567">
        <v>17</v>
      </c>
      <c r="N421" s="567"/>
      <c r="O421" s="567"/>
      <c r="P421" s="552"/>
      <c r="Q421" s="568"/>
    </row>
    <row r="422" spans="1:17" ht="14.4" customHeight="1" x14ac:dyDescent="0.3">
      <c r="A422" s="546" t="s">
        <v>1177</v>
      </c>
      <c r="B422" s="547" t="s">
        <v>1062</v>
      </c>
      <c r="C422" s="547" t="s">
        <v>1048</v>
      </c>
      <c r="D422" s="547" t="s">
        <v>1088</v>
      </c>
      <c r="E422" s="547" t="s">
        <v>1089</v>
      </c>
      <c r="F422" s="567">
        <v>29</v>
      </c>
      <c r="G422" s="567">
        <v>7714</v>
      </c>
      <c r="H422" s="567">
        <v>1.3455433455433456</v>
      </c>
      <c r="I422" s="567">
        <v>266</v>
      </c>
      <c r="J422" s="567">
        <v>21</v>
      </c>
      <c r="K422" s="567">
        <v>5733</v>
      </c>
      <c r="L422" s="567">
        <v>1</v>
      </c>
      <c r="M422" s="567">
        <v>273</v>
      </c>
      <c r="N422" s="567"/>
      <c r="O422" s="567"/>
      <c r="P422" s="552"/>
      <c r="Q422" s="568"/>
    </row>
    <row r="423" spans="1:17" ht="14.4" customHeight="1" x14ac:dyDescent="0.3">
      <c r="A423" s="546" t="s">
        <v>1177</v>
      </c>
      <c r="B423" s="547" t="s">
        <v>1062</v>
      </c>
      <c r="C423" s="547" t="s">
        <v>1048</v>
      </c>
      <c r="D423" s="547" t="s">
        <v>1090</v>
      </c>
      <c r="E423" s="547" t="s">
        <v>1091</v>
      </c>
      <c r="F423" s="567">
        <v>50</v>
      </c>
      <c r="G423" s="567">
        <v>7050</v>
      </c>
      <c r="H423" s="567">
        <v>1.2730227518959913</v>
      </c>
      <c r="I423" s="567">
        <v>141</v>
      </c>
      <c r="J423" s="567">
        <v>39</v>
      </c>
      <c r="K423" s="567">
        <v>5538</v>
      </c>
      <c r="L423" s="567">
        <v>1</v>
      </c>
      <c r="M423" s="567">
        <v>142</v>
      </c>
      <c r="N423" s="567">
        <v>58</v>
      </c>
      <c r="O423" s="567">
        <v>8236</v>
      </c>
      <c r="P423" s="552">
        <v>1.4871794871794872</v>
      </c>
      <c r="Q423" s="568">
        <v>142</v>
      </c>
    </row>
    <row r="424" spans="1:17" ht="14.4" customHeight="1" x14ac:dyDescent="0.3">
      <c r="A424" s="546" t="s">
        <v>1177</v>
      </c>
      <c r="B424" s="547" t="s">
        <v>1062</v>
      </c>
      <c r="C424" s="547" t="s">
        <v>1048</v>
      </c>
      <c r="D424" s="547" t="s">
        <v>1092</v>
      </c>
      <c r="E424" s="547" t="s">
        <v>1091</v>
      </c>
      <c r="F424" s="567">
        <v>31</v>
      </c>
      <c r="G424" s="567">
        <v>2418</v>
      </c>
      <c r="H424" s="567">
        <v>1.3478260869565217</v>
      </c>
      <c r="I424" s="567">
        <v>78</v>
      </c>
      <c r="J424" s="567">
        <v>23</v>
      </c>
      <c r="K424" s="567">
        <v>1794</v>
      </c>
      <c r="L424" s="567">
        <v>1</v>
      </c>
      <c r="M424" s="567">
        <v>78</v>
      </c>
      <c r="N424" s="567">
        <v>34</v>
      </c>
      <c r="O424" s="567">
        <v>2652</v>
      </c>
      <c r="P424" s="552">
        <v>1.4782608695652173</v>
      </c>
      <c r="Q424" s="568">
        <v>78</v>
      </c>
    </row>
    <row r="425" spans="1:17" ht="14.4" customHeight="1" x14ac:dyDescent="0.3">
      <c r="A425" s="546" t="s">
        <v>1177</v>
      </c>
      <c r="B425" s="547" t="s">
        <v>1062</v>
      </c>
      <c r="C425" s="547" t="s">
        <v>1048</v>
      </c>
      <c r="D425" s="547" t="s">
        <v>1093</v>
      </c>
      <c r="E425" s="547" t="s">
        <v>1094</v>
      </c>
      <c r="F425" s="567">
        <v>50</v>
      </c>
      <c r="G425" s="567">
        <v>15350</v>
      </c>
      <c r="H425" s="567">
        <v>1.257475219136561</v>
      </c>
      <c r="I425" s="567">
        <v>307</v>
      </c>
      <c r="J425" s="567">
        <v>39</v>
      </c>
      <c r="K425" s="567">
        <v>12207</v>
      </c>
      <c r="L425" s="567">
        <v>1</v>
      </c>
      <c r="M425" s="567">
        <v>313</v>
      </c>
      <c r="N425" s="567">
        <v>57</v>
      </c>
      <c r="O425" s="567">
        <v>17898</v>
      </c>
      <c r="P425" s="552">
        <v>1.4662079134922585</v>
      </c>
      <c r="Q425" s="568">
        <v>314</v>
      </c>
    </row>
    <row r="426" spans="1:17" ht="14.4" customHeight="1" x14ac:dyDescent="0.3">
      <c r="A426" s="546" t="s">
        <v>1177</v>
      </c>
      <c r="B426" s="547" t="s">
        <v>1062</v>
      </c>
      <c r="C426" s="547" t="s">
        <v>1048</v>
      </c>
      <c r="D426" s="547" t="s">
        <v>1097</v>
      </c>
      <c r="E426" s="547" t="s">
        <v>1098</v>
      </c>
      <c r="F426" s="567">
        <v>9</v>
      </c>
      <c r="G426" s="567">
        <v>1449</v>
      </c>
      <c r="H426" s="567">
        <v>2.96319018404908</v>
      </c>
      <c r="I426" s="567">
        <v>161</v>
      </c>
      <c r="J426" s="567">
        <v>3</v>
      </c>
      <c r="K426" s="567">
        <v>489</v>
      </c>
      <c r="L426" s="567">
        <v>1</v>
      </c>
      <c r="M426" s="567">
        <v>163</v>
      </c>
      <c r="N426" s="567">
        <v>65</v>
      </c>
      <c r="O426" s="567">
        <v>10595</v>
      </c>
      <c r="P426" s="552">
        <v>21.666666666666668</v>
      </c>
      <c r="Q426" s="568">
        <v>163</v>
      </c>
    </row>
    <row r="427" spans="1:17" ht="14.4" customHeight="1" x14ac:dyDescent="0.3">
      <c r="A427" s="546" t="s">
        <v>1177</v>
      </c>
      <c r="B427" s="547" t="s">
        <v>1062</v>
      </c>
      <c r="C427" s="547" t="s">
        <v>1048</v>
      </c>
      <c r="D427" s="547" t="s">
        <v>1101</v>
      </c>
      <c r="E427" s="547" t="s">
        <v>1067</v>
      </c>
      <c r="F427" s="567">
        <v>77</v>
      </c>
      <c r="G427" s="567">
        <v>5467</v>
      </c>
      <c r="H427" s="567">
        <v>1.2052469135802468</v>
      </c>
      <c r="I427" s="567">
        <v>71</v>
      </c>
      <c r="J427" s="567">
        <v>63</v>
      </c>
      <c r="K427" s="567">
        <v>4536</v>
      </c>
      <c r="L427" s="567">
        <v>1</v>
      </c>
      <c r="M427" s="567">
        <v>72</v>
      </c>
      <c r="N427" s="567">
        <v>110</v>
      </c>
      <c r="O427" s="567">
        <v>7920</v>
      </c>
      <c r="P427" s="552">
        <v>1.746031746031746</v>
      </c>
      <c r="Q427" s="568">
        <v>72</v>
      </c>
    </row>
    <row r="428" spans="1:17" ht="14.4" customHeight="1" x14ac:dyDescent="0.3">
      <c r="A428" s="546" t="s">
        <v>1177</v>
      </c>
      <c r="B428" s="547" t="s">
        <v>1062</v>
      </c>
      <c r="C428" s="547" t="s">
        <v>1048</v>
      </c>
      <c r="D428" s="547" t="s">
        <v>1108</v>
      </c>
      <c r="E428" s="547" t="s">
        <v>1109</v>
      </c>
      <c r="F428" s="567">
        <v>1</v>
      </c>
      <c r="G428" s="567">
        <v>1195</v>
      </c>
      <c r="H428" s="567">
        <v>0.19735755573905864</v>
      </c>
      <c r="I428" s="567">
        <v>1195</v>
      </c>
      <c r="J428" s="567">
        <v>5</v>
      </c>
      <c r="K428" s="567">
        <v>6055</v>
      </c>
      <c r="L428" s="567">
        <v>1</v>
      </c>
      <c r="M428" s="567">
        <v>1211</v>
      </c>
      <c r="N428" s="567">
        <v>3</v>
      </c>
      <c r="O428" s="567">
        <v>3633</v>
      </c>
      <c r="P428" s="552">
        <v>0.6</v>
      </c>
      <c r="Q428" s="568">
        <v>1211</v>
      </c>
    </row>
    <row r="429" spans="1:17" ht="14.4" customHeight="1" x14ac:dyDescent="0.3">
      <c r="A429" s="546" t="s">
        <v>1177</v>
      </c>
      <c r="B429" s="547" t="s">
        <v>1062</v>
      </c>
      <c r="C429" s="547" t="s">
        <v>1048</v>
      </c>
      <c r="D429" s="547" t="s">
        <v>1110</v>
      </c>
      <c r="E429" s="547" t="s">
        <v>1111</v>
      </c>
      <c r="F429" s="567">
        <v>1</v>
      </c>
      <c r="G429" s="567">
        <v>110</v>
      </c>
      <c r="H429" s="567">
        <v>0.48245614035087719</v>
      </c>
      <c r="I429" s="567">
        <v>110</v>
      </c>
      <c r="J429" s="567">
        <v>2</v>
      </c>
      <c r="K429" s="567">
        <v>228</v>
      </c>
      <c r="L429" s="567">
        <v>1</v>
      </c>
      <c r="M429" s="567">
        <v>114</v>
      </c>
      <c r="N429" s="567">
        <v>2</v>
      </c>
      <c r="O429" s="567">
        <v>228</v>
      </c>
      <c r="P429" s="552">
        <v>1</v>
      </c>
      <c r="Q429" s="568">
        <v>114</v>
      </c>
    </row>
    <row r="430" spans="1:17" ht="14.4" customHeight="1" thickBot="1" x14ac:dyDescent="0.35">
      <c r="A430" s="554" t="s">
        <v>1177</v>
      </c>
      <c r="B430" s="555" t="s">
        <v>1062</v>
      </c>
      <c r="C430" s="555" t="s">
        <v>1048</v>
      </c>
      <c r="D430" s="555" t="s">
        <v>1120</v>
      </c>
      <c r="E430" s="555" t="s">
        <v>1121</v>
      </c>
      <c r="F430" s="569"/>
      <c r="G430" s="569"/>
      <c r="H430" s="569"/>
      <c r="I430" s="569"/>
      <c r="J430" s="569">
        <v>1</v>
      </c>
      <c r="K430" s="569">
        <v>301</v>
      </c>
      <c r="L430" s="569">
        <v>1</v>
      </c>
      <c r="M430" s="569">
        <v>301</v>
      </c>
      <c r="N430" s="569"/>
      <c r="O430" s="569"/>
      <c r="P430" s="560"/>
      <c r="Q430" s="57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7" t="s">
        <v>136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4.4" customHeight="1" thickBot="1" x14ac:dyDescent="0.35">
      <c r="A2" s="235" t="s">
        <v>291</v>
      </c>
      <c r="B2" s="111"/>
      <c r="C2" s="111"/>
      <c r="D2" s="111"/>
      <c r="E2" s="111"/>
      <c r="F2" s="111"/>
    </row>
    <row r="3" spans="1:10" ht="14.4" customHeight="1" x14ac:dyDescent="0.3">
      <c r="A3" s="348"/>
      <c r="B3" s="107">
        <v>2015</v>
      </c>
      <c r="C3" s="40">
        <v>2016</v>
      </c>
      <c r="D3" s="7"/>
      <c r="E3" s="352">
        <v>2017</v>
      </c>
      <c r="F3" s="353"/>
      <c r="G3" s="353"/>
      <c r="H3" s="354"/>
      <c r="I3" s="355">
        <v>2017</v>
      </c>
      <c r="J3" s="356"/>
    </row>
    <row r="4" spans="1:10" ht="14.4" customHeight="1" thickBot="1" x14ac:dyDescent="0.35">
      <c r="A4" s="349"/>
      <c r="B4" s="350" t="s">
        <v>73</v>
      </c>
      <c r="C4" s="351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33" t="s">
        <v>282</v>
      </c>
      <c r="J4" s="334" t="s">
        <v>283</v>
      </c>
    </row>
    <row r="5" spans="1:10" ht="14.4" customHeight="1" x14ac:dyDescent="0.3">
      <c r="A5" s="112" t="str">
        <f>HYPERLINK("#'Léky Žádanky'!A1","Léky (Kč)")</f>
        <v>Léky (Kč)</v>
      </c>
      <c r="B5" s="27">
        <v>8.3178199999999993</v>
      </c>
      <c r="C5" s="29">
        <v>7.5567799999999998</v>
      </c>
      <c r="D5" s="8"/>
      <c r="E5" s="117">
        <v>5.7020999999999997</v>
      </c>
      <c r="F5" s="28">
        <v>17.501735104457499</v>
      </c>
      <c r="G5" s="116">
        <f>E5-F5</f>
        <v>-11.799635104457499</v>
      </c>
      <c r="H5" s="122">
        <f>IF(F5&lt;0.00000001,"",E5/F5)</f>
        <v>0.32580198283013312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5992.4009100000112</v>
      </c>
      <c r="C6" s="31">
        <v>6145.6419800000003</v>
      </c>
      <c r="D6" s="8"/>
      <c r="E6" s="118">
        <v>5823.7027400000006</v>
      </c>
      <c r="F6" s="30">
        <v>6910</v>
      </c>
      <c r="G6" s="119">
        <f>E6-F6</f>
        <v>-1086.2972599999994</v>
      </c>
      <c r="H6" s="123">
        <f>IF(F6&lt;0.00000001,"",E6/F6)</f>
        <v>0.84279345007235895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5417.9010800000015</v>
      </c>
      <c r="C7" s="31">
        <v>5752.3341300000002</v>
      </c>
      <c r="D7" s="8"/>
      <c r="E7" s="118">
        <v>6111.0179800000005</v>
      </c>
      <c r="F7" s="30">
        <v>6238.3333333333339</v>
      </c>
      <c r="G7" s="119">
        <f>E7-F7</f>
        <v>-127.31535333333341</v>
      </c>
      <c r="H7" s="123">
        <f>IF(F7&lt;0.00000001,"",E7/F7)</f>
        <v>0.97959144750200378</v>
      </c>
    </row>
    <row r="8" spans="1:10" ht="14.4" customHeight="1" thickBot="1" x14ac:dyDescent="0.35">
      <c r="A8" s="1" t="s">
        <v>76</v>
      </c>
      <c r="B8" s="11">
        <v>-10605.479480000009</v>
      </c>
      <c r="C8" s="33">
        <v>-10983.433000000001</v>
      </c>
      <c r="D8" s="8"/>
      <c r="E8" s="120">
        <v>-9656.2925900000009</v>
      </c>
      <c r="F8" s="32">
        <v>-9472.7211536867308</v>
      </c>
      <c r="G8" s="121">
        <f>E8-F8</f>
        <v>-183.57143631327017</v>
      </c>
      <c r="H8" s="124" t="str">
        <f>IF(F8&lt;0.00000001,"",E8/F8)</f>
        <v/>
      </c>
    </row>
    <row r="9" spans="1:10" ht="14.4" customHeight="1" thickBot="1" x14ac:dyDescent="0.35">
      <c r="A9" s="2" t="s">
        <v>77</v>
      </c>
      <c r="B9" s="3">
        <v>813.14033000000381</v>
      </c>
      <c r="C9" s="35">
        <v>922.0998899999995</v>
      </c>
      <c r="D9" s="8"/>
      <c r="E9" s="3">
        <v>2284.1302300000007</v>
      </c>
      <c r="F9" s="34">
        <v>3693.1139147510603</v>
      </c>
      <c r="G9" s="34">
        <f>E9-F9</f>
        <v>-1408.9836847510596</v>
      </c>
      <c r="H9" s="125">
        <f>IF(F9&lt;0.00000001,"",E9/F9)</f>
        <v>0.61848355689130319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2433.692</v>
      </c>
      <c r="C11" s="29">
        <f>IF(ISERROR(VLOOKUP("Celkem:",'ZV Vykáz.-A'!A:H,5,0)),0,VLOOKUP("Celkem:",'ZV Vykáz.-A'!A:H,5,0)/1000)</f>
        <v>2685.6866600000003</v>
      </c>
      <c r="D11" s="8"/>
      <c r="E11" s="117">
        <f>IF(ISERROR(VLOOKUP("Celkem:",'ZV Vykáz.-A'!A:H,8,0)),0,VLOOKUP("Celkem:",'ZV Vykáz.-A'!A:H,8,0)/1000)</f>
        <v>2404.8013200000005</v>
      </c>
      <c r="F11" s="28">
        <f>C11</f>
        <v>2685.6866600000003</v>
      </c>
      <c r="G11" s="116">
        <f>E11-F11</f>
        <v>-280.88533999999981</v>
      </c>
      <c r="H11" s="122">
        <f>IF(F11&lt;0.00000001,"",E11/F11)</f>
        <v>0.89541395718888528</v>
      </c>
      <c r="I11" s="116">
        <f>E11-B11</f>
        <v>-28.89067999999952</v>
      </c>
      <c r="J11" s="122">
        <f>IF(B11&lt;0.00000001,"",E11/B11)</f>
        <v>0.98812886758061436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2433.692</v>
      </c>
      <c r="C13" s="37">
        <f>SUM(C11:C12)</f>
        <v>2685.6866600000003</v>
      </c>
      <c r="D13" s="8"/>
      <c r="E13" s="5">
        <f>SUM(E11:E12)</f>
        <v>2404.8013200000005</v>
      </c>
      <c r="F13" s="36">
        <f>SUM(F11:F12)</f>
        <v>2685.6866600000003</v>
      </c>
      <c r="G13" s="36">
        <f>E13-F13</f>
        <v>-280.88533999999981</v>
      </c>
      <c r="H13" s="126">
        <f>IF(F13&lt;0.00000001,"",E13/F13)</f>
        <v>0.89541395718888528</v>
      </c>
      <c r="I13" s="36">
        <f>SUM(I11:I12)</f>
        <v>-28.89067999999952</v>
      </c>
      <c r="J13" s="126">
        <f>IF(B13&lt;0.00000001,"",E13/B13)</f>
        <v>0.98812886758061436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2.9929544879418151</v>
      </c>
      <c r="C15" s="39">
        <f>IF(C9=0,"",C13/C9)</f>
        <v>2.9125767057623246</v>
      </c>
      <c r="D15" s="8"/>
      <c r="E15" s="6">
        <f>IF(E9=0,"",E13/E9)</f>
        <v>1.0528302145013859</v>
      </c>
      <c r="F15" s="38">
        <f>IF(F9=0,"",F13/F9)</f>
        <v>0.72721468170066805</v>
      </c>
      <c r="G15" s="38">
        <f>IF(ISERROR(F15-E15),"",E15-F15)</f>
        <v>0.32561553280071787</v>
      </c>
      <c r="H15" s="127">
        <f>IF(ISERROR(F15-E15),"",IF(F15&lt;0.00000001,"",E15/F15))</f>
        <v>1.447757094286424</v>
      </c>
    </row>
    <row r="17" spans="1:8" ht="14.4" customHeight="1" x14ac:dyDescent="0.3">
      <c r="A17" s="113" t="s">
        <v>157</v>
      </c>
    </row>
    <row r="18" spans="1:8" ht="14.4" customHeight="1" x14ac:dyDescent="0.3">
      <c r="A18" s="290" t="s">
        <v>194</v>
      </c>
      <c r="B18" s="291"/>
      <c r="C18" s="291"/>
      <c r="D18" s="291"/>
      <c r="E18" s="291"/>
      <c r="F18" s="291"/>
      <c r="G18" s="291"/>
      <c r="H18" s="291"/>
    </row>
    <row r="19" spans="1:8" x14ac:dyDescent="0.3">
      <c r="A19" s="289" t="s">
        <v>193</v>
      </c>
      <c r="B19" s="291"/>
      <c r="C19" s="291"/>
      <c r="D19" s="291"/>
      <c r="E19" s="291"/>
      <c r="F19" s="291"/>
      <c r="G19" s="291"/>
      <c r="H19" s="291"/>
    </row>
    <row r="20" spans="1:8" ht="14.4" customHeight="1" x14ac:dyDescent="0.3">
      <c r="A20" s="114" t="s">
        <v>242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281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6" t="s">
        <v>104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4.4" customHeight="1" x14ac:dyDescent="0.3">
      <c r="A2" s="235" t="s">
        <v>291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-1.1318498263019034</v>
      </c>
      <c r="C4" s="201">
        <f t="shared" ref="C4:M4" si="0">(C10+C8)/C6</f>
        <v>1.0528302145013861</v>
      </c>
      <c r="D4" s="201">
        <f t="shared" si="0"/>
        <v>1.0528302145013861</v>
      </c>
      <c r="E4" s="201">
        <f t="shared" si="0"/>
        <v>1.0528302145013861</v>
      </c>
      <c r="F4" s="201">
        <f t="shared" si="0"/>
        <v>1.0528302145013861</v>
      </c>
      <c r="G4" s="201">
        <f t="shared" si="0"/>
        <v>1.0528302145013861</v>
      </c>
      <c r="H4" s="201">
        <f t="shared" si="0"/>
        <v>1.0528302145013861</v>
      </c>
      <c r="I4" s="201">
        <f t="shared" si="0"/>
        <v>1.0528302145013861</v>
      </c>
      <c r="J4" s="201">
        <f t="shared" si="0"/>
        <v>1.0528302145013861</v>
      </c>
      <c r="K4" s="201">
        <f t="shared" si="0"/>
        <v>1.0528302145013861</v>
      </c>
      <c r="L4" s="201">
        <f t="shared" si="0"/>
        <v>1.0528302145013861</v>
      </c>
      <c r="M4" s="201">
        <f t="shared" si="0"/>
        <v>1.0528302145013861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2284.1302299999998</v>
      </c>
      <c r="E6" s="203">
        <f t="shared" si="1"/>
        <v>2284.1302299999998</v>
      </c>
      <c r="F6" s="203">
        <f t="shared" si="1"/>
        <v>2284.1302299999998</v>
      </c>
      <c r="G6" s="203">
        <f t="shared" si="1"/>
        <v>2284.1302299999998</v>
      </c>
      <c r="H6" s="203">
        <f t="shared" si="1"/>
        <v>2284.1302299999998</v>
      </c>
      <c r="I6" s="203">
        <f t="shared" si="1"/>
        <v>2284.1302299999998</v>
      </c>
      <c r="J6" s="203">
        <f t="shared" si="1"/>
        <v>2284.1302299999998</v>
      </c>
      <c r="K6" s="203">
        <f t="shared" si="1"/>
        <v>2284.1302299999998</v>
      </c>
      <c r="L6" s="203">
        <f t="shared" si="1"/>
        <v>2284.1302299999998</v>
      </c>
      <c r="M6" s="203">
        <f t="shared" si="1"/>
        <v>2284.1302299999998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1328413.33</v>
      </c>
      <c r="C9" s="202">
        <v>1076387.99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1328.4133300000001</v>
      </c>
      <c r="C10" s="203">
        <f t="shared" ref="C10:M10" si="3">C9/1000+B10</f>
        <v>2404.80132</v>
      </c>
      <c r="D10" s="203">
        <f t="shared" si="3"/>
        <v>2404.80132</v>
      </c>
      <c r="E10" s="203">
        <f t="shared" si="3"/>
        <v>2404.80132</v>
      </c>
      <c r="F10" s="203">
        <f t="shared" si="3"/>
        <v>2404.80132</v>
      </c>
      <c r="G10" s="203">
        <f t="shared" si="3"/>
        <v>2404.80132</v>
      </c>
      <c r="H10" s="203">
        <f t="shared" si="3"/>
        <v>2404.80132</v>
      </c>
      <c r="I10" s="203">
        <f t="shared" si="3"/>
        <v>2404.80132</v>
      </c>
      <c r="J10" s="203">
        <f t="shared" si="3"/>
        <v>2404.80132</v>
      </c>
      <c r="K10" s="203">
        <f t="shared" si="3"/>
        <v>2404.80132</v>
      </c>
      <c r="L10" s="203">
        <f t="shared" si="3"/>
        <v>2404.80132</v>
      </c>
      <c r="M10" s="203">
        <f t="shared" si="3"/>
        <v>2404.80132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0.72721468170066805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0.72721468170066805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8" t="s">
        <v>293</v>
      </c>
      <c r="B1" s="358"/>
      <c r="C1" s="358"/>
      <c r="D1" s="358"/>
      <c r="E1" s="358"/>
      <c r="F1" s="358"/>
      <c r="G1" s="358"/>
      <c r="H1" s="346"/>
      <c r="I1" s="346"/>
      <c r="J1" s="346"/>
      <c r="K1" s="346"/>
      <c r="L1" s="346"/>
      <c r="M1" s="346"/>
      <c r="N1" s="346"/>
      <c r="O1" s="346"/>
      <c r="P1" s="346"/>
      <c r="Q1" s="346"/>
    </row>
    <row r="2" spans="1:17" s="204" customFormat="1" ht="14.4" customHeight="1" thickBot="1" x14ac:dyDescent="0.3">
      <c r="A2" s="235" t="s">
        <v>291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9" t="s">
        <v>29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27" t="s">
        <v>257</v>
      </c>
      <c r="E4" s="327" t="s">
        <v>258</v>
      </c>
      <c r="F4" s="327" t="s">
        <v>259</v>
      </c>
      <c r="G4" s="327" t="s">
        <v>260</v>
      </c>
      <c r="H4" s="327" t="s">
        <v>261</v>
      </c>
      <c r="I4" s="327" t="s">
        <v>262</v>
      </c>
      <c r="J4" s="327" t="s">
        <v>263</v>
      </c>
      <c r="K4" s="327" t="s">
        <v>264</v>
      </c>
      <c r="L4" s="327" t="s">
        <v>265</v>
      </c>
      <c r="M4" s="327" t="s">
        <v>266</v>
      </c>
      <c r="N4" s="327" t="s">
        <v>267</v>
      </c>
      <c r="O4" s="327" t="s">
        <v>268</v>
      </c>
      <c r="P4" s="361" t="s">
        <v>3</v>
      </c>
      <c r="Q4" s="362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292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5.7020999999999997</v>
      </c>
      <c r="Q7" s="95">
        <v>0.32580198283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326.69499999999999</v>
      </c>
      <c r="Q8" s="95">
        <v>1.261678219782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5823.7027399999997</v>
      </c>
      <c r="Q9" s="95">
        <v>0.84279345007200002</v>
      </c>
    </row>
    <row r="10" spans="1:17" ht="14.4" customHeight="1" x14ac:dyDescent="0.3">
      <c r="A10" s="15" t="s">
        <v>38</v>
      </c>
      <c r="B10" s="51">
        <v>1900</v>
      </c>
      <c r="C10" s="52">
        <v>158.333333333333</v>
      </c>
      <c r="D10" s="52">
        <v>151.42403999999999</v>
      </c>
      <c r="E10" s="52">
        <v>141.31131999999999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292.73536000000001</v>
      </c>
      <c r="Q10" s="95">
        <v>0.92442745263100001</v>
      </c>
    </row>
    <row r="11" spans="1:17" ht="14.4" customHeight="1" x14ac:dyDescent="0.3">
      <c r="A11" s="15" t="s">
        <v>39</v>
      </c>
      <c r="B11" s="51">
        <v>754.235888705967</v>
      </c>
      <c r="C11" s="52">
        <v>62.852990725497001</v>
      </c>
      <c r="D11" s="52">
        <v>37.918909999999997</v>
      </c>
      <c r="E11" s="52">
        <v>55.739660000000001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93.658569999999997</v>
      </c>
      <c r="Q11" s="95">
        <v>0.74506056847000002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131.49654000000001</v>
      </c>
      <c r="Q12" s="95">
        <v>29.371445933235002</v>
      </c>
    </row>
    <row r="13" spans="1:17" ht="14.4" customHeight="1" x14ac:dyDescent="0.3">
      <c r="A13" s="15" t="s">
        <v>41</v>
      </c>
      <c r="B13" s="51">
        <v>165</v>
      </c>
      <c r="C13" s="52">
        <v>13.75</v>
      </c>
      <c r="D13" s="52">
        <v>2.7443</v>
      </c>
      <c r="E13" s="52">
        <v>23.967649999999999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26.711950000000002</v>
      </c>
      <c r="Q13" s="95">
        <v>0.97134363636300003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278.447</v>
      </c>
      <c r="Q14" s="95">
        <v>1.214022664102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-17185.759389999999</v>
      </c>
      <c r="Q16" s="95">
        <v>0.90491054269399995</v>
      </c>
    </row>
    <row r="17" spans="1:17" ht="14.4" customHeight="1" x14ac:dyDescent="0.3">
      <c r="A17" s="15" t="s">
        <v>45</v>
      </c>
      <c r="B17" s="51">
        <v>922.96732237038395</v>
      </c>
      <c r="C17" s="52">
        <v>76.913943530864998</v>
      </c>
      <c r="D17" s="52">
        <v>50.569929999999999</v>
      </c>
      <c r="E17" s="52">
        <v>21.73207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72.302000000000007</v>
      </c>
      <c r="Q17" s="95">
        <v>0.47001880725900003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111.565</v>
      </c>
      <c r="Q18" s="95">
        <v>1.037813953488</v>
      </c>
    </row>
    <row r="19" spans="1:17" ht="14.4" customHeight="1" x14ac:dyDescent="0.3">
      <c r="A19" s="15" t="s">
        <v>47</v>
      </c>
      <c r="B19" s="51">
        <v>1522.8846466949601</v>
      </c>
      <c r="C19" s="52">
        <v>126.907053891247</v>
      </c>
      <c r="D19" s="52">
        <v>112.3451</v>
      </c>
      <c r="E19" s="52">
        <v>164.24768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276.59278</v>
      </c>
      <c r="Q19" s="95">
        <v>1.0897454929370001</v>
      </c>
    </row>
    <row r="20" spans="1:17" ht="14.4" customHeight="1" x14ac:dyDescent="0.3">
      <c r="A20" s="15" t="s">
        <v>48</v>
      </c>
      <c r="B20" s="51">
        <v>37430</v>
      </c>
      <c r="C20" s="52">
        <v>3119.1666666666702</v>
      </c>
      <c r="D20" s="52">
        <v>3089.4821400000001</v>
      </c>
      <c r="E20" s="52">
        <v>3021.53584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6111.0179799999996</v>
      </c>
      <c r="Q20" s="95">
        <v>0.979591447502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634.66099999999994</v>
      </c>
      <c r="Q21" s="95">
        <v>1.025576622677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40.459980000000002</v>
      </c>
      <c r="E22" s="52">
        <v>19.4175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59.877479999999998</v>
      </c>
      <c r="Q22" s="95" t="s">
        <v>292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5133.4629999999997</v>
      </c>
      <c r="Q23" s="95">
        <v>0.699223110102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40.314964985111999</v>
      </c>
      <c r="D24" s="52">
        <v>54.758050000000999</v>
      </c>
      <c r="E24" s="52">
        <v>36.503070000000001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91.261120000001</v>
      </c>
      <c r="Q24" s="95">
        <v>1.131851658977</v>
      </c>
    </row>
    <row r="25" spans="1:17" ht="14.4" customHeight="1" x14ac:dyDescent="0.3">
      <c r="A25" s="17" t="s">
        <v>53</v>
      </c>
      <c r="B25" s="54">
        <v>22158.6834885063</v>
      </c>
      <c r="C25" s="55">
        <v>1846.5569573755299</v>
      </c>
      <c r="D25" s="55">
        <v>-1173.66571</v>
      </c>
      <c r="E25" s="55">
        <v>3457.79594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2284.1302300000002</v>
      </c>
      <c r="Q25" s="96">
        <v>0.61848355689099999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440.56279000000001</v>
      </c>
      <c r="E26" s="52">
        <v>420.01271000000003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860.57550000000003</v>
      </c>
      <c r="Q26" s="95" t="s">
        <v>292</v>
      </c>
    </row>
    <row r="27" spans="1:17" ht="14.4" customHeight="1" x14ac:dyDescent="0.3">
      <c r="A27" s="18" t="s">
        <v>55</v>
      </c>
      <c r="B27" s="54">
        <v>22158.6834885063</v>
      </c>
      <c r="C27" s="55">
        <v>1846.5569573755299</v>
      </c>
      <c r="D27" s="55">
        <v>-733.10292000000004</v>
      </c>
      <c r="E27" s="55">
        <v>3877.8086499999999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3144.7057300000001</v>
      </c>
      <c r="Q27" s="96">
        <v>0.85150520741799995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45.124000000000002</v>
      </c>
      <c r="Q28" s="95">
        <v>1.118525837443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292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6113.9270500000002</v>
      </c>
      <c r="Q30" s="95">
        <v>0.63192825027999999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13.715999999999999</v>
      </c>
      <c r="Q31" s="97" t="s">
        <v>292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8" t="s">
        <v>61</v>
      </c>
      <c r="B1" s="358"/>
      <c r="C1" s="358"/>
      <c r="D1" s="358"/>
      <c r="E1" s="358"/>
      <c r="F1" s="358"/>
      <c r="G1" s="358"/>
      <c r="H1" s="363"/>
      <c r="I1" s="363"/>
      <c r="J1" s="363"/>
      <c r="K1" s="363"/>
    </row>
    <row r="2" spans="1:11" s="60" customFormat="1" ht="14.4" customHeight="1" thickBot="1" x14ac:dyDescent="0.35">
      <c r="A2" s="235" t="s">
        <v>291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9" t="s">
        <v>62</v>
      </c>
      <c r="C3" s="360"/>
      <c r="D3" s="360"/>
      <c r="E3" s="360"/>
      <c r="F3" s="366" t="s">
        <v>63</v>
      </c>
      <c r="G3" s="360"/>
      <c r="H3" s="360"/>
      <c r="I3" s="360"/>
      <c r="J3" s="360"/>
      <c r="K3" s="367"/>
    </row>
    <row r="4" spans="1:11" ht="14.4" customHeight="1" x14ac:dyDescent="0.3">
      <c r="A4" s="77"/>
      <c r="B4" s="364"/>
      <c r="C4" s="365"/>
      <c r="D4" s="365"/>
      <c r="E4" s="365"/>
      <c r="F4" s="368" t="s">
        <v>270</v>
      </c>
      <c r="G4" s="370" t="s">
        <v>64</v>
      </c>
      <c r="H4" s="140" t="s">
        <v>141</v>
      </c>
      <c r="I4" s="368" t="s">
        <v>65</v>
      </c>
      <c r="J4" s="370" t="s">
        <v>277</v>
      </c>
      <c r="K4" s="371" t="s">
        <v>271</v>
      </c>
    </row>
    <row r="5" spans="1:11" ht="42" thickBot="1" x14ac:dyDescent="0.35">
      <c r="A5" s="78"/>
      <c r="B5" s="24" t="s">
        <v>273</v>
      </c>
      <c r="C5" s="25" t="s">
        <v>274</v>
      </c>
      <c r="D5" s="26" t="s">
        <v>275</v>
      </c>
      <c r="E5" s="26" t="s">
        <v>276</v>
      </c>
      <c r="F5" s="369"/>
      <c r="G5" s="369"/>
      <c r="H5" s="25" t="s">
        <v>272</v>
      </c>
      <c r="I5" s="369"/>
      <c r="J5" s="369"/>
      <c r="K5" s="372"/>
    </row>
    <row r="6" spans="1:11" ht="14.4" customHeight="1" thickBot="1" x14ac:dyDescent="0.35">
      <c r="A6" s="458" t="s">
        <v>294</v>
      </c>
      <c r="B6" s="440">
        <v>32714.444305682598</v>
      </c>
      <c r="C6" s="440">
        <v>32660.541800000101</v>
      </c>
      <c r="D6" s="441">
        <v>-53.902505682570002</v>
      </c>
      <c r="E6" s="442">
        <v>0.99835233314100003</v>
      </c>
      <c r="F6" s="440">
        <v>22158.6834885063</v>
      </c>
      <c r="G6" s="441">
        <v>3693.1139147510498</v>
      </c>
      <c r="H6" s="443">
        <v>3457.79594</v>
      </c>
      <c r="I6" s="440">
        <v>2284.1302300000002</v>
      </c>
      <c r="J6" s="441">
        <v>-1408.9836847510601</v>
      </c>
      <c r="K6" s="444">
        <v>0.103080592815</v>
      </c>
    </row>
    <row r="7" spans="1:11" ht="14.4" customHeight="1" thickBot="1" x14ac:dyDescent="0.35">
      <c r="A7" s="459" t="s">
        <v>295</v>
      </c>
      <c r="B7" s="440">
        <v>-56844.490289014699</v>
      </c>
      <c r="C7" s="440">
        <v>-59649.549229999997</v>
      </c>
      <c r="D7" s="441">
        <v>-2805.0589409853101</v>
      </c>
      <c r="E7" s="442">
        <v>1.04934618864</v>
      </c>
      <c r="F7" s="440">
        <v>-66608.948060380397</v>
      </c>
      <c r="G7" s="441">
        <v>-11101.491343396699</v>
      </c>
      <c r="H7" s="443">
        <v>-4460.3986500000001</v>
      </c>
      <c r="I7" s="440">
        <v>-10190.995510000001</v>
      </c>
      <c r="J7" s="441">
        <v>910.49583339672995</v>
      </c>
      <c r="K7" s="444">
        <v>0.152997394595</v>
      </c>
    </row>
    <row r="8" spans="1:11" ht="14.4" customHeight="1" thickBot="1" x14ac:dyDescent="0.35">
      <c r="A8" s="460" t="s">
        <v>296</v>
      </c>
      <c r="B8" s="440">
        <v>46465.851046151402</v>
      </c>
      <c r="C8" s="440">
        <v>47019.088600000003</v>
      </c>
      <c r="D8" s="441">
        <v>553.23755384861602</v>
      </c>
      <c r="E8" s="442">
        <v>1.0119063256430001</v>
      </c>
      <c r="F8" s="440">
        <v>45964.7295934664</v>
      </c>
      <c r="G8" s="441">
        <v>7660.7882655777303</v>
      </c>
      <c r="H8" s="443">
        <v>3545.27324</v>
      </c>
      <c r="I8" s="440">
        <v>6716.3168800000003</v>
      </c>
      <c r="J8" s="441">
        <v>-944.47138557773098</v>
      </c>
      <c r="K8" s="444">
        <v>0.14611892508400001</v>
      </c>
    </row>
    <row r="9" spans="1:11" ht="14.4" customHeight="1" thickBot="1" x14ac:dyDescent="0.35">
      <c r="A9" s="461" t="s">
        <v>297</v>
      </c>
      <c r="B9" s="445">
        <v>0</v>
      </c>
      <c r="C9" s="445">
        <v>8.7999999900000004E-4</v>
      </c>
      <c r="D9" s="446">
        <v>8.7999999900000004E-4</v>
      </c>
      <c r="E9" s="447" t="s">
        <v>292</v>
      </c>
      <c r="F9" s="445">
        <v>0</v>
      </c>
      <c r="G9" s="446">
        <v>0</v>
      </c>
      <c r="H9" s="448">
        <v>-4.2999999999999999E-4</v>
      </c>
      <c r="I9" s="445">
        <v>-3.8000000000000002E-4</v>
      </c>
      <c r="J9" s="446">
        <v>-3.8000000000000002E-4</v>
      </c>
      <c r="K9" s="449" t="s">
        <v>292</v>
      </c>
    </row>
    <row r="10" spans="1:11" ht="14.4" customHeight="1" thickBot="1" x14ac:dyDescent="0.35">
      <c r="A10" s="462" t="s">
        <v>298</v>
      </c>
      <c r="B10" s="440">
        <v>0</v>
      </c>
      <c r="C10" s="440">
        <v>8.7999999900000004E-4</v>
      </c>
      <c r="D10" s="441">
        <v>8.7999999900000004E-4</v>
      </c>
      <c r="E10" s="450" t="s">
        <v>292</v>
      </c>
      <c r="F10" s="440">
        <v>0</v>
      </c>
      <c r="G10" s="441">
        <v>0</v>
      </c>
      <c r="H10" s="443">
        <v>-4.2999999999999999E-4</v>
      </c>
      <c r="I10" s="440">
        <v>-3.8000000000000002E-4</v>
      </c>
      <c r="J10" s="441">
        <v>-3.8000000000000002E-4</v>
      </c>
      <c r="K10" s="451" t="s">
        <v>292</v>
      </c>
    </row>
    <row r="11" spans="1:11" ht="14.4" customHeight="1" thickBot="1" x14ac:dyDescent="0.35">
      <c r="A11" s="461" t="s">
        <v>299</v>
      </c>
      <c r="B11" s="445">
        <v>190.00001715310199</v>
      </c>
      <c r="C11" s="445">
        <v>345.19131000000101</v>
      </c>
      <c r="D11" s="446">
        <v>155.19129284689899</v>
      </c>
      <c r="E11" s="452">
        <v>1.816796204401</v>
      </c>
      <c r="F11" s="445">
        <v>105.01041062674599</v>
      </c>
      <c r="G11" s="446">
        <v>17.501735104457001</v>
      </c>
      <c r="H11" s="448">
        <v>3.2982100000000001</v>
      </c>
      <c r="I11" s="445">
        <v>5.7020999999999997</v>
      </c>
      <c r="J11" s="446">
        <v>-11.799635104457</v>
      </c>
      <c r="K11" s="453">
        <v>5.4300330470999997E-2</v>
      </c>
    </row>
    <row r="12" spans="1:11" ht="14.4" customHeight="1" thickBot="1" x14ac:dyDescent="0.35">
      <c r="A12" s="462" t="s">
        <v>300</v>
      </c>
      <c r="B12" s="440">
        <v>190.00001715310199</v>
      </c>
      <c r="C12" s="440">
        <v>75.576449999999994</v>
      </c>
      <c r="D12" s="441">
        <v>-114.423567153102</v>
      </c>
      <c r="E12" s="442">
        <v>0.39777075356300001</v>
      </c>
      <c r="F12" s="440">
        <v>100</v>
      </c>
      <c r="G12" s="441">
        <v>16.666666666666</v>
      </c>
      <c r="H12" s="443">
        <v>3.2980499999999999</v>
      </c>
      <c r="I12" s="440">
        <v>5.70146</v>
      </c>
      <c r="J12" s="441">
        <v>-10.965206666666001</v>
      </c>
      <c r="K12" s="444">
        <v>5.7014599999999999E-2</v>
      </c>
    </row>
    <row r="13" spans="1:11" ht="14.4" customHeight="1" thickBot="1" x14ac:dyDescent="0.35">
      <c r="A13" s="462" t="s">
        <v>301</v>
      </c>
      <c r="B13" s="440">
        <v>0</v>
      </c>
      <c r="C13" s="440">
        <v>269.61486000000099</v>
      </c>
      <c r="D13" s="441">
        <v>269.61486000000099</v>
      </c>
      <c r="E13" s="450" t="s">
        <v>292</v>
      </c>
      <c r="F13" s="440">
        <v>5.0104106267460002</v>
      </c>
      <c r="G13" s="441">
        <v>0.83506843779100004</v>
      </c>
      <c r="H13" s="443">
        <v>1.6000000000000001E-4</v>
      </c>
      <c r="I13" s="440">
        <v>6.4000000000000005E-4</v>
      </c>
      <c r="J13" s="441">
        <v>-0.83442843779099996</v>
      </c>
      <c r="K13" s="444">
        <v>1.2773404100000001E-4</v>
      </c>
    </row>
    <row r="14" spans="1:11" ht="14.4" customHeight="1" thickBot="1" x14ac:dyDescent="0.35">
      <c r="A14" s="461" t="s">
        <v>302</v>
      </c>
      <c r="B14" s="445">
        <v>1390.7625223022201</v>
      </c>
      <c r="C14" s="445">
        <v>1767.7468200000001</v>
      </c>
      <c r="D14" s="446">
        <v>376.98429769778301</v>
      </c>
      <c r="E14" s="452">
        <v>1.2710630259669999</v>
      </c>
      <c r="F14" s="445">
        <v>1553.62117635462</v>
      </c>
      <c r="G14" s="446">
        <v>258.936862725769</v>
      </c>
      <c r="H14" s="448">
        <v>206.60900000000001</v>
      </c>
      <c r="I14" s="445">
        <v>326.69499999999999</v>
      </c>
      <c r="J14" s="446">
        <v>67.758137274229995</v>
      </c>
      <c r="K14" s="453">
        <v>0.21027970329699999</v>
      </c>
    </row>
    <row r="15" spans="1:11" ht="14.4" customHeight="1" thickBot="1" x14ac:dyDescent="0.35">
      <c r="A15" s="462" t="s">
        <v>303</v>
      </c>
      <c r="B15" s="440">
        <v>1316.6491352968701</v>
      </c>
      <c r="C15" s="440">
        <v>1454.1250600000001</v>
      </c>
      <c r="D15" s="441">
        <v>137.475924703136</v>
      </c>
      <c r="E15" s="442">
        <v>1.1044134849730001</v>
      </c>
      <c r="F15" s="440">
        <v>1181.36174803822</v>
      </c>
      <c r="G15" s="441">
        <v>196.89362467303701</v>
      </c>
      <c r="H15" s="443">
        <v>185.12799999999999</v>
      </c>
      <c r="I15" s="440">
        <v>259.53300000000002</v>
      </c>
      <c r="J15" s="441">
        <v>62.639375326962998</v>
      </c>
      <c r="K15" s="444">
        <v>0.21968969321199999</v>
      </c>
    </row>
    <row r="16" spans="1:11" ht="14.4" customHeight="1" thickBot="1" x14ac:dyDescent="0.35">
      <c r="A16" s="462" t="s">
        <v>304</v>
      </c>
      <c r="B16" s="440">
        <v>74.113387005351996</v>
      </c>
      <c r="C16" s="440">
        <v>313.62175999999999</v>
      </c>
      <c r="D16" s="441">
        <v>239.508372994647</v>
      </c>
      <c r="E16" s="442">
        <v>4.2316479204670001</v>
      </c>
      <c r="F16" s="440">
        <v>372.25942831639702</v>
      </c>
      <c r="G16" s="441">
        <v>62.043238052732001</v>
      </c>
      <c r="H16" s="443">
        <v>21.481000000000002</v>
      </c>
      <c r="I16" s="440">
        <v>67.162000000000006</v>
      </c>
      <c r="J16" s="441">
        <v>5.1187619472670001</v>
      </c>
      <c r="K16" s="444">
        <v>0.18041718997799999</v>
      </c>
    </row>
    <row r="17" spans="1:11" ht="14.4" customHeight="1" thickBot="1" x14ac:dyDescent="0.35">
      <c r="A17" s="461" t="s">
        <v>305</v>
      </c>
      <c r="B17" s="445">
        <v>41424.0050804122</v>
      </c>
      <c r="C17" s="445">
        <v>41576.442159999999</v>
      </c>
      <c r="D17" s="446">
        <v>152.43707958784901</v>
      </c>
      <c r="E17" s="452">
        <v>1.0036799213230001</v>
      </c>
      <c r="F17" s="445">
        <v>41460</v>
      </c>
      <c r="G17" s="446">
        <v>6910</v>
      </c>
      <c r="H17" s="448">
        <v>3048.08023</v>
      </c>
      <c r="I17" s="445">
        <v>5823.7027399999997</v>
      </c>
      <c r="J17" s="446">
        <v>-1086.2972600000001</v>
      </c>
      <c r="K17" s="453">
        <v>0.14046557501199999</v>
      </c>
    </row>
    <row r="18" spans="1:11" ht="14.4" customHeight="1" thickBot="1" x14ac:dyDescent="0.35">
      <c r="A18" s="462" t="s">
        <v>306</v>
      </c>
      <c r="B18" s="440">
        <v>17200.001552807102</v>
      </c>
      <c r="C18" s="440">
        <v>17143.925930000001</v>
      </c>
      <c r="D18" s="441">
        <v>-56.075622807125001</v>
      </c>
      <c r="E18" s="442">
        <v>0.99673978966599996</v>
      </c>
      <c r="F18" s="440">
        <v>17200</v>
      </c>
      <c r="G18" s="441">
        <v>2866.6666666666702</v>
      </c>
      <c r="H18" s="443">
        <v>1233.47378</v>
      </c>
      <c r="I18" s="440">
        <v>2321.8553400000001</v>
      </c>
      <c r="J18" s="441">
        <v>-544.81132666666599</v>
      </c>
      <c r="K18" s="444">
        <v>0.13499158953400001</v>
      </c>
    </row>
    <row r="19" spans="1:11" ht="14.4" customHeight="1" thickBot="1" x14ac:dyDescent="0.35">
      <c r="A19" s="462" t="s">
        <v>307</v>
      </c>
      <c r="B19" s="440">
        <v>478.07194890514899</v>
      </c>
      <c r="C19" s="440">
        <v>494.20406000000003</v>
      </c>
      <c r="D19" s="441">
        <v>16.13211109485</v>
      </c>
      <c r="E19" s="442">
        <v>1.033744107203</v>
      </c>
      <c r="F19" s="440">
        <v>490</v>
      </c>
      <c r="G19" s="441">
        <v>81.666666666666003</v>
      </c>
      <c r="H19" s="443">
        <v>53.328330000000001</v>
      </c>
      <c r="I19" s="440">
        <v>80.602429999999998</v>
      </c>
      <c r="J19" s="441">
        <v>-1.0642366666659999</v>
      </c>
      <c r="K19" s="444">
        <v>0.16449475510200001</v>
      </c>
    </row>
    <row r="20" spans="1:11" ht="14.4" customHeight="1" thickBot="1" x14ac:dyDescent="0.35">
      <c r="A20" s="462" t="s">
        <v>308</v>
      </c>
      <c r="B20" s="440">
        <v>271.93576151804899</v>
      </c>
      <c r="C20" s="440">
        <v>248.48873</v>
      </c>
      <c r="D20" s="441">
        <v>-23.447031518048998</v>
      </c>
      <c r="E20" s="442">
        <v>0.91377731495400005</v>
      </c>
      <c r="F20" s="440">
        <v>240</v>
      </c>
      <c r="G20" s="441">
        <v>40</v>
      </c>
      <c r="H20" s="443">
        <v>21.19408</v>
      </c>
      <c r="I20" s="440">
        <v>42.587240000000001</v>
      </c>
      <c r="J20" s="441">
        <v>2.58724</v>
      </c>
      <c r="K20" s="444">
        <v>0.17744683333299999</v>
      </c>
    </row>
    <row r="21" spans="1:11" ht="14.4" customHeight="1" thickBot="1" x14ac:dyDescent="0.35">
      <c r="A21" s="462" t="s">
        <v>309</v>
      </c>
      <c r="B21" s="440">
        <v>434.00003918129602</v>
      </c>
      <c r="C21" s="440">
        <v>421.09043000000003</v>
      </c>
      <c r="D21" s="441">
        <v>-12.909609181296</v>
      </c>
      <c r="E21" s="442">
        <v>0.97025435941000004</v>
      </c>
      <c r="F21" s="440">
        <v>440</v>
      </c>
      <c r="G21" s="441">
        <v>73.333333333333002</v>
      </c>
      <c r="H21" s="443">
        <v>51.98751</v>
      </c>
      <c r="I21" s="440">
        <v>94.314549999999997</v>
      </c>
      <c r="J21" s="441">
        <v>20.981216666666</v>
      </c>
      <c r="K21" s="444">
        <v>0.21435124999999999</v>
      </c>
    </row>
    <row r="22" spans="1:11" ht="14.4" customHeight="1" thickBot="1" x14ac:dyDescent="0.35">
      <c r="A22" s="462" t="s">
        <v>310</v>
      </c>
      <c r="B22" s="440">
        <v>22861.995761930801</v>
      </c>
      <c r="C22" s="440">
        <v>23081.229009999999</v>
      </c>
      <c r="D22" s="441">
        <v>219.23324806921701</v>
      </c>
      <c r="E22" s="442">
        <v>1.009589418629</v>
      </c>
      <c r="F22" s="440">
        <v>22900</v>
      </c>
      <c r="G22" s="441">
        <v>3816.6666666666702</v>
      </c>
      <c r="H22" s="443">
        <v>1668.5725299999999</v>
      </c>
      <c r="I22" s="440">
        <v>3247.6351800000002</v>
      </c>
      <c r="J22" s="441">
        <v>-569.03148666666596</v>
      </c>
      <c r="K22" s="444">
        <v>0.141818130131</v>
      </c>
    </row>
    <row r="23" spans="1:11" ht="14.4" customHeight="1" thickBot="1" x14ac:dyDescent="0.35">
      <c r="A23" s="462" t="s">
        <v>311</v>
      </c>
      <c r="B23" s="440">
        <v>48.000004333414999</v>
      </c>
      <c r="C23" s="440">
        <v>57.39</v>
      </c>
      <c r="D23" s="441">
        <v>9.3899956665839994</v>
      </c>
      <c r="E23" s="442">
        <v>1.195624892059</v>
      </c>
      <c r="F23" s="440">
        <v>60</v>
      </c>
      <c r="G23" s="441">
        <v>10</v>
      </c>
      <c r="H23" s="443">
        <v>4.3440000000000003</v>
      </c>
      <c r="I23" s="440">
        <v>8.6940000000000008</v>
      </c>
      <c r="J23" s="441">
        <v>-1.306</v>
      </c>
      <c r="K23" s="444">
        <v>0.1449</v>
      </c>
    </row>
    <row r="24" spans="1:11" ht="14.4" customHeight="1" thickBot="1" x14ac:dyDescent="0.35">
      <c r="A24" s="462" t="s">
        <v>312</v>
      </c>
      <c r="B24" s="440">
        <v>130.00001173633299</v>
      </c>
      <c r="C24" s="440">
        <v>130.114</v>
      </c>
      <c r="D24" s="441">
        <v>0.113988263666</v>
      </c>
      <c r="E24" s="442">
        <v>1.000876832718</v>
      </c>
      <c r="F24" s="440">
        <v>130</v>
      </c>
      <c r="G24" s="441">
        <v>21.666666666666</v>
      </c>
      <c r="H24" s="443">
        <v>15.18</v>
      </c>
      <c r="I24" s="440">
        <v>28.013999999999999</v>
      </c>
      <c r="J24" s="441">
        <v>6.3473333333330002</v>
      </c>
      <c r="K24" s="444">
        <v>0.21549230769200001</v>
      </c>
    </row>
    <row r="25" spans="1:11" ht="14.4" customHeight="1" thickBot="1" x14ac:dyDescent="0.35">
      <c r="A25" s="461" t="s">
        <v>313</v>
      </c>
      <c r="B25" s="445">
        <v>2114.0001908508302</v>
      </c>
      <c r="C25" s="445">
        <v>1766.0814800000001</v>
      </c>
      <c r="D25" s="446">
        <v>-347.91871085082897</v>
      </c>
      <c r="E25" s="452">
        <v>0.83542162751100002</v>
      </c>
      <c r="F25" s="445">
        <v>1900</v>
      </c>
      <c r="G25" s="446">
        <v>316.66666666666703</v>
      </c>
      <c r="H25" s="448">
        <v>141.31131999999999</v>
      </c>
      <c r="I25" s="445">
        <v>292.73536000000001</v>
      </c>
      <c r="J25" s="446">
        <v>-23.931306666666</v>
      </c>
      <c r="K25" s="453">
        <v>0.15407124210500001</v>
      </c>
    </row>
    <row r="26" spans="1:11" ht="14.4" customHeight="1" thickBot="1" x14ac:dyDescent="0.35">
      <c r="A26" s="462" t="s">
        <v>314</v>
      </c>
      <c r="B26" s="440">
        <v>2114.0001908508302</v>
      </c>
      <c r="C26" s="440">
        <v>1766.0814800000001</v>
      </c>
      <c r="D26" s="441">
        <v>-347.91871085082897</v>
      </c>
      <c r="E26" s="442">
        <v>0.83542162751100002</v>
      </c>
      <c r="F26" s="440">
        <v>1900</v>
      </c>
      <c r="G26" s="441">
        <v>316.66666666666703</v>
      </c>
      <c r="H26" s="443">
        <v>141.31131999999999</v>
      </c>
      <c r="I26" s="440">
        <v>292.73536000000001</v>
      </c>
      <c r="J26" s="441">
        <v>-23.931306666666</v>
      </c>
      <c r="K26" s="444">
        <v>0.15407124210500001</v>
      </c>
    </row>
    <row r="27" spans="1:11" ht="14.4" customHeight="1" thickBot="1" x14ac:dyDescent="0.35">
      <c r="A27" s="461" t="s">
        <v>315</v>
      </c>
      <c r="B27" s="445">
        <v>773.21287285777805</v>
      </c>
      <c r="C27" s="445">
        <v>769.22487999999998</v>
      </c>
      <c r="D27" s="446">
        <v>-3.9879928577779999</v>
      </c>
      <c r="E27" s="452">
        <v>0.99484230928100004</v>
      </c>
      <c r="F27" s="445">
        <v>754.235888705967</v>
      </c>
      <c r="G27" s="446">
        <v>125.705981450995</v>
      </c>
      <c r="H27" s="448">
        <v>55.739660000000001</v>
      </c>
      <c r="I27" s="445">
        <v>93.658569999999997</v>
      </c>
      <c r="J27" s="446">
        <v>-32.047411450993998</v>
      </c>
      <c r="K27" s="453">
        <v>0.12417676141099999</v>
      </c>
    </row>
    <row r="28" spans="1:11" ht="14.4" customHeight="1" thickBot="1" x14ac:dyDescent="0.35">
      <c r="A28" s="462" t="s">
        <v>316</v>
      </c>
      <c r="B28" s="440">
        <v>9.0862829601769999</v>
      </c>
      <c r="C28" s="440">
        <v>4.7985999999990003</v>
      </c>
      <c r="D28" s="441">
        <v>-4.2876829601770003</v>
      </c>
      <c r="E28" s="442">
        <v>0.52811474406299996</v>
      </c>
      <c r="F28" s="440">
        <v>0</v>
      </c>
      <c r="G28" s="441">
        <v>0</v>
      </c>
      <c r="H28" s="443">
        <v>0</v>
      </c>
      <c r="I28" s="440">
        <v>25.092980000000001</v>
      </c>
      <c r="J28" s="441">
        <v>25.092980000000001</v>
      </c>
      <c r="K28" s="451" t="s">
        <v>292</v>
      </c>
    </row>
    <row r="29" spans="1:11" ht="14.4" customHeight="1" thickBot="1" x14ac:dyDescent="0.35">
      <c r="A29" s="462" t="s">
        <v>317</v>
      </c>
      <c r="B29" s="440">
        <v>53.751172704303002</v>
      </c>
      <c r="C29" s="440">
        <v>27.485910000000001</v>
      </c>
      <c r="D29" s="441">
        <v>-26.265262704303002</v>
      </c>
      <c r="E29" s="442">
        <v>0.51135461083199996</v>
      </c>
      <c r="F29" s="440">
        <v>30</v>
      </c>
      <c r="G29" s="441">
        <v>5</v>
      </c>
      <c r="H29" s="443">
        <v>1.6704699999999999</v>
      </c>
      <c r="I29" s="440">
        <v>3.2840799999999999</v>
      </c>
      <c r="J29" s="441">
        <v>-1.7159199999999999</v>
      </c>
      <c r="K29" s="444">
        <v>0.109469333333</v>
      </c>
    </row>
    <row r="30" spans="1:11" ht="14.4" customHeight="1" thickBot="1" x14ac:dyDescent="0.35">
      <c r="A30" s="462" t="s">
        <v>318</v>
      </c>
      <c r="B30" s="440">
        <v>248.51847189947301</v>
      </c>
      <c r="C30" s="440">
        <v>227.28167999999999</v>
      </c>
      <c r="D30" s="441">
        <v>-21.236791899471999</v>
      </c>
      <c r="E30" s="442">
        <v>0.91454642491000004</v>
      </c>
      <c r="F30" s="440">
        <v>215.09303827399799</v>
      </c>
      <c r="G30" s="441">
        <v>35.848839712332001</v>
      </c>
      <c r="H30" s="443">
        <v>15.882569999999999</v>
      </c>
      <c r="I30" s="440">
        <v>27.306170000000002</v>
      </c>
      <c r="J30" s="441">
        <v>-8.5426697123319997</v>
      </c>
      <c r="K30" s="444">
        <v>0.12695050578600001</v>
      </c>
    </row>
    <row r="31" spans="1:11" ht="14.4" customHeight="1" thickBot="1" x14ac:dyDescent="0.35">
      <c r="A31" s="462" t="s">
        <v>319</v>
      </c>
      <c r="B31" s="440">
        <v>246.82629263659999</v>
      </c>
      <c r="C31" s="440">
        <v>248.11428000000001</v>
      </c>
      <c r="D31" s="441">
        <v>1.2879873634000001</v>
      </c>
      <c r="E31" s="442">
        <v>1.00521819353</v>
      </c>
      <c r="F31" s="440">
        <v>250</v>
      </c>
      <c r="G31" s="441">
        <v>41.666666666666003</v>
      </c>
      <c r="H31" s="443">
        <v>9.0214300000000005</v>
      </c>
      <c r="I31" s="440">
        <v>15.882849999999999</v>
      </c>
      <c r="J31" s="441">
        <v>-25.783816666665999</v>
      </c>
      <c r="K31" s="444">
        <v>6.3531400000000002E-2</v>
      </c>
    </row>
    <row r="32" spans="1:11" ht="14.4" customHeight="1" thickBot="1" x14ac:dyDescent="0.35">
      <c r="A32" s="462" t="s">
        <v>320</v>
      </c>
      <c r="B32" s="440">
        <v>15.047388554444</v>
      </c>
      <c r="C32" s="440">
        <v>10.42601</v>
      </c>
      <c r="D32" s="441">
        <v>-4.621378554444</v>
      </c>
      <c r="E32" s="442">
        <v>0.69287836638699996</v>
      </c>
      <c r="F32" s="440">
        <v>11.266601931495</v>
      </c>
      <c r="G32" s="441">
        <v>1.8777669885820001</v>
      </c>
      <c r="H32" s="443">
        <v>2.5828600000000002</v>
      </c>
      <c r="I32" s="440">
        <v>2.5828600000000002</v>
      </c>
      <c r="J32" s="441">
        <v>0.70509301141699998</v>
      </c>
      <c r="K32" s="444">
        <v>0.22924924619699999</v>
      </c>
    </row>
    <row r="33" spans="1:11" ht="14.4" customHeight="1" thickBot="1" x14ac:dyDescent="0.35">
      <c r="A33" s="462" t="s">
        <v>321</v>
      </c>
      <c r="B33" s="440">
        <v>0</v>
      </c>
      <c r="C33" s="440">
        <v>4.598E-2</v>
      </c>
      <c r="D33" s="441">
        <v>4.598E-2</v>
      </c>
      <c r="E33" s="450" t="s">
        <v>322</v>
      </c>
      <c r="F33" s="440">
        <v>0</v>
      </c>
      <c r="G33" s="441">
        <v>0</v>
      </c>
      <c r="H33" s="443">
        <v>11.567600000000001</v>
      </c>
      <c r="I33" s="440">
        <v>-13.065580000000001</v>
      </c>
      <c r="J33" s="441">
        <v>-13.065580000000001</v>
      </c>
      <c r="K33" s="451" t="s">
        <v>322</v>
      </c>
    </row>
    <row r="34" spans="1:11" ht="14.4" customHeight="1" thickBot="1" x14ac:dyDescent="0.35">
      <c r="A34" s="462" t="s">
        <v>323</v>
      </c>
      <c r="B34" s="440">
        <v>0</v>
      </c>
      <c r="C34" s="440">
        <v>2.8379999999999999E-2</v>
      </c>
      <c r="D34" s="441">
        <v>2.8379999999999999E-2</v>
      </c>
      <c r="E34" s="450" t="s">
        <v>322</v>
      </c>
      <c r="F34" s="440">
        <v>0</v>
      </c>
      <c r="G34" s="441">
        <v>0</v>
      </c>
      <c r="H34" s="443">
        <v>0</v>
      </c>
      <c r="I34" s="440">
        <v>0</v>
      </c>
      <c r="J34" s="441">
        <v>0</v>
      </c>
      <c r="K34" s="451" t="s">
        <v>292</v>
      </c>
    </row>
    <row r="35" spans="1:11" ht="14.4" customHeight="1" thickBot="1" x14ac:dyDescent="0.35">
      <c r="A35" s="462" t="s">
        <v>324</v>
      </c>
      <c r="B35" s="440">
        <v>12.320502880507</v>
      </c>
      <c r="C35" s="440">
        <v>11.192500000000001</v>
      </c>
      <c r="D35" s="441">
        <v>-1.1280028805069999</v>
      </c>
      <c r="E35" s="442">
        <v>0.90844506174299999</v>
      </c>
      <c r="F35" s="440">
        <v>12</v>
      </c>
      <c r="G35" s="441">
        <v>2</v>
      </c>
      <c r="H35" s="443">
        <v>0</v>
      </c>
      <c r="I35" s="440">
        <v>0</v>
      </c>
      <c r="J35" s="441">
        <v>-2</v>
      </c>
      <c r="K35" s="444">
        <v>0</v>
      </c>
    </row>
    <row r="36" spans="1:11" ht="14.4" customHeight="1" thickBot="1" x14ac:dyDescent="0.35">
      <c r="A36" s="462" t="s">
        <v>325</v>
      </c>
      <c r="B36" s="440">
        <v>41.803354065798999</v>
      </c>
      <c r="C36" s="440">
        <v>60.839649999999999</v>
      </c>
      <c r="D36" s="441">
        <v>19.036295934200002</v>
      </c>
      <c r="E36" s="442">
        <v>1.4553772384920001</v>
      </c>
      <c r="F36" s="440">
        <v>65.876248500474006</v>
      </c>
      <c r="G36" s="441">
        <v>10.979374750079</v>
      </c>
      <c r="H36" s="443">
        <v>4.3144600000000004</v>
      </c>
      <c r="I36" s="440">
        <v>11.64212</v>
      </c>
      <c r="J36" s="441">
        <v>0.66274524991999995</v>
      </c>
      <c r="K36" s="444">
        <v>0.17672712495000001</v>
      </c>
    </row>
    <row r="37" spans="1:11" ht="14.4" customHeight="1" thickBot="1" x14ac:dyDescent="0.35">
      <c r="A37" s="462" t="s">
        <v>326</v>
      </c>
      <c r="B37" s="440">
        <v>0</v>
      </c>
      <c r="C37" s="440">
        <v>1.93</v>
      </c>
      <c r="D37" s="441">
        <v>1.93</v>
      </c>
      <c r="E37" s="450" t="s">
        <v>292</v>
      </c>
      <c r="F37" s="440">
        <v>0</v>
      </c>
      <c r="G37" s="441">
        <v>0</v>
      </c>
      <c r="H37" s="443">
        <v>0</v>
      </c>
      <c r="I37" s="440">
        <v>0</v>
      </c>
      <c r="J37" s="441">
        <v>0</v>
      </c>
      <c r="K37" s="451" t="s">
        <v>292</v>
      </c>
    </row>
    <row r="38" spans="1:11" ht="14.4" customHeight="1" thickBot="1" x14ac:dyDescent="0.35">
      <c r="A38" s="462" t="s">
        <v>327</v>
      </c>
      <c r="B38" s="440">
        <v>0</v>
      </c>
      <c r="C38" s="440">
        <v>5.0765000000000002</v>
      </c>
      <c r="D38" s="441">
        <v>5.0765000000000002</v>
      </c>
      <c r="E38" s="450" t="s">
        <v>322</v>
      </c>
      <c r="F38" s="440">
        <v>0</v>
      </c>
      <c r="G38" s="441">
        <v>0</v>
      </c>
      <c r="H38" s="443">
        <v>0</v>
      </c>
      <c r="I38" s="440">
        <v>0</v>
      </c>
      <c r="J38" s="441">
        <v>0</v>
      </c>
      <c r="K38" s="451" t="s">
        <v>292</v>
      </c>
    </row>
    <row r="39" spans="1:11" ht="14.4" customHeight="1" thickBot="1" x14ac:dyDescent="0.35">
      <c r="A39" s="462" t="s">
        <v>328</v>
      </c>
      <c r="B39" s="440">
        <v>145.859407156473</v>
      </c>
      <c r="C39" s="440">
        <v>172.00539000000001</v>
      </c>
      <c r="D39" s="441">
        <v>26.145982843527001</v>
      </c>
      <c r="E39" s="442">
        <v>1.1792546902059999</v>
      </c>
      <c r="F39" s="440">
        <v>170</v>
      </c>
      <c r="G39" s="441">
        <v>28.333333333333002</v>
      </c>
      <c r="H39" s="443">
        <v>10.70027</v>
      </c>
      <c r="I39" s="440">
        <v>20.93309</v>
      </c>
      <c r="J39" s="441">
        <v>-7.400243333333</v>
      </c>
      <c r="K39" s="444">
        <v>0.123135823529</v>
      </c>
    </row>
    <row r="40" spans="1:11" ht="14.4" customHeight="1" thickBot="1" x14ac:dyDescent="0.35">
      <c r="A40" s="461" t="s">
        <v>329</v>
      </c>
      <c r="B40" s="445">
        <v>442.11535670405698</v>
      </c>
      <c r="C40" s="445">
        <v>604.53274999999996</v>
      </c>
      <c r="D40" s="446">
        <v>162.41739329594299</v>
      </c>
      <c r="E40" s="452">
        <v>1.3673642881500001</v>
      </c>
      <c r="F40" s="445">
        <v>26.862117779064</v>
      </c>
      <c r="G40" s="446">
        <v>4.4770196298440004</v>
      </c>
      <c r="H40" s="448">
        <v>64.068600000000004</v>
      </c>
      <c r="I40" s="445">
        <v>131.49654000000001</v>
      </c>
      <c r="J40" s="446">
        <v>127.019520370156</v>
      </c>
      <c r="K40" s="453">
        <v>4.8952409888719997</v>
      </c>
    </row>
    <row r="41" spans="1:11" ht="14.4" customHeight="1" thickBot="1" x14ac:dyDescent="0.35">
      <c r="A41" s="462" t="s">
        <v>330</v>
      </c>
      <c r="B41" s="440">
        <v>0</v>
      </c>
      <c r="C41" s="440">
        <v>3.0340600000000002</v>
      </c>
      <c r="D41" s="441">
        <v>3.0340600000000002</v>
      </c>
      <c r="E41" s="450" t="s">
        <v>292</v>
      </c>
      <c r="F41" s="440">
        <v>0</v>
      </c>
      <c r="G41" s="441">
        <v>0</v>
      </c>
      <c r="H41" s="443">
        <v>0</v>
      </c>
      <c r="I41" s="440">
        <v>0</v>
      </c>
      <c r="J41" s="441">
        <v>0</v>
      </c>
      <c r="K41" s="451" t="s">
        <v>292</v>
      </c>
    </row>
    <row r="42" spans="1:11" ht="14.4" customHeight="1" thickBot="1" x14ac:dyDescent="0.35">
      <c r="A42" s="462" t="s">
        <v>331</v>
      </c>
      <c r="B42" s="440">
        <v>424.22368844160502</v>
      </c>
      <c r="C42" s="440">
        <v>576.29792999999995</v>
      </c>
      <c r="D42" s="441">
        <v>152.07424155839601</v>
      </c>
      <c r="E42" s="442">
        <v>1.3584765436290001</v>
      </c>
      <c r="F42" s="440">
        <v>0</v>
      </c>
      <c r="G42" s="441">
        <v>0</v>
      </c>
      <c r="H42" s="443">
        <v>64.033000000000001</v>
      </c>
      <c r="I42" s="440">
        <v>128.066</v>
      </c>
      <c r="J42" s="441">
        <v>128.066</v>
      </c>
      <c r="K42" s="451" t="s">
        <v>292</v>
      </c>
    </row>
    <row r="43" spans="1:11" ht="14.4" customHeight="1" thickBot="1" x14ac:dyDescent="0.35">
      <c r="A43" s="462" t="s">
        <v>332</v>
      </c>
      <c r="B43" s="440">
        <v>0.30611808763100001</v>
      </c>
      <c r="C43" s="440">
        <v>12.895519999999999</v>
      </c>
      <c r="D43" s="441">
        <v>12.589401912368</v>
      </c>
      <c r="E43" s="442">
        <v>42.125965504889002</v>
      </c>
      <c r="F43" s="440">
        <v>16.814969134203</v>
      </c>
      <c r="G43" s="441">
        <v>2.8024948557</v>
      </c>
      <c r="H43" s="443">
        <v>0</v>
      </c>
      <c r="I43" s="440">
        <v>0</v>
      </c>
      <c r="J43" s="441">
        <v>-2.8024948557</v>
      </c>
      <c r="K43" s="444">
        <v>0</v>
      </c>
    </row>
    <row r="44" spans="1:11" ht="14.4" customHeight="1" thickBot="1" x14ac:dyDescent="0.35">
      <c r="A44" s="462" t="s">
        <v>333</v>
      </c>
      <c r="B44" s="440">
        <v>6.2742653193209996</v>
      </c>
      <c r="C44" s="440">
        <v>4.2075399999999998</v>
      </c>
      <c r="D44" s="441">
        <v>-2.0667253193209998</v>
      </c>
      <c r="E44" s="442">
        <v>0.67060281735899996</v>
      </c>
      <c r="F44" s="440">
        <v>4.5031561094520001</v>
      </c>
      <c r="G44" s="441">
        <v>0.75052601824200005</v>
      </c>
      <c r="H44" s="443">
        <v>0</v>
      </c>
      <c r="I44" s="440">
        <v>0.68</v>
      </c>
      <c r="J44" s="441">
        <v>-7.0526018241999999E-2</v>
      </c>
      <c r="K44" s="444">
        <v>0.15100520245599999</v>
      </c>
    </row>
    <row r="45" spans="1:11" ht="14.4" customHeight="1" thickBot="1" x14ac:dyDescent="0.35">
      <c r="A45" s="462" t="s">
        <v>334</v>
      </c>
      <c r="B45" s="440">
        <v>0</v>
      </c>
      <c r="C45" s="440">
        <v>3.3776999999999999</v>
      </c>
      <c r="D45" s="441">
        <v>3.3776999999999999</v>
      </c>
      <c r="E45" s="450" t="s">
        <v>292</v>
      </c>
      <c r="F45" s="440">
        <v>0</v>
      </c>
      <c r="G45" s="441">
        <v>0</v>
      </c>
      <c r="H45" s="443">
        <v>0</v>
      </c>
      <c r="I45" s="440">
        <v>0.69599999999999995</v>
      </c>
      <c r="J45" s="441">
        <v>0.69599999999999995</v>
      </c>
      <c r="K45" s="451" t="s">
        <v>292</v>
      </c>
    </row>
    <row r="46" spans="1:11" ht="14.4" customHeight="1" thickBot="1" x14ac:dyDescent="0.35">
      <c r="A46" s="462" t="s">
        <v>335</v>
      </c>
      <c r="B46" s="440">
        <v>11.311284855499</v>
      </c>
      <c r="C46" s="440">
        <v>4.72</v>
      </c>
      <c r="D46" s="441">
        <v>-6.5912848554989996</v>
      </c>
      <c r="E46" s="442">
        <v>0.41728239190299998</v>
      </c>
      <c r="F46" s="440">
        <v>5.5439925354090001</v>
      </c>
      <c r="G46" s="441">
        <v>0.923998755901</v>
      </c>
      <c r="H46" s="443">
        <v>3.56E-2</v>
      </c>
      <c r="I46" s="440">
        <v>2.0545399999999998</v>
      </c>
      <c r="J46" s="441">
        <v>1.1305412440980001</v>
      </c>
      <c r="K46" s="444">
        <v>0.37058852205800002</v>
      </c>
    </row>
    <row r="47" spans="1:11" ht="14.4" customHeight="1" thickBot="1" x14ac:dyDescent="0.35">
      <c r="A47" s="461" t="s">
        <v>336</v>
      </c>
      <c r="B47" s="445">
        <v>131.755005871267</v>
      </c>
      <c r="C47" s="445">
        <v>158.33431999999999</v>
      </c>
      <c r="D47" s="446">
        <v>26.579314128732001</v>
      </c>
      <c r="E47" s="452">
        <v>1.2017328598100001</v>
      </c>
      <c r="F47" s="445">
        <v>165</v>
      </c>
      <c r="G47" s="446">
        <v>27.5</v>
      </c>
      <c r="H47" s="448">
        <v>23.967649999999999</v>
      </c>
      <c r="I47" s="445">
        <v>26.711950000000002</v>
      </c>
      <c r="J47" s="446">
        <v>-0.78805000000000003</v>
      </c>
      <c r="K47" s="453">
        <v>0.16189060606</v>
      </c>
    </row>
    <row r="48" spans="1:11" ht="14.4" customHeight="1" thickBot="1" x14ac:dyDescent="0.35">
      <c r="A48" s="462" t="s">
        <v>337</v>
      </c>
      <c r="B48" s="440">
        <v>0</v>
      </c>
      <c r="C48" s="440">
        <v>0</v>
      </c>
      <c r="D48" s="441">
        <v>0</v>
      </c>
      <c r="E48" s="442">
        <v>1</v>
      </c>
      <c r="F48" s="440">
        <v>12</v>
      </c>
      <c r="G48" s="441">
        <v>2</v>
      </c>
      <c r="H48" s="443">
        <v>0</v>
      </c>
      <c r="I48" s="440">
        <v>0</v>
      </c>
      <c r="J48" s="441">
        <v>-2</v>
      </c>
      <c r="K48" s="444">
        <v>0</v>
      </c>
    </row>
    <row r="49" spans="1:11" ht="14.4" customHeight="1" thickBot="1" x14ac:dyDescent="0.35">
      <c r="A49" s="462" t="s">
        <v>338</v>
      </c>
      <c r="B49" s="440">
        <v>0</v>
      </c>
      <c r="C49" s="440">
        <v>28.313980000000001</v>
      </c>
      <c r="D49" s="441">
        <v>28.313980000000001</v>
      </c>
      <c r="E49" s="450" t="s">
        <v>292</v>
      </c>
      <c r="F49" s="440">
        <v>29</v>
      </c>
      <c r="G49" s="441">
        <v>4.833333333333</v>
      </c>
      <c r="H49" s="443">
        <v>3.1241500000000002</v>
      </c>
      <c r="I49" s="440">
        <v>5.6506499999999997</v>
      </c>
      <c r="J49" s="441">
        <v>0.817316666666</v>
      </c>
      <c r="K49" s="444">
        <v>0.19485</v>
      </c>
    </row>
    <row r="50" spans="1:11" ht="14.4" customHeight="1" thickBot="1" x14ac:dyDescent="0.35">
      <c r="A50" s="462" t="s">
        <v>339</v>
      </c>
      <c r="B50" s="440">
        <v>0.27639006859800003</v>
      </c>
      <c r="C50" s="440">
        <v>0.73085</v>
      </c>
      <c r="D50" s="441">
        <v>0.45445993140099999</v>
      </c>
      <c r="E50" s="442">
        <v>2.6442701205049999</v>
      </c>
      <c r="F50" s="440">
        <v>0</v>
      </c>
      <c r="G50" s="441">
        <v>0</v>
      </c>
      <c r="H50" s="443">
        <v>0</v>
      </c>
      <c r="I50" s="440">
        <v>0</v>
      </c>
      <c r="J50" s="441">
        <v>0</v>
      </c>
      <c r="K50" s="451" t="s">
        <v>292</v>
      </c>
    </row>
    <row r="51" spans="1:11" ht="14.4" customHeight="1" thickBot="1" x14ac:dyDescent="0.35">
      <c r="A51" s="462" t="s">
        <v>340</v>
      </c>
      <c r="B51" s="440">
        <v>117.0000105627</v>
      </c>
      <c r="C51" s="440">
        <v>115.82528000000001</v>
      </c>
      <c r="D51" s="441">
        <v>-1.1747305626989999</v>
      </c>
      <c r="E51" s="442">
        <v>0.989959568746</v>
      </c>
      <c r="F51" s="440">
        <v>110</v>
      </c>
      <c r="G51" s="441">
        <v>18.333333333333002</v>
      </c>
      <c r="H51" s="443">
        <v>20.843499999999999</v>
      </c>
      <c r="I51" s="440">
        <v>21.061299999999999</v>
      </c>
      <c r="J51" s="441">
        <v>2.7279666666660001</v>
      </c>
      <c r="K51" s="444">
        <v>0.191466363636</v>
      </c>
    </row>
    <row r="52" spans="1:11" ht="14.4" customHeight="1" thickBot="1" x14ac:dyDescent="0.35">
      <c r="A52" s="462" t="s">
        <v>341</v>
      </c>
      <c r="B52" s="440">
        <v>14.478605239967999</v>
      </c>
      <c r="C52" s="440">
        <v>13.46421</v>
      </c>
      <c r="D52" s="441">
        <v>-1.0143952399680001</v>
      </c>
      <c r="E52" s="442">
        <v>0.92993833154799999</v>
      </c>
      <c r="F52" s="440">
        <v>14</v>
      </c>
      <c r="G52" s="441">
        <v>2.333333333333</v>
      </c>
      <c r="H52" s="443">
        <v>0</v>
      </c>
      <c r="I52" s="440">
        <v>0</v>
      </c>
      <c r="J52" s="441">
        <v>-2.333333333333</v>
      </c>
      <c r="K52" s="444">
        <v>0</v>
      </c>
    </row>
    <row r="53" spans="1:11" ht="14.4" customHeight="1" thickBot="1" x14ac:dyDescent="0.35">
      <c r="A53" s="461" t="s">
        <v>342</v>
      </c>
      <c r="B53" s="445">
        <v>0</v>
      </c>
      <c r="C53" s="445">
        <v>0</v>
      </c>
      <c r="D53" s="446">
        <v>0</v>
      </c>
      <c r="E53" s="452">
        <v>1</v>
      </c>
      <c r="F53" s="445">
        <v>0</v>
      </c>
      <c r="G53" s="446">
        <v>0</v>
      </c>
      <c r="H53" s="448">
        <v>1.899</v>
      </c>
      <c r="I53" s="445">
        <v>1.899</v>
      </c>
      <c r="J53" s="446">
        <v>1.899</v>
      </c>
      <c r="K53" s="449" t="s">
        <v>322</v>
      </c>
    </row>
    <row r="54" spans="1:11" ht="14.4" customHeight="1" thickBot="1" x14ac:dyDescent="0.35">
      <c r="A54" s="462" t="s">
        <v>343</v>
      </c>
      <c r="B54" s="440">
        <v>0</v>
      </c>
      <c r="C54" s="440">
        <v>0</v>
      </c>
      <c r="D54" s="441">
        <v>0</v>
      </c>
      <c r="E54" s="442">
        <v>1</v>
      </c>
      <c r="F54" s="440">
        <v>0</v>
      </c>
      <c r="G54" s="441">
        <v>0</v>
      </c>
      <c r="H54" s="443">
        <v>1.899</v>
      </c>
      <c r="I54" s="440">
        <v>1.899</v>
      </c>
      <c r="J54" s="441">
        <v>1.899</v>
      </c>
      <c r="K54" s="451" t="s">
        <v>322</v>
      </c>
    </row>
    <row r="55" spans="1:11" ht="14.4" customHeight="1" thickBot="1" x14ac:dyDescent="0.35">
      <c r="A55" s="461" t="s">
        <v>344</v>
      </c>
      <c r="B55" s="445">
        <v>0</v>
      </c>
      <c r="C55" s="445">
        <v>31.533999999999999</v>
      </c>
      <c r="D55" s="446">
        <v>31.533999999999999</v>
      </c>
      <c r="E55" s="447" t="s">
        <v>292</v>
      </c>
      <c r="F55" s="445">
        <v>0</v>
      </c>
      <c r="G55" s="446">
        <v>0</v>
      </c>
      <c r="H55" s="448">
        <v>0.3</v>
      </c>
      <c r="I55" s="445">
        <v>13.715999999999999</v>
      </c>
      <c r="J55" s="446">
        <v>13.715999999999999</v>
      </c>
      <c r="K55" s="449" t="s">
        <v>292</v>
      </c>
    </row>
    <row r="56" spans="1:11" ht="14.4" customHeight="1" thickBot="1" x14ac:dyDescent="0.35">
      <c r="A56" s="462" t="s">
        <v>345</v>
      </c>
      <c r="B56" s="440">
        <v>0</v>
      </c>
      <c r="C56" s="440">
        <v>31.533999999999999</v>
      </c>
      <c r="D56" s="441">
        <v>31.533999999999999</v>
      </c>
      <c r="E56" s="450" t="s">
        <v>292</v>
      </c>
      <c r="F56" s="440">
        <v>0</v>
      </c>
      <c r="G56" s="441">
        <v>0</v>
      </c>
      <c r="H56" s="443">
        <v>0.3</v>
      </c>
      <c r="I56" s="440">
        <v>13.715999999999999</v>
      </c>
      <c r="J56" s="441">
        <v>13.715999999999999</v>
      </c>
      <c r="K56" s="451" t="s">
        <v>292</v>
      </c>
    </row>
    <row r="57" spans="1:11" ht="14.4" customHeight="1" thickBot="1" x14ac:dyDescent="0.35">
      <c r="A57" s="460" t="s">
        <v>42</v>
      </c>
      <c r="B57" s="440">
        <v>1349.6681134847699</v>
      </c>
      <c r="C57" s="440">
        <v>1334.289</v>
      </c>
      <c r="D57" s="441">
        <v>-15.379113484767</v>
      </c>
      <c r="E57" s="442">
        <v>0.98860526278100003</v>
      </c>
      <c r="F57" s="440">
        <v>1376.15388031878</v>
      </c>
      <c r="G57" s="441">
        <v>229.35898005312899</v>
      </c>
      <c r="H57" s="443">
        <v>125.624</v>
      </c>
      <c r="I57" s="440">
        <v>278.447</v>
      </c>
      <c r="J57" s="441">
        <v>49.088019946869998</v>
      </c>
      <c r="K57" s="444">
        <v>0.202337110683</v>
      </c>
    </row>
    <row r="58" spans="1:11" ht="14.4" customHeight="1" thickBot="1" x14ac:dyDescent="0.35">
      <c r="A58" s="461" t="s">
        <v>346</v>
      </c>
      <c r="B58" s="445">
        <v>1349.6681134847699</v>
      </c>
      <c r="C58" s="445">
        <v>1334.289</v>
      </c>
      <c r="D58" s="446">
        <v>-15.379113484767</v>
      </c>
      <c r="E58" s="452">
        <v>0.98860526278100003</v>
      </c>
      <c r="F58" s="445">
        <v>1376.15388031878</v>
      </c>
      <c r="G58" s="446">
        <v>229.35898005312899</v>
      </c>
      <c r="H58" s="448">
        <v>125.624</v>
      </c>
      <c r="I58" s="445">
        <v>278.447</v>
      </c>
      <c r="J58" s="446">
        <v>49.088019946869998</v>
      </c>
      <c r="K58" s="453">
        <v>0.202337110683</v>
      </c>
    </row>
    <row r="59" spans="1:11" ht="14.4" customHeight="1" thickBot="1" x14ac:dyDescent="0.35">
      <c r="A59" s="462" t="s">
        <v>347</v>
      </c>
      <c r="B59" s="440">
        <v>652.311387774742</v>
      </c>
      <c r="C59" s="440">
        <v>592.72</v>
      </c>
      <c r="D59" s="441">
        <v>-59.591387774742003</v>
      </c>
      <c r="E59" s="442">
        <v>0.90864579571699999</v>
      </c>
      <c r="F59" s="440">
        <v>611.99999999999704</v>
      </c>
      <c r="G59" s="441">
        <v>102</v>
      </c>
      <c r="H59" s="443">
        <v>48.945999999999998</v>
      </c>
      <c r="I59" s="440">
        <v>101.099</v>
      </c>
      <c r="J59" s="441">
        <v>-0.90099999999900005</v>
      </c>
      <c r="K59" s="444">
        <v>0.165194444444</v>
      </c>
    </row>
    <row r="60" spans="1:11" ht="14.4" customHeight="1" thickBot="1" x14ac:dyDescent="0.35">
      <c r="A60" s="462" t="s">
        <v>348</v>
      </c>
      <c r="B60" s="440">
        <v>305.30120522428899</v>
      </c>
      <c r="C60" s="440">
        <v>337.12299999999999</v>
      </c>
      <c r="D60" s="441">
        <v>31.82179477571</v>
      </c>
      <c r="E60" s="442">
        <v>1.104230819371</v>
      </c>
      <c r="F60" s="440">
        <v>364.15388031878098</v>
      </c>
      <c r="G60" s="441">
        <v>60.692313386462999</v>
      </c>
      <c r="H60" s="443">
        <v>27.963999999999999</v>
      </c>
      <c r="I60" s="440">
        <v>63.962000000000003</v>
      </c>
      <c r="J60" s="441">
        <v>3.2696866135359999</v>
      </c>
      <c r="K60" s="444">
        <v>0.17564552640200001</v>
      </c>
    </row>
    <row r="61" spans="1:11" ht="14.4" customHeight="1" thickBot="1" x14ac:dyDescent="0.35">
      <c r="A61" s="462" t="s">
        <v>349</v>
      </c>
      <c r="B61" s="440">
        <v>387.10100112084598</v>
      </c>
      <c r="C61" s="440">
        <v>402.26499999999999</v>
      </c>
      <c r="D61" s="441">
        <v>15.163998879154001</v>
      </c>
      <c r="E61" s="442">
        <v>1.039173236016</v>
      </c>
      <c r="F61" s="440">
        <v>396.99999999999801</v>
      </c>
      <c r="G61" s="441">
        <v>66.166666666666003</v>
      </c>
      <c r="H61" s="443">
        <v>48.314</v>
      </c>
      <c r="I61" s="440">
        <v>112.586</v>
      </c>
      <c r="J61" s="441">
        <v>46.419333333333</v>
      </c>
      <c r="K61" s="444">
        <v>0.28359193954599998</v>
      </c>
    </row>
    <row r="62" spans="1:11" ht="14.4" customHeight="1" thickBot="1" x14ac:dyDescent="0.35">
      <c r="A62" s="462" t="s">
        <v>350</v>
      </c>
      <c r="B62" s="440">
        <v>4.9545193648890002</v>
      </c>
      <c r="C62" s="440">
        <v>2.181</v>
      </c>
      <c r="D62" s="441">
        <v>-2.7735193648890002</v>
      </c>
      <c r="E62" s="442">
        <v>0.44020415288999998</v>
      </c>
      <c r="F62" s="440">
        <v>2.9999999999989999</v>
      </c>
      <c r="G62" s="441">
        <v>0.49999999999900002</v>
      </c>
      <c r="H62" s="443">
        <v>0.4</v>
      </c>
      <c r="I62" s="440">
        <v>0.8</v>
      </c>
      <c r="J62" s="441">
        <v>0.3</v>
      </c>
      <c r="K62" s="444">
        <v>0.26666666666599997</v>
      </c>
    </row>
    <row r="63" spans="1:11" ht="14.4" customHeight="1" thickBot="1" x14ac:dyDescent="0.35">
      <c r="A63" s="460" t="s">
        <v>43</v>
      </c>
      <c r="B63" s="440">
        <v>0</v>
      </c>
      <c r="C63" s="440">
        <v>0.21486</v>
      </c>
      <c r="D63" s="441">
        <v>0.21486</v>
      </c>
      <c r="E63" s="450" t="s">
        <v>292</v>
      </c>
      <c r="F63" s="440">
        <v>0.16846583445499999</v>
      </c>
      <c r="G63" s="441">
        <v>2.8077639075000001E-2</v>
      </c>
      <c r="H63" s="443">
        <v>0</v>
      </c>
      <c r="I63" s="440">
        <v>0</v>
      </c>
      <c r="J63" s="441">
        <v>-2.8077639075000001E-2</v>
      </c>
      <c r="K63" s="444">
        <v>0</v>
      </c>
    </row>
    <row r="64" spans="1:11" ht="14.4" customHeight="1" thickBot="1" x14ac:dyDescent="0.35">
      <c r="A64" s="461" t="s">
        <v>351</v>
      </c>
      <c r="B64" s="445">
        <v>0</v>
      </c>
      <c r="C64" s="445">
        <v>0.21486</v>
      </c>
      <c r="D64" s="446">
        <v>0.21486</v>
      </c>
      <c r="E64" s="447" t="s">
        <v>292</v>
      </c>
      <c r="F64" s="445">
        <v>0.16846583445499999</v>
      </c>
      <c r="G64" s="446">
        <v>2.8077639075000001E-2</v>
      </c>
      <c r="H64" s="448">
        <v>0</v>
      </c>
      <c r="I64" s="445">
        <v>0</v>
      </c>
      <c r="J64" s="446">
        <v>-2.8077639075000001E-2</v>
      </c>
      <c r="K64" s="453">
        <v>0</v>
      </c>
    </row>
    <row r="65" spans="1:11" ht="14.4" customHeight="1" thickBot="1" x14ac:dyDescent="0.35">
      <c r="A65" s="462" t="s">
        <v>352</v>
      </c>
      <c r="B65" s="440">
        <v>0</v>
      </c>
      <c r="C65" s="440">
        <v>0.21486</v>
      </c>
      <c r="D65" s="441">
        <v>0.21486</v>
      </c>
      <c r="E65" s="450" t="s">
        <v>292</v>
      </c>
      <c r="F65" s="440">
        <v>0.16846583445499999</v>
      </c>
      <c r="G65" s="441">
        <v>2.8077639075000001E-2</v>
      </c>
      <c r="H65" s="443">
        <v>0</v>
      </c>
      <c r="I65" s="440">
        <v>0</v>
      </c>
      <c r="J65" s="441">
        <v>-2.8077639075000001E-2</v>
      </c>
      <c r="K65" s="444">
        <v>0</v>
      </c>
    </row>
    <row r="66" spans="1:11" ht="14.4" customHeight="1" thickBot="1" x14ac:dyDescent="0.35">
      <c r="A66" s="463" t="s">
        <v>353</v>
      </c>
      <c r="B66" s="445">
        <v>-104660.00944865101</v>
      </c>
      <c r="C66" s="445">
        <v>-108003.14169</v>
      </c>
      <c r="D66" s="446">
        <v>-3343.1322413491398</v>
      </c>
      <c r="E66" s="452">
        <v>1.0319427855859999</v>
      </c>
      <c r="F66" s="445">
        <v>-113950</v>
      </c>
      <c r="G66" s="446">
        <v>-18991.666666666701</v>
      </c>
      <c r="H66" s="448">
        <v>-8131.2958900000003</v>
      </c>
      <c r="I66" s="445">
        <v>-17185.759389999999</v>
      </c>
      <c r="J66" s="446">
        <v>1805.90727666667</v>
      </c>
      <c r="K66" s="453">
        <v>0.150818423782</v>
      </c>
    </row>
    <row r="67" spans="1:11" ht="14.4" customHeight="1" thickBot="1" x14ac:dyDescent="0.35">
      <c r="A67" s="461" t="s">
        <v>354</v>
      </c>
      <c r="B67" s="445">
        <v>-104660.00944865101</v>
      </c>
      <c r="C67" s="445">
        <v>-108003.14169</v>
      </c>
      <c r="D67" s="446">
        <v>-3343.1322413491398</v>
      </c>
      <c r="E67" s="452">
        <v>1.0319427855859999</v>
      </c>
      <c r="F67" s="445">
        <v>-113950</v>
      </c>
      <c r="G67" s="446">
        <v>-18991.666666666701</v>
      </c>
      <c r="H67" s="448">
        <v>-8131.2958900000003</v>
      </c>
      <c r="I67" s="445">
        <v>-17185.759389999999</v>
      </c>
      <c r="J67" s="446">
        <v>1805.90727666667</v>
      </c>
      <c r="K67" s="453">
        <v>0.150818423782</v>
      </c>
    </row>
    <row r="68" spans="1:11" ht="14.4" customHeight="1" thickBot="1" x14ac:dyDescent="0.35">
      <c r="A68" s="462" t="s">
        <v>355</v>
      </c>
      <c r="B68" s="440">
        <v>-70783.006390252805</v>
      </c>
      <c r="C68" s="440">
        <v>-73581.510299999994</v>
      </c>
      <c r="D68" s="441">
        <v>-2798.50390974723</v>
      </c>
      <c r="E68" s="442">
        <v>1.03953638101</v>
      </c>
      <c r="F68" s="440">
        <v>-75950</v>
      </c>
      <c r="G68" s="441">
        <v>-12658.333333333299</v>
      </c>
      <c r="H68" s="443">
        <v>-4633.5848900000001</v>
      </c>
      <c r="I68" s="440">
        <v>-10084.66539</v>
      </c>
      <c r="J68" s="441">
        <v>2573.6679433333302</v>
      </c>
      <c r="K68" s="444">
        <v>0.132780321132</v>
      </c>
    </row>
    <row r="69" spans="1:11" ht="14.4" customHeight="1" thickBot="1" x14ac:dyDescent="0.35">
      <c r="A69" s="462" t="s">
        <v>356</v>
      </c>
      <c r="B69" s="440">
        <v>-33877.003058398099</v>
      </c>
      <c r="C69" s="440">
        <v>-34421.631390000002</v>
      </c>
      <c r="D69" s="441">
        <v>-544.62833160191803</v>
      </c>
      <c r="E69" s="442">
        <v>1.0160766384990001</v>
      </c>
      <c r="F69" s="440">
        <v>-38000</v>
      </c>
      <c r="G69" s="441">
        <v>-6333.3333333333303</v>
      </c>
      <c r="H69" s="443">
        <v>-3497.7109999999998</v>
      </c>
      <c r="I69" s="440">
        <v>-7101.0940000000001</v>
      </c>
      <c r="J69" s="441">
        <v>-767.760666666666</v>
      </c>
      <c r="K69" s="444">
        <v>0.18687089473599999</v>
      </c>
    </row>
    <row r="70" spans="1:11" ht="14.4" customHeight="1" thickBot="1" x14ac:dyDescent="0.35">
      <c r="A70" s="464" t="s">
        <v>357</v>
      </c>
      <c r="B70" s="445">
        <v>2438.9096550884301</v>
      </c>
      <c r="C70" s="445">
        <v>3294.4960500000002</v>
      </c>
      <c r="D70" s="446">
        <v>855.58639491157305</v>
      </c>
      <c r="E70" s="452">
        <v>1.350806924367</v>
      </c>
      <c r="F70" s="445">
        <v>3090.8519690653402</v>
      </c>
      <c r="G70" s="446">
        <v>515.14199484422397</v>
      </c>
      <c r="H70" s="448">
        <v>248.34475</v>
      </c>
      <c r="I70" s="445">
        <v>460.45978000000002</v>
      </c>
      <c r="J70" s="446">
        <v>-54.682214844223999</v>
      </c>
      <c r="K70" s="453">
        <v>0.14897503491200001</v>
      </c>
    </row>
    <row r="71" spans="1:11" ht="14.4" customHeight="1" thickBot="1" x14ac:dyDescent="0.35">
      <c r="A71" s="460" t="s">
        <v>45</v>
      </c>
      <c r="B71" s="440">
        <v>664.76870151463402</v>
      </c>
      <c r="C71" s="440">
        <v>1211.7137499999999</v>
      </c>
      <c r="D71" s="441">
        <v>546.94504848536701</v>
      </c>
      <c r="E71" s="442">
        <v>1.822759927233</v>
      </c>
      <c r="F71" s="440">
        <v>922.96732237038395</v>
      </c>
      <c r="G71" s="441">
        <v>153.82788706173099</v>
      </c>
      <c r="H71" s="443">
        <v>21.73207</v>
      </c>
      <c r="I71" s="440">
        <v>72.302000000000007</v>
      </c>
      <c r="J71" s="441">
        <v>-81.525887061730003</v>
      </c>
      <c r="K71" s="444">
        <v>7.8336467876000002E-2</v>
      </c>
    </row>
    <row r="72" spans="1:11" ht="14.4" customHeight="1" thickBot="1" x14ac:dyDescent="0.35">
      <c r="A72" s="465" t="s">
        <v>358</v>
      </c>
      <c r="B72" s="440">
        <v>664.76870151463402</v>
      </c>
      <c r="C72" s="440">
        <v>1211.7137499999999</v>
      </c>
      <c r="D72" s="441">
        <v>546.94504848536701</v>
      </c>
      <c r="E72" s="442">
        <v>1.822759927233</v>
      </c>
      <c r="F72" s="440">
        <v>922.96732237038395</v>
      </c>
      <c r="G72" s="441">
        <v>153.82788706173099</v>
      </c>
      <c r="H72" s="443">
        <v>21.73207</v>
      </c>
      <c r="I72" s="440">
        <v>72.302000000000007</v>
      </c>
      <c r="J72" s="441">
        <v>-81.525887061730003</v>
      </c>
      <c r="K72" s="444">
        <v>7.8336467876000002E-2</v>
      </c>
    </row>
    <row r="73" spans="1:11" ht="14.4" customHeight="1" thickBot="1" x14ac:dyDescent="0.35">
      <c r="A73" s="462" t="s">
        <v>359</v>
      </c>
      <c r="B73" s="440">
        <v>126.88332569281</v>
      </c>
      <c r="C73" s="440">
        <v>397.88234999999997</v>
      </c>
      <c r="D73" s="441">
        <v>270.99902430718998</v>
      </c>
      <c r="E73" s="442">
        <v>3.1358127462960002</v>
      </c>
      <c r="F73" s="440">
        <v>398.97605906984899</v>
      </c>
      <c r="G73" s="441">
        <v>66.496009844973997</v>
      </c>
      <c r="H73" s="443">
        <v>0.65339999999999998</v>
      </c>
      <c r="I73" s="440">
        <v>15.62487</v>
      </c>
      <c r="J73" s="441">
        <v>-50.871139844974003</v>
      </c>
      <c r="K73" s="444">
        <v>3.9162425023999997E-2</v>
      </c>
    </row>
    <row r="74" spans="1:11" ht="14.4" customHeight="1" thickBot="1" x14ac:dyDescent="0.35">
      <c r="A74" s="462" t="s">
        <v>360</v>
      </c>
      <c r="B74" s="440">
        <v>267.35136407575601</v>
      </c>
      <c r="C74" s="440">
        <v>210.80807999999999</v>
      </c>
      <c r="D74" s="441">
        <v>-56.543284075755999</v>
      </c>
      <c r="E74" s="442">
        <v>0.78850572066000002</v>
      </c>
      <c r="F74" s="440">
        <v>165.108939096151</v>
      </c>
      <c r="G74" s="441">
        <v>27.518156516025002</v>
      </c>
      <c r="H74" s="443">
        <v>9.8539999999999992</v>
      </c>
      <c r="I74" s="440">
        <v>30.854320000000001</v>
      </c>
      <c r="J74" s="441">
        <v>3.336163483974</v>
      </c>
      <c r="K74" s="444">
        <v>0.18687249866</v>
      </c>
    </row>
    <row r="75" spans="1:11" ht="14.4" customHeight="1" thickBot="1" x14ac:dyDescent="0.35">
      <c r="A75" s="462" t="s">
        <v>361</v>
      </c>
      <c r="B75" s="440">
        <v>159.58254373897799</v>
      </c>
      <c r="C75" s="440">
        <v>425.22560000000101</v>
      </c>
      <c r="D75" s="441">
        <v>265.64305626102299</v>
      </c>
      <c r="E75" s="442">
        <v>2.664612244153</v>
      </c>
      <c r="F75" s="440">
        <v>179.88232420438399</v>
      </c>
      <c r="G75" s="441">
        <v>29.980387367397</v>
      </c>
      <c r="H75" s="443">
        <v>1.9202399999999999</v>
      </c>
      <c r="I75" s="440">
        <v>5.3082399999999996</v>
      </c>
      <c r="J75" s="441">
        <v>-24.672147367396999</v>
      </c>
      <c r="K75" s="444">
        <v>2.9509514197E-2</v>
      </c>
    </row>
    <row r="76" spans="1:11" ht="14.4" customHeight="1" thickBot="1" x14ac:dyDescent="0.35">
      <c r="A76" s="462" t="s">
        <v>362</v>
      </c>
      <c r="B76" s="440">
        <v>110.95146800709</v>
      </c>
      <c r="C76" s="440">
        <v>174.28640999999999</v>
      </c>
      <c r="D76" s="441">
        <v>63.334941992909997</v>
      </c>
      <c r="E76" s="442">
        <v>1.5708346462689999</v>
      </c>
      <c r="F76" s="440">
        <v>173.99999999999901</v>
      </c>
      <c r="G76" s="441">
        <v>28.999999999999002</v>
      </c>
      <c r="H76" s="443">
        <v>9.30443</v>
      </c>
      <c r="I76" s="440">
        <v>20.514569999999999</v>
      </c>
      <c r="J76" s="441">
        <v>-8.4854299999990008</v>
      </c>
      <c r="K76" s="444">
        <v>0.117899827586</v>
      </c>
    </row>
    <row r="77" spans="1:11" ht="14.4" customHeight="1" thickBot="1" x14ac:dyDescent="0.35">
      <c r="A77" s="462" t="s">
        <v>363</v>
      </c>
      <c r="B77" s="440">
        <v>0</v>
      </c>
      <c r="C77" s="440">
        <v>3.5113099999999999</v>
      </c>
      <c r="D77" s="441">
        <v>3.5113099999999999</v>
      </c>
      <c r="E77" s="450" t="s">
        <v>322</v>
      </c>
      <c r="F77" s="440">
        <v>5</v>
      </c>
      <c r="G77" s="441">
        <v>0.83333333333299997</v>
      </c>
      <c r="H77" s="443">
        <v>0</v>
      </c>
      <c r="I77" s="440">
        <v>0</v>
      </c>
      <c r="J77" s="441">
        <v>-0.83333333333299997</v>
      </c>
      <c r="K77" s="444">
        <v>0</v>
      </c>
    </row>
    <row r="78" spans="1:11" ht="14.4" customHeight="1" thickBot="1" x14ac:dyDescent="0.35">
      <c r="A78" s="463" t="s">
        <v>46</v>
      </c>
      <c r="B78" s="445">
        <v>0</v>
      </c>
      <c r="C78" s="445">
        <v>721.995</v>
      </c>
      <c r="D78" s="446">
        <v>721.995</v>
      </c>
      <c r="E78" s="447" t="s">
        <v>292</v>
      </c>
      <c r="F78" s="445">
        <v>645</v>
      </c>
      <c r="G78" s="446">
        <v>107.5</v>
      </c>
      <c r="H78" s="448">
        <v>62.365000000000002</v>
      </c>
      <c r="I78" s="445">
        <v>111.565</v>
      </c>
      <c r="J78" s="446">
        <v>4.0650000000000004</v>
      </c>
      <c r="K78" s="453">
        <v>0.172968992248</v>
      </c>
    </row>
    <row r="79" spans="1:11" ht="14.4" customHeight="1" thickBot="1" x14ac:dyDescent="0.35">
      <c r="A79" s="461" t="s">
        <v>364</v>
      </c>
      <c r="B79" s="445">
        <v>0</v>
      </c>
      <c r="C79" s="445">
        <v>56.143999999999998</v>
      </c>
      <c r="D79" s="446">
        <v>56.143999999999998</v>
      </c>
      <c r="E79" s="447" t="s">
        <v>292</v>
      </c>
      <c r="F79" s="445">
        <v>0</v>
      </c>
      <c r="G79" s="446">
        <v>0</v>
      </c>
      <c r="H79" s="448">
        <v>2.2549999999999999</v>
      </c>
      <c r="I79" s="445">
        <v>4.9980000000000002</v>
      </c>
      <c r="J79" s="446">
        <v>4.9980000000000002</v>
      </c>
      <c r="K79" s="449" t="s">
        <v>292</v>
      </c>
    </row>
    <row r="80" spans="1:11" ht="14.4" customHeight="1" thickBot="1" x14ac:dyDescent="0.35">
      <c r="A80" s="462" t="s">
        <v>365</v>
      </c>
      <c r="B80" s="440">
        <v>0</v>
      </c>
      <c r="C80" s="440">
        <v>38.783999999999999</v>
      </c>
      <c r="D80" s="441">
        <v>38.783999999999999</v>
      </c>
      <c r="E80" s="450" t="s">
        <v>292</v>
      </c>
      <c r="F80" s="440">
        <v>0</v>
      </c>
      <c r="G80" s="441">
        <v>0</v>
      </c>
      <c r="H80" s="443">
        <v>1.8049999999999999</v>
      </c>
      <c r="I80" s="440">
        <v>4.3979999999999997</v>
      </c>
      <c r="J80" s="441">
        <v>4.3979999999999997</v>
      </c>
      <c r="K80" s="451" t="s">
        <v>292</v>
      </c>
    </row>
    <row r="81" spans="1:11" ht="14.4" customHeight="1" thickBot="1" x14ac:dyDescent="0.35">
      <c r="A81" s="462" t="s">
        <v>366</v>
      </c>
      <c r="B81" s="440">
        <v>0</v>
      </c>
      <c r="C81" s="440">
        <v>17.36</v>
      </c>
      <c r="D81" s="441">
        <v>17.36</v>
      </c>
      <c r="E81" s="450" t="s">
        <v>292</v>
      </c>
      <c r="F81" s="440">
        <v>0</v>
      </c>
      <c r="G81" s="441">
        <v>0</v>
      </c>
      <c r="H81" s="443">
        <v>0.45</v>
      </c>
      <c r="I81" s="440">
        <v>0.6</v>
      </c>
      <c r="J81" s="441">
        <v>0.6</v>
      </c>
      <c r="K81" s="451" t="s">
        <v>292</v>
      </c>
    </row>
    <row r="82" spans="1:11" ht="14.4" customHeight="1" thickBot="1" x14ac:dyDescent="0.35">
      <c r="A82" s="461" t="s">
        <v>367</v>
      </c>
      <c r="B82" s="445">
        <v>0</v>
      </c>
      <c r="C82" s="445">
        <v>665.82000000000096</v>
      </c>
      <c r="D82" s="446">
        <v>665.82000000000096</v>
      </c>
      <c r="E82" s="447" t="s">
        <v>292</v>
      </c>
      <c r="F82" s="445">
        <v>645</v>
      </c>
      <c r="G82" s="446">
        <v>107.5</v>
      </c>
      <c r="H82" s="448">
        <v>60.11</v>
      </c>
      <c r="I82" s="445">
        <v>106.56699999999999</v>
      </c>
      <c r="J82" s="446">
        <v>-0.93299999999899996</v>
      </c>
      <c r="K82" s="453">
        <v>0.165220155038</v>
      </c>
    </row>
    <row r="83" spans="1:11" ht="14.4" customHeight="1" thickBot="1" x14ac:dyDescent="0.35">
      <c r="A83" s="462" t="s">
        <v>368</v>
      </c>
      <c r="B83" s="440">
        <v>0</v>
      </c>
      <c r="C83" s="440">
        <v>665.82000000000096</v>
      </c>
      <c r="D83" s="441">
        <v>665.82000000000096</v>
      </c>
      <c r="E83" s="450" t="s">
        <v>292</v>
      </c>
      <c r="F83" s="440">
        <v>645</v>
      </c>
      <c r="G83" s="441">
        <v>107.5</v>
      </c>
      <c r="H83" s="443">
        <v>60.11</v>
      </c>
      <c r="I83" s="440">
        <v>106.56699999999999</v>
      </c>
      <c r="J83" s="441">
        <v>-0.93299999999899996</v>
      </c>
      <c r="K83" s="444">
        <v>0.165220155038</v>
      </c>
    </row>
    <row r="84" spans="1:11" ht="14.4" customHeight="1" thickBot="1" x14ac:dyDescent="0.35">
      <c r="A84" s="461" t="s">
        <v>369</v>
      </c>
      <c r="B84" s="445">
        <v>0</v>
      </c>
      <c r="C84" s="445">
        <v>3.0999999999000001E-2</v>
      </c>
      <c r="D84" s="446">
        <v>3.0999999999000001E-2</v>
      </c>
      <c r="E84" s="447" t="s">
        <v>292</v>
      </c>
      <c r="F84" s="445">
        <v>0</v>
      </c>
      <c r="G84" s="446">
        <v>0</v>
      </c>
      <c r="H84" s="448">
        <v>0</v>
      </c>
      <c r="I84" s="445">
        <v>0</v>
      </c>
      <c r="J84" s="446">
        <v>0</v>
      </c>
      <c r="K84" s="449" t="s">
        <v>292</v>
      </c>
    </row>
    <row r="85" spans="1:11" ht="14.4" customHeight="1" thickBot="1" x14ac:dyDescent="0.35">
      <c r="A85" s="462" t="s">
        <v>370</v>
      </c>
      <c r="B85" s="440">
        <v>0</v>
      </c>
      <c r="C85" s="440">
        <v>3.0999999999000001E-2</v>
      </c>
      <c r="D85" s="441">
        <v>3.0999999999000001E-2</v>
      </c>
      <c r="E85" s="450" t="s">
        <v>292</v>
      </c>
      <c r="F85" s="440">
        <v>0</v>
      </c>
      <c r="G85" s="441">
        <v>0</v>
      </c>
      <c r="H85" s="443">
        <v>0</v>
      </c>
      <c r="I85" s="440">
        <v>0</v>
      </c>
      <c r="J85" s="441">
        <v>0</v>
      </c>
      <c r="K85" s="451" t="s">
        <v>292</v>
      </c>
    </row>
    <row r="86" spans="1:11" ht="14.4" customHeight="1" thickBot="1" x14ac:dyDescent="0.35">
      <c r="A86" s="460" t="s">
        <v>47</v>
      </c>
      <c r="B86" s="440">
        <v>1774.1409535738001</v>
      </c>
      <c r="C86" s="440">
        <v>1360.7873</v>
      </c>
      <c r="D86" s="441">
        <v>-413.35365357379499</v>
      </c>
      <c r="E86" s="442">
        <v>0.767011943024</v>
      </c>
      <c r="F86" s="440">
        <v>1522.8846466949601</v>
      </c>
      <c r="G86" s="441">
        <v>253.81410778249301</v>
      </c>
      <c r="H86" s="443">
        <v>164.24768</v>
      </c>
      <c r="I86" s="440">
        <v>276.59278</v>
      </c>
      <c r="J86" s="441">
        <v>22.778672217505999</v>
      </c>
      <c r="K86" s="444">
        <v>0.18162424882200001</v>
      </c>
    </row>
    <row r="87" spans="1:11" ht="14.4" customHeight="1" thickBot="1" x14ac:dyDescent="0.35">
      <c r="A87" s="461" t="s">
        <v>371</v>
      </c>
      <c r="B87" s="445">
        <v>0.12627592528100001</v>
      </c>
      <c r="C87" s="445">
        <v>3.8054000000000001</v>
      </c>
      <c r="D87" s="446">
        <v>3.6791240747180001</v>
      </c>
      <c r="E87" s="452">
        <v>30.135593871356001</v>
      </c>
      <c r="F87" s="445">
        <v>7.7632962918909998</v>
      </c>
      <c r="G87" s="446">
        <v>1.2938827153150001</v>
      </c>
      <c r="H87" s="448">
        <v>0</v>
      </c>
      <c r="I87" s="445">
        <v>0</v>
      </c>
      <c r="J87" s="446">
        <v>-1.2938827153150001</v>
      </c>
      <c r="K87" s="453">
        <v>0</v>
      </c>
    </row>
    <row r="88" spans="1:11" ht="14.4" customHeight="1" thickBot="1" x14ac:dyDescent="0.35">
      <c r="A88" s="462" t="s">
        <v>372</v>
      </c>
      <c r="B88" s="440">
        <v>0.12627592528100001</v>
      </c>
      <c r="C88" s="440">
        <v>3.8054000000000001</v>
      </c>
      <c r="D88" s="441">
        <v>3.6791240747180001</v>
      </c>
      <c r="E88" s="442">
        <v>30.135593871356001</v>
      </c>
      <c r="F88" s="440">
        <v>7.7632962918909998</v>
      </c>
      <c r="G88" s="441">
        <v>1.2938827153150001</v>
      </c>
      <c r="H88" s="443">
        <v>0</v>
      </c>
      <c r="I88" s="440">
        <v>0</v>
      </c>
      <c r="J88" s="441">
        <v>-1.2938827153150001</v>
      </c>
      <c r="K88" s="444">
        <v>0</v>
      </c>
    </row>
    <row r="89" spans="1:11" ht="14.4" customHeight="1" thickBot="1" x14ac:dyDescent="0.35">
      <c r="A89" s="461" t="s">
        <v>373</v>
      </c>
      <c r="B89" s="445">
        <v>155.221693348277</v>
      </c>
      <c r="C89" s="445">
        <v>134.08884</v>
      </c>
      <c r="D89" s="446">
        <v>-21.132853348276001</v>
      </c>
      <c r="E89" s="452">
        <v>0.86385373788599995</v>
      </c>
      <c r="F89" s="445">
        <v>142.80172631047</v>
      </c>
      <c r="G89" s="446">
        <v>23.800287718410999</v>
      </c>
      <c r="H89" s="448">
        <v>11.137130000000001</v>
      </c>
      <c r="I89" s="445">
        <v>19.190639999999998</v>
      </c>
      <c r="J89" s="446">
        <v>-4.6096477184109999</v>
      </c>
      <c r="K89" s="453">
        <v>0.13438661069300001</v>
      </c>
    </row>
    <row r="90" spans="1:11" ht="14.4" customHeight="1" thickBot="1" x14ac:dyDescent="0.35">
      <c r="A90" s="462" t="s">
        <v>374</v>
      </c>
      <c r="B90" s="440">
        <v>29.348730026038002</v>
      </c>
      <c r="C90" s="440">
        <v>41.034399999999998</v>
      </c>
      <c r="D90" s="441">
        <v>11.685669973961</v>
      </c>
      <c r="E90" s="442">
        <v>1.398166120428</v>
      </c>
      <c r="F90" s="440">
        <v>36.576415907147002</v>
      </c>
      <c r="G90" s="441">
        <v>6.0960693178570002</v>
      </c>
      <c r="H90" s="443">
        <v>3.5632999999999999</v>
      </c>
      <c r="I90" s="440">
        <v>7.0514000000000001</v>
      </c>
      <c r="J90" s="441">
        <v>0.95533068214200001</v>
      </c>
      <c r="K90" s="444">
        <v>0.192785428126</v>
      </c>
    </row>
    <row r="91" spans="1:11" ht="14.4" customHeight="1" thickBot="1" x14ac:dyDescent="0.35">
      <c r="A91" s="462" t="s">
        <v>375</v>
      </c>
      <c r="B91" s="440">
        <v>125.87296332223799</v>
      </c>
      <c r="C91" s="440">
        <v>93.05444</v>
      </c>
      <c r="D91" s="441">
        <v>-32.818523322238001</v>
      </c>
      <c r="E91" s="442">
        <v>0.739272656684</v>
      </c>
      <c r="F91" s="440">
        <v>106.225310403322</v>
      </c>
      <c r="G91" s="441">
        <v>17.704218400553</v>
      </c>
      <c r="H91" s="443">
        <v>7.5738300000000001</v>
      </c>
      <c r="I91" s="440">
        <v>12.139239999999999</v>
      </c>
      <c r="J91" s="441">
        <v>-5.5649784005529996</v>
      </c>
      <c r="K91" s="444">
        <v>0.114278225725</v>
      </c>
    </row>
    <row r="92" spans="1:11" ht="14.4" customHeight="1" thickBot="1" x14ac:dyDescent="0.35">
      <c r="A92" s="461" t="s">
        <v>376</v>
      </c>
      <c r="B92" s="445">
        <v>15.999974535431001</v>
      </c>
      <c r="C92" s="445">
        <v>16.2</v>
      </c>
      <c r="D92" s="446">
        <v>0.20002546456799999</v>
      </c>
      <c r="E92" s="452">
        <v>1.012501611432</v>
      </c>
      <c r="F92" s="445">
        <v>16</v>
      </c>
      <c r="G92" s="446">
        <v>2.6666666666659999</v>
      </c>
      <c r="H92" s="448">
        <v>0</v>
      </c>
      <c r="I92" s="445">
        <v>4.05</v>
      </c>
      <c r="J92" s="446">
        <v>1.383333333333</v>
      </c>
      <c r="K92" s="453">
        <v>0.25312499999999999</v>
      </c>
    </row>
    <row r="93" spans="1:11" ht="14.4" customHeight="1" thickBot="1" x14ac:dyDescent="0.35">
      <c r="A93" s="462" t="s">
        <v>377</v>
      </c>
      <c r="B93" s="440">
        <v>15.999974535431001</v>
      </c>
      <c r="C93" s="440">
        <v>16.2</v>
      </c>
      <c r="D93" s="441">
        <v>0.20002546456799999</v>
      </c>
      <c r="E93" s="442">
        <v>1.012501611432</v>
      </c>
      <c r="F93" s="440">
        <v>16</v>
      </c>
      <c r="G93" s="441">
        <v>2.6666666666659999</v>
      </c>
      <c r="H93" s="443">
        <v>0</v>
      </c>
      <c r="I93" s="440">
        <v>4.05</v>
      </c>
      <c r="J93" s="441">
        <v>1.383333333333</v>
      </c>
      <c r="K93" s="444">
        <v>0.25312499999999999</v>
      </c>
    </row>
    <row r="94" spans="1:11" ht="14.4" customHeight="1" thickBot="1" x14ac:dyDescent="0.35">
      <c r="A94" s="461" t="s">
        <v>378</v>
      </c>
      <c r="B94" s="445">
        <v>8.230616293312</v>
      </c>
      <c r="C94" s="445">
        <v>5.5399999999989999</v>
      </c>
      <c r="D94" s="446">
        <v>-2.6906162933119999</v>
      </c>
      <c r="E94" s="452">
        <v>0.673096619083</v>
      </c>
      <c r="F94" s="445">
        <v>0</v>
      </c>
      <c r="G94" s="446">
        <v>0</v>
      </c>
      <c r="H94" s="448">
        <v>0</v>
      </c>
      <c r="I94" s="445">
        <v>0</v>
      </c>
      <c r="J94" s="446">
        <v>0</v>
      </c>
      <c r="K94" s="449" t="s">
        <v>292</v>
      </c>
    </row>
    <row r="95" spans="1:11" ht="14.4" customHeight="1" thickBot="1" x14ac:dyDescent="0.35">
      <c r="A95" s="462" t="s">
        <v>379</v>
      </c>
      <c r="B95" s="440">
        <v>8.230616293312</v>
      </c>
      <c r="C95" s="440">
        <v>5.5399999999989999</v>
      </c>
      <c r="D95" s="441">
        <v>-2.6906162933119999</v>
      </c>
      <c r="E95" s="442">
        <v>0.673096619083</v>
      </c>
      <c r="F95" s="440">
        <v>0</v>
      </c>
      <c r="G95" s="441">
        <v>0</v>
      </c>
      <c r="H95" s="443">
        <v>0</v>
      </c>
      <c r="I95" s="440">
        <v>0</v>
      </c>
      <c r="J95" s="441">
        <v>0</v>
      </c>
      <c r="K95" s="451" t="s">
        <v>292</v>
      </c>
    </row>
    <row r="96" spans="1:11" ht="14.4" customHeight="1" thickBot="1" x14ac:dyDescent="0.35">
      <c r="A96" s="461" t="s">
        <v>380</v>
      </c>
      <c r="B96" s="445">
        <v>314.381193172964</v>
      </c>
      <c r="C96" s="445">
        <v>249.65039999999999</v>
      </c>
      <c r="D96" s="446">
        <v>-64.730793172963004</v>
      </c>
      <c r="E96" s="452">
        <v>0.79410093676500004</v>
      </c>
      <c r="F96" s="445">
        <v>307.98107227013497</v>
      </c>
      <c r="G96" s="446">
        <v>51.330178711689001</v>
      </c>
      <c r="H96" s="448">
        <v>19.431460000000001</v>
      </c>
      <c r="I96" s="445">
        <v>39.82846</v>
      </c>
      <c r="J96" s="446">
        <v>-11.501718711689</v>
      </c>
      <c r="K96" s="453">
        <v>0.12932112907500001</v>
      </c>
    </row>
    <row r="97" spans="1:11" ht="14.4" customHeight="1" thickBot="1" x14ac:dyDescent="0.35">
      <c r="A97" s="462" t="s">
        <v>381</v>
      </c>
      <c r="B97" s="440">
        <v>88.787666772289995</v>
      </c>
      <c r="C97" s="440">
        <v>20.111229999999999</v>
      </c>
      <c r="D97" s="441">
        <v>-68.676436772290003</v>
      </c>
      <c r="E97" s="442">
        <v>0.22650927466699999</v>
      </c>
      <c r="F97" s="440">
        <v>21</v>
      </c>
      <c r="G97" s="441">
        <v>3.5</v>
      </c>
      <c r="H97" s="443">
        <v>1.6943900000000001</v>
      </c>
      <c r="I97" s="440">
        <v>3.3887800000000001</v>
      </c>
      <c r="J97" s="441">
        <v>-0.11122</v>
      </c>
      <c r="K97" s="444">
        <v>0.16137047619</v>
      </c>
    </row>
    <row r="98" spans="1:11" ht="14.4" customHeight="1" thickBot="1" x14ac:dyDescent="0.35">
      <c r="A98" s="462" t="s">
        <v>382</v>
      </c>
      <c r="B98" s="440">
        <v>0</v>
      </c>
      <c r="C98" s="440">
        <v>8.1311999999999998</v>
      </c>
      <c r="D98" s="441">
        <v>8.1311999999999998</v>
      </c>
      <c r="E98" s="450" t="s">
        <v>322</v>
      </c>
      <c r="F98" s="440">
        <v>11</v>
      </c>
      <c r="G98" s="441">
        <v>1.833333333333</v>
      </c>
      <c r="H98" s="443">
        <v>0</v>
      </c>
      <c r="I98" s="440">
        <v>0</v>
      </c>
      <c r="J98" s="441">
        <v>-1.833333333333</v>
      </c>
      <c r="K98" s="444">
        <v>0</v>
      </c>
    </row>
    <row r="99" spans="1:11" ht="14.4" customHeight="1" thickBot="1" x14ac:dyDescent="0.35">
      <c r="A99" s="462" t="s">
        <v>383</v>
      </c>
      <c r="B99" s="440">
        <v>1.7366757087089999</v>
      </c>
      <c r="C99" s="440">
        <v>0.61</v>
      </c>
      <c r="D99" s="441">
        <v>-1.126675708709</v>
      </c>
      <c r="E99" s="442">
        <v>0.351245771988</v>
      </c>
      <c r="F99" s="440">
        <v>0.68498295278300003</v>
      </c>
      <c r="G99" s="441">
        <v>0.114163825463</v>
      </c>
      <c r="H99" s="443">
        <v>0.24199999999999999</v>
      </c>
      <c r="I99" s="440">
        <v>0.24199999999999999</v>
      </c>
      <c r="J99" s="441">
        <v>0.12783617453599999</v>
      </c>
      <c r="K99" s="444">
        <v>0.35329346375199999</v>
      </c>
    </row>
    <row r="100" spans="1:11" ht="14.4" customHeight="1" thickBot="1" x14ac:dyDescent="0.35">
      <c r="A100" s="462" t="s">
        <v>384</v>
      </c>
      <c r="B100" s="440">
        <v>223.85685069196401</v>
      </c>
      <c r="C100" s="440">
        <v>220.79796999999999</v>
      </c>
      <c r="D100" s="441">
        <v>-3.0588806919630001</v>
      </c>
      <c r="E100" s="442">
        <v>0.98633555022899999</v>
      </c>
      <c r="F100" s="440">
        <v>275.29608931735203</v>
      </c>
      <c r="G100" s="441">
        <v>45.882681552892002</v>
      </c>
      <c r="H100" s="443">
        <v>17.495069999999998</v>
      </c>
      <c r="I100" s="440">
        <v>36.197679999999998</v>
      </c>
      <c r="J100" s="441">
        <v>-9.6850015528920004</v>
      </c>
      <c r="K100" s="444">
        <v>0.131486357433</v>
      </c>
    </row>
    <row r="101" spans="1:11" ht="14.4" customHeight="1" thickBot="1" x14ac:dyDescent="0.35">
      <c r="A101" s="461" t="s">
        <v>385</v>
      </c>
      <c r="B101" s="445">
        <v>947.43402961727395</v>
      </c>
      <c r="C101" s="445">
        <v>748.98144000000002</v>
      </c>
      <c r="D101" s="446">
        <v>-198.45258961727299</v>
      </c>
      <c r="E101" s="452">
        <v>0.79053677257300004</v>
      </c>
      <c r="F101" s="445">
        <v>822.15063572783197</v>
      </c>
      <c r="G101" s="446">
        <v>137.025105954639</v>
      </c>
      <c r="H101" s="448">
        <v>132.68808999999999</v>
      </c>
      <c r="I101" s="445">
        <v>189.39233999999999</v>
      </c>
      <c r="J101" s="446">
        <v>52.367234045361002</v>
      </c>
      <c r="K101" s="453">
        <v>0.23036209153100001</v>
      </c>
    </row>
    <row r="102" spans="1:11" ht="14.4" customHeight="1" thickBot="1" x14ac:dyDescent="0.35">
      <c r="A102" s="462" t="s">
        <v>386</v>
      </c>
      <c r="B102" s="440">
        <v>4.1450791401120002</v>
      </c>
      <c r="C102" s="440">
        <v>0</v>
      </c>
      <c r="D102" s="441">
        <v>-4.1450791401120002</v>
      </c>
      <c r="E102" s="442">
        <v>0</v>
      </c>
      <c r="F102" s="440">
        <v>32.363999999999002</v>
      </c>
      <c r="G102" s="441">
        <v>5.393999999999</v>
      </c>
      <c r="H102" s="443">
        <v>0</v>
      </c>
      <c r="I102" s="440">
        <v>0</v>
      </c>
      <c r="J102" s="441">
        <v>-5.393999999999</v>
      </c>
      <c r="K102" s="444">
        <v>0</v>
      </c>
    </row>
    <row r="103" spans="1:11" ht="14.4" customHeight="1" thickBot="1" x14ac:dyDescent="0.35">
      <c r="A103" s="462" t="s">
        <v>387</v>
      </c>
      <c r="B103" s="440">
        <v>607.79051808208203</v>
      </c>
      <c r="C103" s="440">
        <v>501.56704000000002</v>
      </c>
      <c r="D103" s="441">
        <v>-106.223478082082</v>
      </c>
      <c r="E103" s="442">
        <v>0.82523011642599997</v>
      </c>
      <c r="F103" s="440">
        <v>499.15794695329998</v>
      </c>
      <c r="G103" s="441">
        <v>83.192991158883004</v>
      </c>
      <c r="H103" s="443">
        <v>132.68808999999999</v>
      </c>
      <c r="I103" s="440">
        <v>184.92714000000001</v>
      </c>
      <c r="J103" s="441">
        <v>101.734148841117</v>
      </c>
      <c r="K103" s="444">
        <v>0.37047820460100001</v>
      </c>
    </row>
    <row r="104" spans="1:11" ht="14.4" customHeight="1" thickBot="1" x14ac:dyDescent="0.35">
      <c r="A104" s="462" t="s">
        <v>388</v>
      </c>
      <c r="B104" s="440">
        <v>14.999976126967001</v>
      </c>
      <c r="C104" s="440">
        <v>16.7166</v>
      </c>
      <c r="D104" s="441">
        <v>1.716623873032</v>
      </c>
      <c r="E104" s="442">
        <v>1.1144417736729999</v>
      </c>
      <c r="F104" s="440">
        <v>15</v>
      </c>
      <c r="G104" s="441">
        <v>2.5</v>
      </c>
      <c r="H104" s="443">
        <v>0</v>
      </c>
      <c r="I104" s="440">
        <v>0</v>
      </c>
      <c r="J104" s="441">
        <v>-2.5</v>
      </c>
      <c r="K104" s="444">
        <v>0</v>
      </c>
    </row>
    <row r="105" spans="1:11" ht="14.4" customHeight="1" thickBot="1" x14ac:dyDescent="0.35">
      <c r="A105" s="462" t="s">
        <v>389</v>
      </c>
      <c r="B105" s="440">
        <v>305.523785385324</v>
      </c>
      <c r="C105" s="440">
        <v>217.18331000000001</v>
      </c>
      <c r="D105" s="441">
        <v>-88.340475385323003</v>
      </c>
      <c r="E105" s="442">
        <v>0.71085565310700005</v>
      </c>
      <c r="F105" s="440">
        <v>254.187868097077</v>
      </c>
      <c r="G105" s="441">
        <v>42.364644682845999</v>
      </c>
      <c r="H105" s="443">
        <v>0</v>
      </c>
      <c r="I105" s="440">
        <v>4.4652000000000003</v>
      </c>
      <c r="J105" s="441">
        <v>-37.899444682846003</v>
      </c>
      <c r="K105" s="444">
        <v>1.7566534679E-2</v>
      </c>
    </row>
    <row r="106" spans="1:11" ht="14.4" customHeight="1" thickBot="1" x14ac:dyDescent="0.35">
      <c r="A106" s="462" t="s">
        <v>390</v>
      </c>
      <c r="B106" s="440">
        <v>14.974670882788001</v>
      </c>
      <c r="C106" s="440">
        <v>13.51449</v>
      </c>
      <c r="D106" s="441">
        <v>-1.4601808827880001</v>
      </c>
      <c r="E106" s="442">
        <v>0.90248995158400003</v>
      </c>
      <c r="F106" s="440">
        <v>21.440820677453999</v>
      </c>
      <c r="G106" s="441">
        <v>3.5734701129089999</v>
      </c>
      <c r="H106" s="443">
        <v>0</v>
      </c>
      <c r="I106" s="440">
        <v>0</v>
      </c>
      <c r="J106" s="441">
        <v>-3.5734701129089999</v>
      </c>
      <c r="K106" s="444">
        <v>0</v>
      </c>
    </row>
    <row r="107" spans="1:11" ht="14.4" customHeight="1" thickBot="1" x14ac:dyDescent="0.35">
      <c r="A107" s="461" t="s">
        <v>391</v>
      </c>
      <c r="B107" s="445">
        <v>332.74717068125699</v>
      </c>
      <c r="C107" s="445">
        <v>186.72121999999999</v>
      </c>
      <c r="D107" s="446">
        <v>-146.025950681257</v>
      </c>
      <c r="E107" s="452">
        <v>0.56115043628299999</v>
      </c>
      <c r="F107" s="445">
        <v>226.18791609463199</v>
      </c>
      <c r="G107" s="446">
        <v>37.697986015772003</v>
      </c>
      <c r="H107" s="448">
        <v>0.99099999999999999</v>
      </c>
      <c r="I107" s="445">
        <v>24.131340000000002</v>
      </c>
      <c r="J107" s="446">
        <v>-13.566646015771999</v>
      </c>
      <c r="K107" s="453">
        <v>0.106687131729</v>
      </c>
    </row>
    <row r="108" spans="1:11" ht="14.4" customHeight="1" thickBot="1" x14ac:dyDescent="0.35">
      <c r="A108" s="462" t="s">
        <v>392</v>
      </c>
      <c r="B108" s="440">
        <v>0</v>
      </c>
      <c r="C108" s="440">
        <v>3.8119999999999998</v>
      </c>
      <c r="D108" s="441">
        <v>3.8119999999999998</v>
      </c>
      <c r="E108" s="450" t="s">
        <v>292</v>
      </c>
      <c r="F108" s="440">
        <v>1.734176174805</v>
      </c>
      <c r="G108" s="441">
        <v>0.28902936246700001</v>
      </c>
      <c r="H108" s="443">
        <v>0</v>
      </c>
      <c r="I108" s="440">
        <v>0</v>
      </c>
      <c r="J108" s="441">
        <v>-0.28902936246700001</v>
      </c>
      <c r="K108" s="444">
        <v>0</v>
      </c>
    </row>
    <row r="109" spans="1:11" ht="14.4" customHeight="1" thickBot="1" x14ac:dyDescent="0.35">
      <c r="A109" s="462" t="s">
        <v>393</v>
      </c>
      <c r="B109" s="440">
        <v>0.71999626798500005</v>
      </c>
      <c r="C109" s="440">
        <v>3.044</v>
      </c>
      <c r="D109" s="441">
        <v>2.3240037320139999</v>
      </c>
      <c r="E109" s="442">
        <v>4.2277996919580003</v>
      </c>
      <c r="F109" s="440">
        <v>4.4537399198259999</v>
      </c>
      <c r="G109" s="441">
        <v>0.74228998663699997</v>
      </c>
      <c r="H109" s="443">
        <v>0</v>
      </c>
      <c r="I109" s="440">
        <v>0</v>
      </c>
      <c r="J109" s="441">
        <v>-0.74228998663699997</v>
      </c>
      <c r="K109" s="444">
        <v>0</v>
      </c>
    </row>
    <row r="110" spans="1:11" ht="14.4" customHeight="1" thickBot="1" x14ac:dyDescent="0.35">
      <c r="A110" s="462" t="s">
        <v>394</v>
      </c>
      <c r="B110" s="440">
        <v>177.02742110127599</v>
      </c>
      <c r="C110" s="440">
        <v>91.624219999999994</v>
      </c>
      <c r="D110" s="441">
        <v>-85.403201101275002</v>
      </c>
      <c r="E110" s="442">
        <v>0.51757077762299997</v>
      </c>
      <c r="F110" s="440">
        <v>70</v>
      </c>
      <c r="G110" s="441">
        <v>11.666666666666</v>
      </c>
      <c r="H110" s="443">
        <v>0.99099999999999999</v>
      </c>
      <c r="I110" s="440">
        <v>1.982</v>
      </c>
      <c r="J110" s="441">
        <v>-9.6846666666660006</v>
      </c>
      <c r="K110" s="444">
        <v>2.8314285714E-2</v>
      </c>
    </row>
    <row r="111" spans="1:11" ht="14.4" customHeight="1" thickBot="1" x14ac:dyDescent="0.35">
      <c r="A111" s="462" t="s">
        <v>395</v>
      </c>
      <c r="B111" s="440">
        <v>154.99975331199599</v>
      </c>
      <c r="C111" s="440">
        <v>85.76</v>
      </c>
      <c r="D111" s="441">
        <v>-69.239753311995003</v>
      </c>
      <c r="E111" s="442">
        <v>0.55329120316299996</v>
      </c>
      <c r="F111" s="440">
        <v>150</v>
      </c>
      <c r="G111" s="441">
        <v>25</v>
      </c>
      <c r="H111" s="443">
        <v>0</v>
      </c>
      <c r="I111" s="440">
        <v>22.149339999999999</v>
      </c>
      <c r="J111" s="441">
        <v>-2.85066</v>
      </c>
      <c r="K111" s="444">
        <v>0.14766226666599999</v>
      </c>
    </row>
    <row r="112" spans="1:11" ht="14.4" customHeight="1" thickBot="1" x14ac:dyDescent="0.35">
      <c r="A112" s="462" t="s">
        <v>396</v>
      </c>
      <c r="B112" s="440">
        <v>0</v>
      </c>
      <c r="C112" s="440">
        <v>2.4809999999999999</v>
      </c>
      <c r="D112" s="441">
        <v>2.4809999999999999</v>
      </c>
      <c r="E112" s="450" t="s">
        <v>322</v>
      </c>
      <c r="F112" s="440">
        <v>0</v>
      </c>
      <c r="G112" s="441">
        <v>0</v>
      </c>
      <c r="H112" s="443">
        <v>0</v>
      </c>
      <c r="I112" s="440">
        <v>0</v>
      </c>
      <c r="J112" s="441">
        <v>0</v>
      </c>
      <c r="K112" s="444">
        <v>2</v>
      </c>
    </row>
    <row r="113" spans="1:11" ht="14.4" customHeight="1" thickBot="1" x14ac:dyDescent="0.35">
      <c r="A113" s="461" t="s">
        <v>397</v>
      </c>
      <c r="B113" s="445">
        <v>0</v>
      </c>
      <c r="C113" s="445">
        <v>15.8</v>
      </c>
      <c r="D113" s="446">
        <v>15.8</v>
      </c>
      <c r="E113" s="447" t="s">
        <v>292</v>
      </c>
      <c r="F113" s="445">
        <v>0</v>
      </c>
      <c r="G113" s="446">
        <v>0</v>
      </c>
      <c r="H113" s="448">
        <v>0</v>
      </c>
      <c r="I113" s="445">
        <v>0</v>
      </c>
      <c r="J113" s="446">
        <v>0</v>
      </c>
      <c r="K113" s="449" t="s">
        <v>292</v>
      </c>
    </row>
    <row r="114" spans="1:11" ht="14.4" customHeight="1" thickBot="1" x14ac:dyDescent="0.35">
      <c r="A114" s="462" t="s">
        <v>398</v>
      </c>
      <c r="B114" s="440">
        <v>0</v>
      </c>
      <c r="C114" s="440">
        <v>15.8</v>
      </c>
      <c r="D114" s="441">
        <v>15.8</v>
      </c>
      <c r="E114" s="450" t="s">
        <v>292</v>
      </c>
      <c r="F114" s="440">
        <v>0</v>
      </c>
      <c r="G114" s="441">
        <v>0</v>
      </c>
      <c r="H114" s="443">
        <v>0</v>
      </c>
      <c r="I114" s="440">
        <v>0</v>
      </c>
      <c r="J114" s="441">
        <v>0</v>
      </c>
      <c r="K114" s="451" t="s">
        <v>292</v>
      </c>
    </row>
    <row r="115" spans="1:11" ht="14.4" customHeight="1" thickBot="1" x14ac:dyDescent="0.35">
      <c r="A115" s="459" t="s">
        <v>48</v>
      </c>
      <c r="B115" s="440">
        <v>33534.003027432504</v>
      </c>
      <c r="C115" s="440">
        <v>37120.142039999999</v>
      </c>
      <c r="D115" s="441">
        <v>3586.1390125674998</v>
      </c>
      <c r="E115" s="442">
        <v>1.106940379579</v>
      </c>
      <c r="F115" s="440">
        <v>37430</v>
      </c>
      <c r="G115" s="441">
        <v>6238.3333333333303</v>
      </c>
      <c r="H115" s="443">
        <v>3021.53584</v>
      </c>
      <c r="I115" s="440">
        <v>6111.0179799999996</v>
      </c>
      <c r="J115" s="441">
        <v>-127.315353333334</v>
      </c>
      <c r="K115" s="444">
        <v>0.16326524125</v>
      </c>
    </row>
    <row r="116" spans="1:11" ht="14.4" customHeight="1" thickBot="1" x14ac:dyDescent="0.35">
      <c r="A116" s="463" t="s">
        <v>399</v>
      </c>
      <c r="B116" s="445">
        <v>24771.002236313299</v>
      </c>
      <c r="C116" s="445">
        <v>27466.948</v>
      </c>
      <c r="D116" s="446">
        <v>2695.94576368668</v>
      </c>
      <c r="E116" s="452">
        <v>1.108834747095</v>
      </c>
      <c r="F116" s="445">
        <v>27542</v>
      </c>
      <c r="G116" s="446">
        <v>4590.3333333333403</v>
      </c>
      <c r="H116" s="448">
        <v>2223.34</v>
      </c>
      <c r="I116" s="445">
        <v>4497.3900000000003</v>
      </c>
      <c r="J116" s="446">
        <v>-92.943333333335005</v>
      </c>
      <c r="K116" s="453">
        <v>0.163292063031</v>
      </c>
    </row>
    <row r="117" spans="1:11" ht="14.4" customHeight="1" thickBot="1" x14ac:dyDescent="0.35">
      <c r="A117" s="461" t="s">
        <v>400</v>
      </c>
      <c r="B117" s="445">
        <v>24685.0022285493</v>
      </c>
      <c r="C117" s="445">
        <v>27393.012999999999</v>
      </c>
      <c r="D117" s="446">
        <v>2708.0107714507199</v>
      </c>
      <c r="E117" s="452">
        <v>1.1097026747809999</v>
      </c>
      <c r="F117" s="445">
        <v>27466</v>
      </c>
      <c r="G117" s="446">
        <v>4577.6666666666697</v>
      </c>
      <c r="H117" s="448">
        <v>2216.8589999999999</v>
      </c>
      <c r="I117" s="445">
        <v>4486.2389999999996</v>
      </c>
      <c r="J117" s="446">
        <v>-91.427666666668998</v>
      </c>
      <c r="K117" s="453">
        <v>0.16333790868699999</v>
      </c>
    </row>
    <row r="118" spans="1:11" ht="14.4" customHeight="1" thickBot="1" x14ac:dyDescent="0.35">
      <c r="A118" s="462" t="s">
        <v>401</v>
      </c>
      <c r="B118" s="440">
        <v>24685.0022285493</v>
      </c>
      <c r="C118" s="440">
        <v>27393.012999999999</v>
      </c>
      <c r="D118" s="441">
        <v>2708.0107714507199</v>
      </c>
      <c r="E118" s="442">
        <v>1.1097026747809999</v>
      </c>
      <c r="F118" s="440">
        <v>27466</v>
      </c>
      <c r="G118" s="441">
        <v>4577.6666666666697</v>
      </c>
      <c r="H118" s="443">
        <v>2216.8589999999999</v>
      </c>
      <c r="I118" s="440">
        <v>4486.2389999999996</v>
      </c>
      <c r="J118" s="441">
        <v>-91.427666666668998</v>
      </c>
      <c r="K118" s="444">
        <v>0.16333790868699999</v>
      </c>
    </row>
    <row r="119" spans="1:11" ht="14.4" customHeight="1" thickBot="1" x14ac:dyDescent="0.35">
      <c r="A119" s="461" t="s">
        <v>402</v>
      </c>
      <c r="B119" s="445">
        <v>0</v>
      </c>
      <c r="C119" s="445">
        <v>0</v>
      </c>
      <c r="D119" s="446">
        <v>0</v>
      </c>
      <c r="E119" s="452">
        <v>1</v>
      </c>
      <c r="F119" s="445">
        <v>0</v>
      </c>
      <c r="G119" s="446">
        <v>0</v>
      </c>
      <c r="H119" s="448">
        <v>0</v>
      </c>
      <c r="I119" s="445">
        <v>-4.8179999999999996</v>
      </c>
      <c r="J119" s="446">
        <v>-4.8179999999999996</v>
      </c>
      <c r="K119" s="449" t="s">
        <v>322</v>
      </c>
    </row>
    <row r="120" spans="1:11" ht="14.4" customHeight="1" thickBot="1" x14ac:dyDescent="0.35">
      <c r="A120" s="462" t="s">
        <v>403</v>
      </c>
      <c r="B120" s="440">
        <v>0</v>
      </c>
      <c r="C120" s="440">
        <v>0</v>
      </c>
      <c r="D120" s="441">
        <v>0</v>
      </c>
      <c r="E120" s="442">
        <v>1</v>
      </c>
      <c r="F120" s="440">
        <v>0</v>
      </c>
      <c r="G120" s="441">
        <v>0</v>
      </c>
      <c r="H120" s="443">
        <v>0</v>
      </c>
      <c r="I120" s="440">
        <v>-4.8179999999999996</v>
      </c>
      <c r="J120" s="441">
        <v>-4.8179999999999996</v>
      </c>
      <c r="K120" s="451" t="s">
        <v>322</v>
      </c>
    </row>
    <row r="121" spans="1:11" ht="14.4" customHeight="1" thickBot="1" x14ac:dyDescent="0.35">
      <c r="A121" s="461" t="s">
        <v>404</v>
      </c>
      <c r="B121" s="445">
        <v>15.000001354191999</v>
      </c>
      <c r="C121" s="445">
        <v>0</v>
      </c>
      <c r="D121" s="446">
        <v>-15.000001354191999</v>
      </c>
      <c r="E121" s="452">
        <v>0</v>
      </c>
      <c r="F121" s="445">
        <v>0</v>
      </c>
      <c r="G121" s="446">
        <v>0</v>
      </c>
      <c r="H121" s="448">
        <v>0</v>
      </c>
      <c r="I121" s="445">
        <v>0</v>
      </c>
      <c r="J121" s="446">
        <v>0</v>
      </c>
      <c r="K121" s="453">
        <v>2</v>
      </c>
    </row>
    <row r="122" spans="1:11" ht="14.4" customHeight="1" thickBot="1" x14ac:dyDescent="0.35">
      <c r="A122" s="462" t="s">
        <v>405</v>
      </c>
      <c r="B122" s="440">
        <v>15.000001354191999</v>
      </c>
      <c r="C122" s="440">
        <v>0</v>
      </c>
      <c r="D122" s="441">
        <v>-15.000001354191999</v>
      </c>
      <c r="E122" s="442">
        <v>0</v>
      </c>
      <c r="F122" s="440">
        <v>0</v>
      </c>
      <c r="G122" s="441">
        <v>0</v>
      </c>
      <c r="H122" s="443">
        <v>0</v>
      </c>
      <c r="I122" s="440">
        <v>0</v>
      </c>
      <c r="J122" s="441">
        <v>0</v>
      </c>
      <c r="K122" s="444">
        <v>2</v>
      </c>
    </row>
    <row r="123" spans="1:11" ht="14.4" customHeight="1" thickBot="1" x14ac:dyDescent="0.35">
      <c r="A123" s="461" t="s">
        <v>406</v>
      </c>
      <c r="B123" s="445">
        <v>71.000006409844005</v>
      </c>
      <c r="C123" s="445">
        <v>73.935000000000002</v>
      </c>
      <c r="D123" s="446">
        <v>2.934993590156</v>
      </c>
      <c r="E123" s="452">
        <v>1.0413379341569999</v>
      </c>
      <c r="F123" s="445">
        <v>76</v>
      </c>
      <c r="G123" s="446">
        <v>12.666666666666</v>
      </c>
      <c r="H123" s="448">
        <v>6.4809999999999999</v>
      </c>
      <c r="I123" s="445">
        <v>15.968999999999999</v>
      </c>
      <c r="J123" s="446">
        <v>3.3023333333329998</v>
      </c>
      <c r="K123" s="453">
        <v>0.21011842105199999</v>
      </c>
    </row>
    <row r="124" spans="1:11" ht="14.4" customHeight="1" thickBot="1" x14ac:dyDescent="0.35">
      <c r="A124" s="462" t="s">
        <v>407</v>
      </c>
      <c r="B124" s="440">
        <v>71.000006409844005</v>
      </c>
      <c r="C124" s="440">
        <v>73.935000000000002</v>
      </c>
      <c r="D124" s="441">
        <v>2.934993590156</v>
      </c>
      <c r="E124" s="442">
        <v>1.0413379341569999</v>
      </c>
      <c r="F124" s="440">
        <v>76</v>
      </c>
      <c r="G124" s="441">
        <v>12.666666666666</v>
      </c>
      <c r="H124" s="443">
        <v>6.4809999999999999</v>
      </c>
      <c r="I124" s="440">
        <v>15.968999999999999</v>
      </c>
      <c r="J124" s="441">
        <v>3.3023333333329998</v>
      </c>
      <c r="K124" s="444">
        <v>0.21011842105199999</v>
      </c>
    </row>
    <row r="125" spans="1:11" ht="14.4" customHeight="1" thickBot="1" x14ac:dyDescent="0.35">
      <c r="A125" s="460" t="s">
        <v>408</v>
      </c>
      <c r="B125" s="440">
        <v>8392.0007576255102</v>
      </c>
      <c r="C125" s="440">
        <v>9241.18815</v>
      </c>
      <c r="D125" s="441">
        <v>849.18739237449302</v>
      </c>
      <c r="E125" s="442">
        <v>1.101190099584</v>
      </c>
      <c r="F125" s="440">
        <v>9338.9999999999909</v>
      </c>
      <c r="G125" s="441">
        <v>1556.5</v>
      </c>
      <c r="H125" s="443">
        <v>753.72775000000001</v>
      </c>
      <c r="I125" s="440">
        <v>1523.67875</v>
      </c>
      <c r="J125" s="441">
        <v>-32.821249999998003</v>
      </c>
      <c r="K125" s="444">
        <v>0.163152237926</v>
      </c>
    </row>
    <row r="126" spans="1:11" ht="14.4" customHeight="1" thickBot="1" x14ac:dyDescent="0.35">
      <c r="A126" s="461" t="s">
        <v>409</v>
      </c>
      <c r="B126" s="445">
        <v>2221.0002005107599</v>
      </c>
      <c r="C126" s="445">
        <v>2465.3629000000001</v>
      </c>
      <c r="D126" s="446">
        <v>244.36269948924601</v>
      </c>
      <c r="E126" s="452">
        <v>1.110023717887</v>
      </c>
      <c r="F126" s="445">
        <v>2472.99999999999</v>
      </c>
      <c r="G126" s="446">
        <v>412.16666666666498</v>
      </c>
      <c r="H126" s="448">
        <v>199.51300000000001</v>
      </c>
      <c r="I126" s="445">
        <v>403.75700000000001</v>
      </c>
      <c r="J126" s="446">
        <v>-8.4096666666650002</v>
      </c>
      <c r="K126" s="453">
        <v>0.163266073594</v>
      </c>
    </row>
    <row r="127" spans="1:11" ht="14.4" customHeight="1" thickBot="1" x14ac:dyDescent="0.35">
      <c r="A127" s="462" t="s">
        <v>410</v>
      </c>
      <c r="B127" s="440">
        <v>2221.0002005107599</v>
      </c>
      <c r="C127" s="440">
        <v>2465.3629000000001</v>
      </c>
      <c r="D127" s="441">
        <v>244.36269948924601</v>
      </c>
      <c r="E127" s="442">
        <v>1.110023717887</v>
      </c>
      <c r="F127" s="440">
        <v>2472.99999999999</v>
      </c>
      <c r="G127" s="441">
        <v>412.16666666666498</v>
      </c>
      <c r="H127" s="443">
        <v>199.51300000000001</v>
      </c>
      <c r="I127" s="440">
        <v>403.75700000000001</v>
      </c>
      <c r="J127" s="441">
        <v>-8.4096666666650002</v>
      </c>
      <c r="K127" s="444">
        <v>0.163266073594</v>
      </c>
    </row>
    <row r="128" spans="1:11" ht="14.4" customHeight="1" thickBot="1" x14ac:dyDescent="0.35">
      <c r="A128" s="461" t="s">
        <v>411</v>
      </c>
      <c r="B128" s="445">
        <v>6171.0005571147503</v>
      </c>
      <c r="C128" s="445">
        <v>6775.8252499999999</v>
      </c>
      <c r="D128" s="446">
        <v>604.82469288524999</v>
      </c>
      <c r="E128" s="452">
        <v>1.098010798619</v>
      </c>
      <c r="F128" s="445">
        <v>6866</v>
      </c>
      <c r="G128" s="446">
        <v>1144.3333333333301</v>
      </c>
      <c r="H128" s="448">
        <v>554.21474999999998</v>
      </c>
      <c r="I128" s="445">
        <v>1121.5597499999999</v>
      </c>
      <c r="J128" s="446">
        <v>-22.773583333333001</v>
      </c>
      <c r="K128" s="453">
        <v>0.16334980337800001</v>
      </c>
    </row>
    <row r="129" spans="1:11" ht="14.4" customHeight="1" thickBot="1" x14ac:dyDescent="0.35">
      <c r="A129" s="462" t="s">
        <v>412</v>
      </c>
      <c r="B129" s="440">
        <v>6171.0005571147503</v>
      </c>
      <c r="C129" s="440">
        <v>6775.8252499999999</v>
      </c>
      <c r="D129" s="441">
        <v>604.82469288524999</v>
      </c>
      <c r="E129" s="442">
        <v>1.098010798619</v>
      </c>
      <c r="F129" s="440">
        <v>6866</v>
      </c>
      <c r="G129" s="441">
        <v>1144.3333333333301</v>
      </c>
      <c r="H129" s="443">
        <v>554.21474999999998</v>
      </c>
      <c r="I129" s="440">
        <v>1121.5597499999999</v>
      </c>
      <c r="J129" s="441">
        <v>-22.773583333333001</v>
      </c>
      <c r="K129" s="444">
        <v>0.16334980337800001</v>
      </c>
    </row>
    <row r="130" spans="1:11" ht="14.4" customHeight="1" thickBot="1" x14ac:dyDescent="0.35">
      <c r="A130" s="461" t="s">
        <v>413</v>
      </c>
      <c r="B130" s="445">
        <v>0</v>
      </c>
      <c r="C130" s="445">
        <v>0</v>
      </c>
      <c r="D130" s="446">
        <v>0</v>
      </c>
      <c r="E130" s="452">
        <v>1</v>
      </c>
      <c r="F130" s="445">
        <v>0</v>
      </c>
      <c r="G130" s="446">
        <v>0</v>
      </c>
      <c r="H130" s="448">
        <v>0</v>
      </c>
      <c r="I130" s="445">
        <v>-0.434</v>
      </c>
      <c r="J130" s="446">
        <v>-0.434</v>
      </c>
      <c r="K130" s="449" t="s">
        <v>322</v>
      </c>
    </row>
    <row r="131" spans="1:11" ht="14.4" customHeight="1" thickBot="1" x14ac:dyDescent="0.35">
      <c r="A131" s="462" t="s">
        <v>414</v>
      </c>
      <c r="B131" s="440">
        <v>0</v>
      </c>
      <c r="C131" s="440">
        <v>0</v>
      </c>
      <c r="D131" s="441">
        <v>0</v>
      </c>
      <c r="E131" s="442">
        <v>1</v>
      </c>
      <c r="F131" s="440">
        <v>0</v>
      </c>
      <c r="G131" s="441">
        <v>0</v>
      </c>
      <c r="H131" s="443">
        <v>0</v>
      </c>
      <c r="I131" s="440">
        <v>-0.434</v>
      </c>
      <c r="J131" s="441">
        <v>-0.434</v>
      </c>
      <c r="K131" s="451" t="s">
        <v>322</v>
      </c>
    </row>
    <row r="132" spans="1:11" ht="14.4" customHeight="1" thickBot="1" x14ac:dyDescent="0.35">
      <c r="A132" s="461" t="s">
        <v>415</v>
      </c>
      <c r="B132" s="445">
        <v>0</v>
      </c>
      <c r="C132" s="445">
        <v>0</v>
      </c>
      <c r="D132" s="446">
        <v>0</v>
      </c>
      <c r="E132" s="452">
        <v>1</v>
      </c>
      <c r="F132" s="445">
        <v>0</v>
      </c>
      <c r="G132" s="446">
        <v>0</v>
      </c>
      <c r="H132" s="448">
        <v>0</v>
      </c>
      <c r="I132" s="445">
        <v>-1.204</v>
      </c>
      <c r="J132" s="446">
        <v>-1.204</v>
      </c>
      <c r="K132" s="449" t="s">
        <v>322</v>
      </c>
    </row>
    <row r="133" spans="1:11" ht="14.4" customHeight="1" thickBot="1" x14ac:dyDescent="0.35">
      <c r="A133" s="462" t="s">
        <v>416</v>
      </c>
      <c r="B133" s="440">
        <v>0</v>
      </c>
      <c r="C133" s="440">
        <v>0</v>
      </c>
      <c r="D133" s="441">
        <v>0</v>
      </c>
      <c r="E133" s="442">
        <v>1</v>
      </c>
      <c r="F133" s="440">
        <v>0</v>
      </c>
      <c r="G133" s="441">
        <v>0</v>
      </c>
      <c r="H133" s="443">
        <v>0</v>
      </c>
      <c r="I133" s="440">
        <v>-1.204</v>
      </c>
      <c r="J133" s="441">
        <v>-1.204</v>
      </c>
      <c r="K133" s="451" t="s">
        <v>322</v>
      </c>
    </row>
    <row r="134" spans="1:11" ht="14.4" customHeight="1" thickBot="1" x14ac:dyDescent="0.35">
      <c r="A134" s="460" t="s">
        <v>417</v>
      </c>
      <c r="B134" s="440">
        <v>371.000033493692</v>
      </c>
      <c r="C134" s="440">
        <v>412.00589000000002</v>
      </c>
      <c r="D134" s="441">
        <v>41.005856506308</v>
      </c>
      <c r="E134" s="442">
        <v>1.1105279051320001</v>
      </c>
      <c r="F134" s="440">
        <v>549</v>
      </c>
      <c r="G134" s="441">
        <v>91.5</v>
      </c>
      <c r="H134" s="443">
        <v>44.468089999999997</v>
      </c>
      <c r="I134" s="440">
        <v>89.94923</v>
      </c>
      <c r="J134" s="441">
        <v>-1.55077</v>
      </c>
      <c r="K134" s="444">
        <v>0.163841948998</v>
      </c>
    </row>
    <row r="135" spans="1:11" ht="14.4" customHeight="1" thickBot="1" x14ac:dyDescent="0.35">
      <c r="A135" s="461" t="s">
        <v>418</v>
      </c>
      <c r="B135" s="445">
        <v>371.000033493692</v>
      </c>
      <c r="C135" s="445">
        <v>412.00589000000002</v>
      </c>
      <c r="D135" s="446">
        <v>41.005856506308</v>
      </c>
      <c r="E135" s="452">
        <v>1.1105279051320001</v>
      </c>
      <c r="F135" s="445">
        <v>549</v>
      </c>
      <c r="G135" s="446">
        <v>91.5</v>
      </c>
      <c r="H135" s="448">
        <v>44.468089999999997</v>
      </c>
      <c r="I135" s="445">
        <v>89.94923</v>
      </c>
      <c r="J135" s="446">
        <v>-1.55077</v>
      </c>
      <c r="K135" s="453">
        <v>0.163841948998</v>
      </c>
    </row>
    <row r="136" spans="1:11" ht="14.4" customHeight="1" thickBot="1" x14ac:dyDescent="0.35">
      <c r="A136" s="462" t="s">
        <v>419</v>
      </c>
      <c r="B136" s="440">
        <v>371.000033493692</v>
      </c>
      <c r="C136" s="440">
        <v>412.00589000000002</v>
      </c>
      <c r="D136" s="441">
        <v>41.005856506308</v>
      </c>
      <c r="E136" s="442">
        <v>1.1105279051320001</v>
      </c>
      <c r="F136" s="440">
        <v>549</v>
      </c>
      <c r="G136" s="441">
        <v>91.5</v>
      </c>
      <c r="H136" s="443">
        <v>44.468089999999997</v>
      </c>
      <c r="I136" s="440">
        <v>89.94923</v>
      </c>
      <c r="J136" s="441">
        <v>-1.55077</v>
      </c>
      <c r="K136" s="444">
        <v>0.163841948998</v>
      </c>
    </row>
    <row r="137" spans="1:11" ht="14.4" customHeight="1" thickBot="1" x14ac:dyDescent="0.35">
      <c r="A137" s="459" t="s">
        <v>420</v>
      </c>
      <c r="B137" s="440">
        <v>0</v>
      </c>
      <c r="C137" s="440">
        <v>11</v>
      </c>
      <c r="D137" s="441">
        <v>11</v>
      </c>
      <c r="E137" s="450" t="s">
        <v>322</v>
      </c>
      <c r="F137" s="440">
        <v>0</v>
      </c>
      <c r="G137" s="441">
        <v>0</v>
      </c>
      <c r="H137" s="443">
        <v>0</v>
      </c>
      <c r="I137" s="440">
        <v>0</v>
      </c>
      <c r="J137" s="441">
        <v>0</v>
      </c>
      <c r="K137" s="451" t="s">
        <v>292</v>
      </c>
    </row>
    <row r="138" spans="1:11" ht="14.4" customHeight="1" thickBot="1" x14ac:dyDescent="0.35">
      <c r="A138" s="460" t="s">
        <v>421</v>
      </c>
      <c r="B138" s="440">
        <v>0</v>
      </c>
      <c r="C138" s="440">
        <v>11</v>
      </c>
      <c r="D138" s="441">
        <v>11</v>
      </c>
      <c r="E138" s="450" t="s">
        <v>322</v>
      </c>
      <c r="F138" s="440">
        <v>0</v>
      </c>
      <c r="G138" s="441">
        <v>0</v>
      </c>
      <c r="H138" s="443">
        <v>0</v>
      </c>
      <c r="I138" s="440">
        <v>0</v>
      </c>
      <c r="J138" s="441">
        <v>0</v>
      </c>
      <c r="K138" s="451" t="s">
        <v>292</v>
      </c>
    </row>
    <row r="139" spans="1:11" ht="14.4" customHeight="1" thickBot="1" x14ac:dyDescent="0.35">
      <c r="A139" s="461" t="s">
        <v>422</v>
      </c>
      <c r="B139" s="445">
        <v>0</v>
      </c>
      <c r="C139" s="445">
        <v>11</v>
      </c>
      <c r="D139" s="446">
        <v>11</v>
      </c>
      <c r="E139" s="447" t="s">
        <v>322</v>
      </c>
      <c r="F139" s="445">
        <v>0</v>
      </c>
      <c r="G139" s="446">
        <v>0</v>
      </c>
      <c r="H139" s="448">
        <v>0</v>
      </c>
      <c r="I139" s="445">
        <v>0</v>
      </c>
      <c r="J139" s="446">
        <v>0</v>
      </c>
      <c r="K139" s="449" t="s">
        <v>292</v>
      </c>
    </row>
    <row r="140" spans="1:11" ht="14.4" customHeight="1" thickBot="1" x14ac:dyDescent="0.35">
      <c r="A140" s="462" t="s">
        <v>423</v>
      </c>
      <c r="B140" s="440">
        <v>0</v>
      </c>
      <c r="C140" s="440">
        <v>11</v>
      </c>
      <c r="D140" s="441">
        <v>11</v>
      </c>
      <c r="E140" s="450" t="s">
        <v>322</v>
      </c>
      <c r="F140" s="440">
        <v>0</v>
      </c>
      <c r="G140" s="441">
        <v>0</v>
      </c>
      <c r="H140" s="443">
        <v>0</v>
      </c>
      <c r="I140" s="440">
        <v>0</v>
      </c>
      <c r="J140" s="441">
        <v>0</v>
      </c>
      <c r="K140" s="451" t="s">
        <v>292</v>
      </c>
    </row>
    <row r="141" spans="1:11" ht="14.4" customHeight="1" thickBot="1" x14ac:dyDescent="0.35">
      <c r="A141" s="459" t="s">
        <v>424</v>
      </c>
      <c r="B141" s="440">
        <v>49698.013018592501</v>
      </c>
      <c r="C141" s="440">
        <v>47602.459940000001</v>
      </c>
      <c r="D141" s="441">
        <v>-2095.5530785924302</v>
      </c>
      <c r="E141" s="442">
        <v>0.95783426838700003</v>
      </c>
      <c r="F141" s="440">
        <v>44533.779579821297</v>
      </c>
      <c r="G141" s="441">
        <v>7422.2965966368902</v>
      </c>
      <c r="H141" s="443">
        <v>4311.5204999999996</v>
      </c>
      <c r="I141" s="440">
        <v>5209.1094999999996</v>
      </c>
      <c r="J141" s="441">
        <v>-2213.1870966368901</v>
      </c>
      <c r="K141" s="444">
        <v>0.116969849609</v>
      </c>
    </row>
    <row r="142" spans="1:11" ht="14.4" customHeight="1" thickBot="1" x14ac:dyDescent="0.35">
      <c r="A142" s="460" t="s">
        <v>425</v>
      </c>
      <c r="B142" s="440">
        <v>49150.004437236697</v>
      </c>
      <c r="C142" s="440">
        <v>47028.645470000003</v>
      </c>
      <c r="D142" s="441">
        <v>-2121.3589672366402</v>
      </c>
      <c r="E142" s="442">
        <v>0.95683908899799996</v>
      </c>
      <c r="F142" s="440">
        <v>44050</v>
      </c>
      <c r="G142" s="441">
        <v>7341.6666666666697</v>
      </c>
      <c r="H142" s="443">
        <v>4277.2160000000003</v>
      </c>
      <c r="I142" s="440">
        <v>5133.4629999999997</v>
      </c>
      <c r="J142" s="441">
        <v>-2208.20366666667</v>
      </c>
      <c r="K142" s="444">
        <v>0.116537185017</v>
      </c>
    </row>
    <row r="143" spans="1:11" ht="14.4" customHeight="1" thickBot="1" x14ac:dyDescent="0.35">
      <c r="A143" s="461" t="s">
        <v>426</v>
      </c>
      <c r="B143" s="445">
        <v>49150.004437236697</v>
      </c>
      <c r="C143" s="445">
        <v>47028.645470000003</v>
      </c>
      <c r="D143" s="446">
        <v>-2121.3589672366402</v>
      </c>
      <c r="E143" s="452">
        <v>0.95683908899799996</v>
      </c>
      <c r="F143" s="445">
        <v>44050</v>
      </c>
      <c r="G143" s="446">
        <v>7341.6666666666697</v>
      </c>
      <c r="H143" s="448">
        <v>4277.2160000000003</v>
      </c>
      <c r="I143" s="445">
        <v>5133.4629999999997</v>
      </c>
      <c r="J143" s="446">
        <v>-2208.20366666667</v>
      </c>
      <c r="K143" s="453">
        <v>0.116537185017</v>
      </c>
    </row>
    <row r="144" spans="1:11" ht="14.4" customHeight="1" thickBot="1" x14ac:dyDescent="0.35">
      <c r="A144" s="462" t="s">
        <v>427</v>
      </c>
      <c r="B144" s="440">
        <v>14000.0012639128</v>
      </c>
      <c r="C144" s="440">
        <v>12440.535</v>
      </c>
      <c r="D144" s="441">
        <v>-1559.4662639127801</v>
      </c>
      <c r="E144" s="442">
        <v>0.88860956263299995</v>
      </c>
      <c r="F144" s="440">
        <v>11950</v>
      </c>
      <c r="G144" s="441">
        <v>1991.6666666666699</v>
      </c>
      <c r="H144" s="443">
        <v>563.22500000000002</v>
      </c>
      <c r="I144" s="440">
        <v>1298.412</v>
      </c>
      <c r="J144" s="441">
        <v>-693.25466666666705</v>
      </c>
      <c r="K144" s="444">
        <v>0.108653723849</v>
      </c>
    </row>
    <row r="145" spans="1:11" ht="14.4" customHeight="1" thickBot="1" x14ac:dyDescent="0.35">
      <c r="A145" s="462" t="s">
        <v>428</v>
      </c>
      <c r="B145" s="440">
        <v>35000.003159781998</v>
      </c>
      <c r="C145" s="440">
        <v>34459.46041</v>
      </c>
      <c r="D145" s="441">
        <v>-540.54274978193303</v>
      </c>
      <c r="E145" s="442">
        <v>0.98455592282899995</v>
      </c>
      <c r="F145" s="440">
        <v>32000</v>
      </c>
      <c r="G145" s="441">
        <v>5333.3333333333303</v>
      </c>
      <c r="H145" s="443">
        <v>3713.991</v>
      </c>
      <c r="I145" s="440">
        <v>3835.0509999999999</v>
      </c>
      <c r="J145" s="441">
        <v>-1498.2823333333299</v>
      </c>
      <c r="K145" s="444">
        <v>0.11984534375</v>
      </c>
    </row>
    <row r="146" spans="1:11" ht="14.4" customHeight="1" thickBot="1" x14ac:dyDescent="0.35">
      <c r="A146" s="462" t="s">
        <v>429</v>
      </c>
      <c r="B146" s="440">
        <v>150.00001354192301</v>
      </c>
      <c r="C146" s="440">
        <v>128.65006</v>
      </c>
      <c r="D146" s="441">
        <v>-21.349953541922002</v>
      </c>
      <c r="E146" s="442">
        <v>0.85766698923600004</v>
      </c>
      <c r="F146" s="440">
        <v>100</v>
      </c>
      <c r="G146" s="441">
        <v>16.666666666666</v>
      </c>
      <c r="H146" s="443">
        <v>0</v>
      </c>
      <c r="I146" s="440">
        <v>0</v>
      </c>
      <c r="J146" s="441">
        <v>-16.666666666666</v>
      </c>
      <c r="K146" s="444">
        <v>0</v>
      </c>
    </row>
    <row r="147" spans="1:11" ht="14.4" customHeight="1" thickBot="1" x14ac:dyDescent="0.35">
      <c r="A147" s="460" t="s">
        <v>430</v>
      </c>
      <c r="B147" s="440">
        <v>0</v>
      </c>
      <c r="C147" s="440">
        <v>26.077400000000001</v>
      </c>
      <c r="D147" s="441">
        <v>26.077400000000001</v>
      </c>
      <c r="E147" s="450" t="s">
        <v>322</v>
      </c>
      <c r="F147" s="440">
        <v>0</v>
      </c>
      <c r="G147" s="441">
        <v>0</v>
      </c>
      <c r="H147" s="443">
        <v>0</v>
      </c>
      <c r="I147" s="440">
        <v>0</v>
      </c>
      <c r="J147" s="441">
        <v>0</v>
      </c>
      <c r="K147" s="444">
        <v>2</v>
      </c>
    </row>
    <row r="148" spans="1:11" ht="14.4" customHeight="1" thickBot="1" x14ac:dyDescent="0.35">
      <c r="A148" s="461" t="s">
        <v>431</v>
      </c>
      <c r="B148" s="445">
        <v>0</v>
      </c>
      <c r="C148" s="445">
        <v>26.077400000000001</v>
      </c>
      <c r="D148" s="446">
        <v>26.077400000000001</v>
      </c>
      <c r="E148" s="447" t="s">
        <v>322</v>
      </c>
      <c r="F148" s="445">
        <v>0</v>
      </c>
      <c r="G148" s="446">
        <v>0</v>
      </c>
      <c r="H148" s="448">
        <v>0</v>
      </c>
      <c r="I148" s="445">
        <v>0</v>
      </c>
      <c r="J148" s="446">
        <v>0</v>
      </c>
      <c r="K148" s="453">
        <v>2</v>
      </c>
    </row>
    <row r="149" spans="1:11" ht="14.4" customHeight="1" thickBot="1" x14ac:dyDescent="0.35">
      <c r="A149" s="462" t="s">
        <v>432</v>
      </c>
      <c r="B149" s="440">
        <v>0</v>
      </c>
      <c r="C149" s="440">
        <v>26.077400000000001</v>
      </c>
      <c r="D149" s="441">
        <v>26.077400000000001</v>
      </c>
      <c r="E149" s="450" t="s">
        <v>322</v>
      </c>
      <c r="F149" s="440">
        <v>0</v>
      </c>
      <c r="G149" s="441">
        <v>0</v>
      </c>
      <c r="H149" s="443">
        <v>0</v>
      </c>
      <c r="I149" s="440">
        <v>0</v>
      </c>
      <c r="J149" s="441">
        <v>0</v>
      </c>
      <c r="K149" s="444">
        <v>2</v>
      </c>
    </row>
    <row r="150" spans="1:11" ht="14.4" customHeight="1" thickBot="1" x14ac:dyDescent="0.35">
      <c r="A150" s="460" t="s">
        <v>433</v>
      </c>
      <c r="B150" s="440">
        <v>548.00858135578403</v>
      </c>
      <c r="C150" s="440">
        <v>547.73707000000002</v>
      </c>
      <c r="D150" s="441">
        <v>-0.27151135578300001</v>
      </c>
      <c r="E150" s="442">
        <v>0.99950454907999997</v>
      </c>
      <c r="F150" s="440">
        <v>483.77957982134598</v>
      </c>
      <c r="G150" s="441">
        <v>80.629929970223998</v>
      </c>
      <c r="H150" s="443">
        <v>34.304499999999997</v>
      </c>
      <c r="I150" s="440">
        <v>75.646500000000003</v>
      </c>
      <c r="J150" s="441">
        <v>-4.9834299702239999</v>
      </c>
      <c r="K150" s="444">
        <v>0.156365632522</v>
      </c>
    </row>
    <row r="151" spans="1:11" ht="14.4" customHeight="1" thickBot="1" x14ac:dyDescent="0.35">
      <c r="A151" s="461" t="s">
        <v>434</v>
      </c>
      <c r="B151" s="445">
        <v>0</v>
      </c>
      <c r="C151" s="445">
        <v>39.277070000000002</v>
      </c>
      <c r="D151" s="446">
        <v>39.277070000000002</v>
      </c>
      <c r="E151" s="447" t="s">
        <v>292</v>
      </c>
      <c r="F151" s="445">
        <v>0</v>
      </c>
      <c r="G151" s="446">
        <v>0</v>
      </c>
      <c r="H151" s="448">
        <v>4.6044999999999998</v>
      </c>
      <c r="I151" s="445">
        <v>5.2965</v>
      </c>
      <c r="J151" s="446">
        <v>5.2965</v>
      </c>
      <c r="K151" s="449" t="s">
        <v>292</v>
      </c>
    </row>
    <row r="152" spans="1:11" ht="14.4" customHeight="1" thickBot="1" x14ac:dyDescent="0.35">
      <c r="A152" s="462" t="s">
        <v>435</v>
      </c>
      <c r="B152" s="440">
        <v>0</v>
      </c>
      <c r="C152" s="440">
        <v>4.0633699999999999</v>
      </c>
      <c r="D152" s="441">
        <v>4.0633699999999999</v>
      </c>
      <c r="E152" s="450" t="s">
        <v>292</v>
      </c>
      <c r="F152" s="440">
        <v>0</v>
      </c>
      <c r="G152" s="441">
        <v>0</v>
      </c>
      <c r="H152" s="443">
        <v>1.7544999999999999</v>
      </c>
      <c r="I152" s="440">
        <v>1.7544999999999999</v>
      </c>
      <c r="J152" s="441">
        <v>1.7544999999999999</v>
      </c>
      <c r="K152" s="451" t="s">
        <v>292</v>
      </c>
    </row>
    <row r="153" spans="1:11" ht="14.4" customHeight="1" thickBot="1" x14ac:dyDescent="0.35">
      <c r="A153" s="462" t="s">
        <v>436</v>
      </c>
      <c r="B153" s="440">
        <v>0</v>
      </c>
      <c r="C153" s="440">
        <v>0</v>
      </c>
      <c r="D153" s="441">
        <v>0</v>
      </c>
      <c r="E153" s="442">
        <v>1</v>
      </c>
      <c r="F153" s="440">
        <v>0</v>
      </c>
      <c r="G153" s="441">
        <v>0</v>
      </c>
      <c r="H153" s="443">
        <v>0</v>
      </c>
      <c r="I153" s="440">
        <v>-0.60799999999999998</v>
      </c>
      <c r="J153" s="441">
        <v>-0.60799999999999998</v>
      </c>
      <c r="K153" s="451" t="s">
        <v>322</v>
      </c>
    </row>
    <row r="154" spans="1:11" ht="14.4" customHeight="1" thickBot="1" x14ac:dyDescent="0.35">
      <c r="A154" s="462" t="s">
        <v>437</v>
      </c>
      <c r="B154" s="440">
        <v>0</v>
      </c>
      <c r="C154" s="440">
        <v>15.121700000000001</v>
      </c>
      <c r="D154" s="441">
        <v>15.121700000000001</v>
      </c>
      <c r="E154" s="450" t="s">
        <v>292</v>
      </c>
      <c r="F154" s="440">
        <v>0</v>
      </c>
      <c r="G154" s="441">
        <v>0</v>
      </c>
      <c r="H154" s="443">
        <v>0</v>
      </c>
      <c r="I154" s="440">
        <v>0</v>
      </c>
      <c r="J154" s="441">
        <v>0</v>
      </c>
      <c r="K154" s="451" t="s">
        <v>292</v>
      </c>
    </row>
    <row r="155" spans="1:11" ht="14.4" customHeight="1" thickBot="1" x14ac:dyDescent="0.35">
      <c r="A155" s="462" t="s">
        <v>438</v>
      </c>
      <c r="B155" s="440">
        <v>0</v>
      </c>
      <c r="C155" s="440">
        <v>18.332000000000001</v>
      </c>
      <c r="D155" s="441">
        <v>18.332000000000001</v>
      </c>
      <c r="E155" s="450" t="s">
        <v>292</v>
      </c>
      <c r="F155" s="440">
        <v>0</v>
      </c>
      <c r="G155" s="441">
        <v>0</v>
      </c>
      <c r="H155" s="443">
        <v>2.85</v>
      </c>
      <c r="I155" s="440">
        <v>4.1500000000000004</v>
      </c>
      <c r="J155" s="441">
        <v>4.1500000000000004</v>
      </c>
      <c r="K155" s="451" t="s">
        <v>292</v>
      </c>
    </row>
    <row r="156" spans="1:11" ht="14.4" customHeight="1" thickBot="1" x14ac:dyDescent="0.35">
      <c r="A156" s="462" t="s">
        <v>439</v>
      </c>
      <c r="B156" s="440">
        <v>0</v>
      </c>
      <c r="C156" s="440">
        <v>1.76</v>
      </c>
      <c r="D156" s="441">
        <v>1.76</v>
      </c>
      <c r="E156" s="450" t="s">
        <v>292</v>
      </c>
      <c r="F156" s="440">
        <v>0</v>
      </c>
      <c r="G156" s="441">
        <v>0</v>
      </c>
      <c r="H156" s="443">
        <v>0</v>
      </c>
      <c r="I156" s="440">
        <v>0</v>
      </c>
      <c r="J156" s="441">
        <v>0</v>
      </c>
      <c r="K156" s="451" t="s">
        <v>292</v>
      </c>
    </row>
    <row r="157" spans="1:11" ht="14.4" customHeight="1" thickBot="1" x14ac:dyDescent="0.35">
      <c r="A157" s="461" t="s">
        <v>440</v>
      </c>
      <c r="B157" s="445">
        <v>548.00858135578403</v>
      </c>
      <c r="C157" s="445">
        <v>498.75</v>
      </c>
      <c r="D157" s="446">
        <v>-49.258581355783001</v>
      </c>
      <c r="E157" s="452">
        <v>0.91011348538699999</v>
      </c>
      <c r="F157" s="445">
        <v>483.77957982134598</v>
      </c>
      <c r="G157" s="446">
        <v>80.629929970223998</v>
      </c>
      <c r="H157" s="448">
        <v>29.7</v>
      </c>
      <c r="I157" s="445">
        <v>70.05</v>
      </c>
      <c r="J157" s="446">
        <v>-10.579929970224001</v>
      </c>
      <c r="K157" s="453">
        <v>0.14479734763800001</v>
      </c>
    </row>
    <row r="158" spans="1:11" ht="14.4" customHeight="1" thickBot="1" x14ac:dyDescent="0.35">
      <c r="A158" s="462" t="s">
        <v>441</v>
      </c>
      <c r="B158" s="440">
        <v>548.00858135578403</v>
      </c>
      <c r="C158" s="440">
        <v>498.75</v>
      </c>
      <c r="D158" s="441">
        <v>-49.258581355783001</v>
      </c>
      <c r="E158" s="442">
        <v>0.91011348538699999</v>
      </c>
      <c r="F158" s="440">
        <v>483.77957982134598</v>
      </c>
      <c r="G158" s="441">
        <v>80.629929970223998</v>
      </c>
      <c r="H158" s="443">
        <v>29.7</v>
      </c>
      <c r="I158" s="440">
        <v>70.05</v>
      </c>
      <c r="J158" s="441">
        <v>-10.579929970224001</v>
      </c>
      <c r="K158" s="444">
        <v>0.14479734763800001</v>
      </c>
    </row>
    <row r="159" spans="1:11" ht="14.4" customHeight="1" thickBot="1" x14ac:dyDescent="0.35">
      <c r="A159" s="465" t="s">
        <v>442</v>
      </c>
      <c r="B159" s="440">
        <v>0</v>
      </c>
      <c r="C159" s="440">
        <v>0.2</v>
      </c>
      <c r="D159" s="441">
        <v>0.2</v>
      </c>
      <c r="E159" s="450" t="s">
        <v>292</v>
      </c>
      <c r="F159" s="440">
        <v>0</v>
      </c>
      <c r="G159" s="441">
        <v>0</v>
      </c>
      <c r="H159" s="443">
        <v>0</v>
      </c>
      <c r="I159" s="440">
        <v>0</v>
      </c>
      <c r="J159" s="441">
        <v>0</v>
      </c>
      <c r="K159" s="451" t="s">
        <v>292</v>
      </c>
    </row>
    <row r="160" spans="1:11" ht="14.4" customHeight="1" thickBot="1" x14ac:dyDescent="0.35">
      <c r="A160" s="462" t="s">
        <v>443</v>
      </c>
      <c r="B160" s="440">
        <v>0</v>
      </c>
      <c r="C160" s="440">
        <v>0.2</v>
      </c>
      <c r="D160" s="441">
        <v>0.2</v>
      </c>
      <c r="E160" s="450" t="s">
        <v>292</v>
      </c>
      <c r="F160" s="440">
        <v>0</v>
      </c>
      <c r="G160" s="441">
        <v>0</v>
      </c>
      <c r="H160" s="443">
        <v>0</v>
      </c>
      <c r="I160" s="440">
        <v>0</v>
      </c>
      <c r="J160" s="441">
        <v>0</v>
      </c>
      <c r="K160" s="451" t="s">
        <v>292</v>
      </c>
    </row>
    <row r="161" spans="1:11" ht="14.4" customHeight="1" thickBot="1" x14ac:dyDescent="0.35">
      <c r="A161" s="465" t="s">
        <v>444</v>
      </c>
      <c r="B161" s="440">
        <v>0</v>
      </c>
      <c r="C161" s="440">
        <v>9.5099999999989997</v>
      </c>
      <c r="D161" s="441">
        <v>9.5099999999989997</v>
      </c>
      <c r="E161" s="450" t="s">
        <v>292</v>
      </c>
      <c r="F161" s="440">
        <v>0</v>
      </c>
      <c r="G161" s="441">
        <v>0</v>
      </c>
      <c r="H161" s="443">
        <v>0</v>
      </c>
      <c r="I161" s="440">
        <v>0.3</v>
      </c>
      <c r="J161" s="441">
        <v>0.3</v>
      </c>
      <c r="K161" s="451" t="s">
        <v>292</v>
      </c>
    </row>
    <row r="162" spans="1:11" ht="14.4" customHeight="1" thickBot="1" x14ac:dyDescent="0.35">
      <c r="A162" s="462" t="s">
        <v>445</v>
      </c>
      <c r="B162" s="440">
        <v>0</v>
      </c>
      <c r="C162" s="440">
        <v>9.5099999999989997</v>
      </c>
      <c r="D162" s="441">
        <v>9.5099999999989997</v>
      </c>
      <c r="E162" s="450" t="s">
        <v>292</v>
      </c>
      <c r="F162" s="440">
        <v>0</v>
      </c>
      <c r="G162" s="441">
        <v>0</v>
      </c>
      <c r="H162" s="443">
        <v>0</v>
      </c>
      <c r="I162" s="440">
        <v>0.3</v>
      </c>
      <c r="J162" s="441">
        <v>0.3</v>
      </c>
      <c r="K162" s="451" t="s">
        <v>292</v>
      </c>
    </row>
    <row r="163" spans="1:11" ht="14.4" customHeight="1" thickBot="1" x14ac:dyDescent="0.35">
      <c r="A163" s="459" t="s">
        <v>446</v>
      </c>
      <c r="B163" s="440">
        <v>3888.0088935839199</v>
      </c>
      <c r="C163" s="440">
        <v>4281.9930000000004</v>
      </c>
      <c r="D163" s="441">
        <v>393.98410641608302</v>
      </c>
      <c r="E163" s="442">
        <v>1.101333128909</v>
      </c>
      <c r="F163" s="440">
        <v>3713.00000000001</v>
      </c>
      <c r="G163" s="441">
        <v>618.83333333333405</v>
      </c>
      <c r="H163" s="443">
        <v>336.79349999999999</v>
      </c>
      <c r="I163" s="440">
        <v>694.53848000000005</v>
      </c>
      <c r="J163" s="441">
        <v>75.705146666665001</v>
      </c>
      <c r="K163" s="444">
        <v>0.18705587934199999</v>
      </c>
    </row>
    <row r="164" spans="1:11" ht="14.4" customHeight="1" thickBot="1" x14ac:dyDescent="0.35">
      <c r="A164" s="460" t="s">
        <v>447</v>
      </c>
      <c r="B164" s="440">
        <v>3854.00889988671</v>
      </c>
      <c r="C164" s="440">
        <v>3864.7809999999999</v>
      </c>
      <c r="D164" s="441">
        <v>10.772100113295</v>
      </c>
      <c r="E164" s="442">
        <v>1.002795037684</v>
      </c>
      <c r="F164" s="440">
        <v>3713.00000000001</v>
      </c>
      <c r="G164" s="441">
        <v>618.83333333333405</v>
      </c>
      <c r="H164" s="443">
        <v>317.37599999999998</v>
      </c>
      <c r="I164" s="440">
        <v>634.66099999999994</v>
      </c>
      <c r="J164" s="441">
        <v>15.827666666664999</v>
      </c>
      <c r="K164" s="444">
        <v>0.17092943711200001</v>
      </c>
    </row>
    <row r="165" spans="1:11" ht="14.4" customHeight="1" thickBot="1" x14ac:dyDescent="0.35">
      <c r="A165" s="461" t="s">
        <v>448</v>
      </c>
      <c r="B165" s="445">
        <v>3854.00889988671</v>
      </c>
      <c r="C165" s="445">
        <v>3863.8620000000001</v>
      </c>
      <c r="D165" s="446">
        <v>9.8531001132949996</v>
      </c>
      <c r="E165" s="452">
        <v>1.00255658468</v>
      </c>
      <c r="F165" s="445">
        <v>3713.00000000001</v>
      </c>
      <c r="G165" s="446">
        <v>618.83333333333405</v>
      </c>
      <c r="H165" s="448">
        <v>317.37599999999998</v>
      </c>
      <c r="I165" s="445">
        <v>634.66099999999994</v>
      </c>
      <c r="J165" s="446">
        <v>15.827666666664999</v>
      </c>
      <c r="K165" s="453">
        <v>0.17092943711200001</v>
      </c>
    </row>
    <row r="166" spans="1:11" ht="14.4" customHeight="1" thickBot="1" x14ac:dyDescent="0.35">
      <c r="A166" s="462" t="s">
        <v>449</v>
      </c>
      <c r="B166" s="440">
        <v>555.00128163910802</v>
      </c>
      <c r="C166" s="440">
        <v>557.90800000000002</v>
      </c>
      <c r="D166" s="441">
        <v>2.906718360892</v>
      </c>
      <c r="E166" s="442">
        <v>1.0052373182850001</v>
      </c>
      <c r="F166" s="440">
        <v>590.00000000000102</v>
      </c>
      <c r="G166" s="441">
        <v>98.333333333333002</v>
      </c>
      <c r="H166" s="443">
        <v>49.326999999999998</v>
      </c>
      <c r="I166" s="440">
        <v>98.563000000000002</v>
      </c>
      <c r="J166" s="441">
        <v>0.229666666666</v>
      </c>
      <c r="K166" s="444">
        <v>0.167055932203</v>
      </c>
    </row>
    <row r="167" spans="1:11" ht="14.4" customHeight="1" thickBot="1" x14ac:dyDescent="0.35">
      <c r="A167" s="462" t="s">
        <v>450</v>
      </c>
      <c r="B167" s="440">
        <v>2585.0059694362099</v>
      </c>
      <c r="C167" s="440">
        <v>2590.1610000000001</v>
      </c>
      <c r="D167" s="441">
        <v>5.155030563795</v>
      </c>
      <c r="E167" s="442">
        <v>1.0019942045100001</v>
      </c>
      <c r="F167" s="440">
        <v>2569</v>
      </c>
      <c r="G167" s="441">
        <v>428.16666666666703</v>
      </c>
      <c r="H167" s="443">
        <v>216.399</v>
      </c>
      <c r="I167" s="440">
        <v>432.798</v>
      </c>
      <c r="J167" s="441">
        <v>4.6313333333319999</v>
      </c>
      <c r="K167" s="444">
        <v>0.16846944336299999</v>
      </c>
    </row>
    <row r="168" spans="1:11" ht="14.4" customHeight="1" thickBot="1" x14ac:dyDescent="0.35">
      <c r="A168" s="462" t="s">
        <v>451</v>
      </c>
      <c r="B168" s="440">
        <v>672.00155182248795</v>
      </c>
      <c r="C168" s="440">
        <v>674.17</v>
      </c>
      <c r="D168" s="441">
        <v>2.1684481775119999</v>
      </c>
      <c r="E168" s="442">
        <v>1.0032268499550001</v>
      </c>
      <c r="F168" s="440">
        <v>537.00000000000102</v>
      </c>
      <c r="G168" s="441">
        <v>89.5</v>
      </c>
      <c r="H168" s="443">
        <v>50.231999999999999</v>
      </c>
      <c r="I168" s="440">
        <v>100.464</v>
      </c>
      <c r="J168" s="441">
        <v>10.963999999999</v>
      </c>
      <c r="K168" s="444">
        <v>0.187083798882</v>
      </c>
    </row>
    <row r="169" spans="1:11" ht="14.4" customHeight="1" thickBot="1" x14ac:dyDescent="0.35">
      <c r="A169" s="462" t="s">
        <v>452</v>
      </c>
      <c r="B169" s="440">
        <v>1.000002309259</v>
      </c>
      <c r="C169" s="440">
        <v>0.91200000000000003</v>
      </c>
      <c r="D169" s="441">
        <v>-8.8002309259000003E-2</v>
      </c>
      <c r="E169" s="442">
        <v>0.91199789395999997</v>
      </c>
      <c r="F169" s="440">
        <v>2</v>
      </c>
      <c r="G169" s="441">
        <v>0.33333333333300003</v>
      </c>
      <c r="H169" s="443">
        <v>0.186</v>
      </c>
      <c r="I169" s="440">
        <v>0.372</v>
      </c>
      <c r="J169" s="441">
        <v>3.8666666666000001E-2</v>
      </c>
      <c r="K169" s="444">
        <v>0.186</v>
      </c>
    </row>
    <row r="170" spans="1:11" ht="14.4" customHeight="1" thickBot="1" x14ac:dyDescent="0.35">
      <c r="A170" s="462" t="s">
        <v>453</v>
      </c>
      <c r="B170" s="440">
        <v>41.000094679645002</v>
      </c>
      <c r="C170" s="440">
        <v>40.710999999999999</v>
      </c>
      <c r="D170" s="441">
        <v>-0.28909467964500002</v>
      </c>
      <c r="E170" s="442">
        <v>0.992948926535</v>
      </c>
      <c r="F170" s="440">
        <v>15</v>
      </c>
      <c r="G170" s="441">
        <v>2.5</v>
      </c>
      <c r="H170" s="443">
        <v>1.232</v>
      </c>
      <c r="I170" s="440">
        <v>2.464</v>
      </c>
      <c r="J170" s="441">
        <v>-3.5999999999999997E-2</v>
      </c>
      <c r="K170" s="444">
        <v>0.16426666666600001</v>
      </c>
    </row>
    <row r="171" spans="1:11" ht="14.4" customHeight="1" thickBot="1" x14ac:dyDescent="0.35">
      <c r="A171" s="461" t="s">
        <v>454</v>
      </c>
      <c r="B171" s="445">
        <v>0</v>
      </c>
      <c r="C171" s="445">
        <v>0.91900000000000004</v>
      </c>
      <c r="D171" s="446">
        <v>0.91900000000000004</v>
      </c>
      <c r="E171" s="447" t="s">
        <v>292</v>
      </c>
      <c r="F171" s="445">
        <v>0</v>
      </c>
      <c r="G171" s="446">
        <v>0</v>
      </c>
      <c r="H171" s="448">
        <v>0</v>
      </c>
      <c r="I171" s="445">
        <v>0</v>
      </c>
      <c r="J171" s="446">
        <v>0</v>
      </c>
      <c r="K171" s="453">
        <v>2</v>
      </c>
    </row>
    <row r="172" spans="1:11" ht="14.4" customHeight="1" thickBot="1" x14ac:dyDescent="0.35">
      <c r="A172" s="462" t="s">
        <v>455</v>
      </c>
      <c r="B172" s="440">
        <v>0</v>
      </c>
      <c r="C172" s="440">
        <v>0.91900000000000004</v>
      </c>
      <c r="D172" s="441">
        <v>0.91900000000000004</v>
      </c>
      <c r="E172" s="450" t="s">
        <v>322</v>
      </c>
      <c r="F172" s="440">
        <v>0</v>
      </c>
      <c r="G172" s="441">
        <v>0</v>
      </c>
      <c r="H172" s="443">
        <v>0</v>
      </c>
      <c r="I172" s="440">
        <v>0</v>
      </c>
      <c r="J172" s="441">
        <v>0</v>
      </c>
      <c r="K172" s="444">
        <v>2</v>
      </c>
    </row>
    <row r="173" spans="1:11" ht="14.4" customHeight="1" thickBot="1" x14ac:dyDescent="0.35">
      <c r="A173" s="460" t="s">
        <v>456</v>
      </c>
      <c r="B173" s="440">
        <v>33.999993697211004</v>
      </c>
      <c r="C173" s="440">
        <v>417.21199999999999</v>
      </c>
      <c r="D173" s="441">
        <v>383.21200630278901</v>
      </c>
      <c r="E173" s="442">
        <v>12.27094345121</v>
      </c>
      <c r="F173" s="440">
        <v>0</v>
      </c>
      <c r="G173" s="441">
        <v>0</v>
      </c>
      <c r="H173" s="443">
        <v>19.4175</v>
      </c>
      <c r="I173" s="440">
        <v>59.877479999999998</v>
      </c>
      <c r="J173" s="441">
        <v>59.877479999999998</v>
      </c>
      <c r="K173" s="451" t="s">
        <v>292</v>
      </c>
    </row>
    <row r="174" spans="1:11" ht="14.4" customHeight="1" thickBot="1" x14ac:dyDescent="0.35">
      <c r="A174" s="461" t="s">
        <v>457</v>
      </c>
      <c r="B174" s="445">
        <v>1.9999996292469999</v>
      </c>
      <c r="C174" s="445">
        <v>42.578040000000001</v>
      </c>
      <c r="D174" s="446">
        <v>40.578040370751999</v>
      </c>
      <c r="E174" s="452">
        <v>21.289023946476998</v>
      </c>
      <c r="F174" s="445">
        <v>0</v>
      </c>
      <c r="G174" s="446">
        <v>0</v>
      </c>
      <c r="H174" s="448">
        <v>0</v>
      </c>
      <c r="I174" s="445">
        <v>0</v>
      </c>
      <c r="J174" s="446">
        <v>0</v>
      </c>
      <c r="K174" s="449" t="s">
        <v>292</v>
      </c>
    </row>
    <row r="175" spans="1:11" ht="14.4" customHeight="1" thickBot="1" x14ac:dyDescent="0.35">
      <c r="A175" s="462" t="s">
        <v>458</v>
      </c>
      <c r="B175" s="440">
        <v>1.9999996292469999</v>
      </c>
      <c r="C175" s="440">
        <v>23.670089999999998</v>
      </c>
      <c r="D175" s="441">
        <v>21.670090370752</v>
      </c>
      <c r="E175" s="442">
        <v>11.835047193935001</v>
      </c>
      <c r="F175" s="440">
        <v>0</v>
      </c>
      <c r="G175" s="441">
        <v>0</v>
      </c>
      <c r="H175" s="443">
        <v>0</v>
      </c>
      <c r="I175" s="440">
        <v>0</v>
      </c>
      <c r="J175" s="441">
        <v>0</v>
      </c>
      <c r="K175" s="451" t="s">
        <v>292</v>
      </c>
    </row>
    <row r="176" spans="1:11" ht="14.4" customHeight="1" thickBot="1" x14ac:dyDescent="0.35">
      <c r="A176" s="462" t="s">
        <v>459</v>
      </c>
      <c r="B176" s="440">
        <v>0</v>
      </c>
      <c r="C176" s="440">
        <v>18.90795</v>
      </c>
      <c r="D176" s="441">
        <v>18.90795</v>
      </c>
      <c r="E176" s="450" t="s">
        <v>322</v>
      </c>
      <c r="F176" s="440">
        <v>0</v>
      </c>
      <c r="G176" s="441">
        <v>0</v>
      </c>
      <c r="H176" s="443">
        <v>0</v>
      </c>
      <c r="I176" s="440">
        <v>0</v>
      </c>
      <c r="J176" s="441">
        <v>0</v>
      </c>
      <c r="K176" s="451" t="s">
        <v>292</v>
      </c>
    </row>
    <row r="177" spans="1:11" ht="14.4" customHeight="1" thickBot="1" x14ac:dyDescent="0.35">
      <c r="A177" s="461" t="s">
        <v>460</v>
      </c>
      <c r="B177" s="445">
        <v>0</v>
      </c>
      <c r="C177" s="445">
        <v>6.2631500000000004</v>
      </c>
      <c r="D177" s="446">
        <v>6.2631500000000004</v>
      </c>
      <c r="E177" s="447" t="s">
        <v>292</v>
      </c>
      <c r="F177" s="445">
        <v>0</v>
      </c>
      <c r="G177" s="446">
        <v>0</v>
      </c>
      <c r="H177" s="448">
        <v>3.99</v>
      </c>
      <c r="I177" s="445">
        <v>44.449979999999996</v>
      </c>
      <c r="J177" s="446">
        <v>44.449979999999996</v>
      </c>
      <c r="K177" s="449" t="s">
        <v>292</v>
      </c>
    </row>
    <row r="178" spans="1:11" ht="14.4" customHeight="1" thickBot="1" x14ac:dyDescent="0.35">
      <c r="A178" s="462" t="s">
        <v>461</v>
      </c>
      <c r="B178" s="440">
        <v>0</v>
      </c>
      <c r="C178" s="440">
        <v>-5.0819999999999999</v>
      </c>
      <c r="D178" s="441">
        <v>-5.0819999999999999</v>
      </c>
      <c r="E178" s="450" t="s">
        <v>322</v>
      </c>
      <c r="F178" s="440">
        <v>0</v>
      </c>
      <c r="G178" s="441">
        <v>0</v>
      </c>
      <c r="H178" s="443">
        <v>0</v>
      </c>
      <c r="I178" s="440">
        <v>15.367000000000001</v>
      </c>
      <c r="J178" s="441">
        <v>15.367000000000001</v>
      </c>
      <c r="K178" s="451" t="s">
        <v>292</v>
      </c>
    </row>
    <row r="179" spans="1:11" ht="14.4" customHeight="1" thickBot="1" x14ac:dyDescent="0.35">
      <c r="A179" s="462" t="s">
        <v>462</v>
      </c>
      <c r="B179" s="440">
        <v>0</v>
      </c>
      <c r="C179" s="440">
        <v>3.2563</v>
      </c>
      <c r="D179" s="441">
        <v>3.2563</v>
      </c>
      <c r="E179" s="450" t="s">
        <v>292</v>
      </c>
      <c r="F179" s="440">
        <v>0</v>
      </c>
      <c r="G179" s="441">
        <v>0</v>
      </c>
      <c r="H179" s="443">
        <v>3.99</v>
      </c>
      <c r="I179" s="440">
        <v>3.99</v>
      </c>
      <c r="J179" s="441">
        <v>3.99</v>
      </c>
      <c r="K179" s="451" t="s">
        <v>292</v>
      </c>
    </row>
    <row r="180" spans="1:11" ht="14.4" customHeight="1" thickBot="1" x14ac:dyDescent="0.35">
      <c r="A180" s="462" t="s">
        <v>463</v>
      </c>
      <c r="B180" s="440">
        <v>0</v>
      </c>
      <c r="C180" s="440">
        <v>8.0888500000000008</v>
      </c>
      <c r="D180" s="441">
        <v>8.0888500000000008</v>
      </c>
      <c r="E180" s="450" t="s">
        <v>322</v>
      </c>
      <c r="F180" s="440">
        <v>0</v>
      </c>
      <c r="G180" s="441">
        <v>0</v>
      </c>
      <c r="H180" s="443">
        <v>0</v>
      </c>
      <c r="I180" s="440">
        <v>0</v>
      </c>
      <c r="J180" s="441">
        <v>0</v>
      </c>
      <c r="K180" s="451" t="s">
        <v>292</v>
      </c>
    </row>
    <row r="181" spans="1:11" ht="14.4" customHeight="1" thickBot="1" x14ac:dyDescent="0.35">
      <c r="A181" s="462" t="s">
        <v>464</v>
      </c>
      <c r="B181" s="440">
        <v>0</v>
      </c>
      <c r="C181" s="440">
        <v>0</v>
      </c>
      <c r="D181" s="441">
        <v>0</v>
      </c>
      <c r="E181" s="442">
        <v>1</v>
      </c>
      <c r="F181" s="440">
        <v>0</v>
      </c>
      <c r="G181" s="441">
        <v>0</v>
      </c>
      <c r="H181" s="443">
        <v>0</v>
      </c>
      <c r="I181" s="440">
        <v>25.092980000000001</v>
      </c>
      <c r="J181" s="441">
        <v>25.092980000000001</v>
      </c>
      <c r="K181" s="451" t="s">
        <v>322</v>
      </c>
    </row>
    <row r="182" spans="1:11" ht="14.4" customHeight="1" thickBot="1" x14ac:dyDescent="0.35">
      <c r="A182" s="461" t="s">
        <v>465</v>
      </c>
      <c r="B182" s="445">
        <v>31.999994067963001</v>
      </c>
      <c r="C182" s="445">
        <v>16.722200000000001</v>
      </c>
      <c r="D182" s="446">
        <v>-15.277794067963001</v>
      </c>
      <c r="E182" s="452">
        <v>0.52256884687100003</v>
      </c>
      <c r="F182" s="445">
        <v>0</v>
      </c>
      <c r="G182" s="446">
        <v>0</v>
      </c>
      <c r="H182" s="448">
        <v>0</v>
      </c>
      <c r="I182" s="445">
        <v>0</v>
      </c>
      <c r="J182" s="446">
        <v>0</v>
      </c>
      <c r="K182" s="449" t="s">
        <v>292</v>
      </c>
    </row>
    <row r="183" spans="1:11" ht="14.4" customHeight="1" thickBot="1" x14ac:dyDescent="0.35">
      <c r="A183" s="462" t="s">
        <v>466</v>
      </c>
      <c r="B183" s="440">
        <v>31.999994067963001</v>
      </c>
      <c r="C183" s="440">
        <v>0</v>
      </c>
      <c r="D183" s="441">
        <v>-31.999994067963001</v>
      </c>
      <c r="E183" s="442">
        <v>0</v>
      </c>
      <c r="F183" s="440">
        <v>0</v>
      </c>
      <c r="G183" s="441">
        <v>0</v>
      </c>
      <c r="H183" s="443">
        <v>0</v>
      </c>
      <c r="I183" s="440">
        <v>0</v>
      </c>
      <c r="J183" s="441">
        <v>0</v>
      </c>
      <c r="K183" s="444">
        <v>2</v>
      </c>
    </row>
    <row r="184" spans="1:11" ht="14.4" customHeight="1" thickBot="1" x14ac:dyDescent="0.35">
      <c r="A184" s="462" t="s">
        <v>467</v>
      </c>
      <c r="B184" s="440">
        <v>0</v>
      </c>
      <c r="C184" s="440">
        <v>16.722200000000001</v>
      </c>
      <c r="D184" s="441">
        <v>16.722200000000001</v>
      </c>
      <c r="E184" s="450" t="s">
        <v>322</v>
      </c>
      <c r="F184" s="440">
        <v>0</v>
      </c>
      <c r="G184" s="441">
        <v>0</v>
      </c>
      <c r="H184" s="443">
        <v>0</v>
      </c>
      <c r="I184" s="440">
        <v>0</v>
      </c>
      <c r="J184" s="441">
        <v>0</v>
      </c>
      <c r="K184" s="451" t="s">
        <v>292</v>
      </c>
    </row>
    <row r="185" spans="1:11" ht="14.4" customHeight="1" thickBot="1" x14ac:dyDescent="0.35">
      <c r="A185" s="461" t="s">
        <v>468</v>
      </c>
      <c r="B185" s="445">
        <v>0</v>
      </c>
      <c r="C185" s="445">
        <v>202.47060999999999</v>
      </c>
      <c r="D185" s="446">
        <v>202.47060999999999</v>
      </c>
      <c r="E185" s="447" t="s">
        <v>292</v>
      </c>
      <c r="F185" s="445">
        <v>0</v>
      </c>
      <c r="G185" s="446">
        <v>0</v>
      </c>
      <c r="H185" s="448">
        <v>15.4275</v>
      </c>
      <c r="I185" s="445">
        <v>15.4275</v>
      </c>
      <c r="J185" s="446">
        <v>15.4275</v>
      </c>
      <c r="K185" s="449" t="s">
        <v>292</v>
      </c>
    </row>
    <row r="186" spans="1:11" ht="14.4" customHeight="1" thickBot="1" x14ac:dyDescent="0.35">
      <c r="A186" s="462" t="s">
        <v>469</v>
      </c>
      <c r="B186" s="440">
        <v>0</v>
      </c>
      <c r="C186" s="440">
        <v>202.47060999999999</v>
      </c>
      <c r="D186" s="441">
        <v>202.47060999999999</v>
      </c>
      <c r="E186" s="450" t="s">
        <v>292</v>
      </c>
      <c r="F186" s="440">
        <v>0</v>
      </c>
      <c r="G186" s="441">
        <v>0</v>
      </c>
      <c r="H186" s="443">
        <v>15.4275</v>
      </c>
      <c r="I186" s="440">
        <v>15.4275</v>
      </c>
      <c r="J186" s="441">
        <v>15.4275</v>
      </c>
      <c r="K186" s="451" t="s">
        <v>292</v>
      </c>
    </row>
    <row r="187" spans="1:11" ht="14.4" customHeight="1" thickBot="1" x14ac:dyDescent="0.35">
      <c r="A187" s="461" t="s">
        <v>470</v>
      </c>
      <c r="B187" s="445">
        <v>0</v>
      </c>
      <c r="C187" s="445">
        <v>149.178</v>
      </c>
      <c r="D187" s="446">
        <v>149.178</v>
      </c>
      <c r="E187" s="447" t="s">
        <v>292</v>
      </c>
      <c r="F187" s="445">
        <v>0</v>
      </c>
      <c r="G187" s="446">
        <v>0</v>
      </c>
      <c r="H187" s="448">
        <v>0</v>
      </c>
      <c r="I187" s="445">
        <v>0</v>
      </c>
      <c r="J187" s="446">
        <v>0</v>
      </c>
      <c r="K187" s="449" t="s">
        <v>292</v>
      </c>
    </row>
    <row r="188" spans="1:11" ht="14.4" customHeight="1" thickBot="1" x14ac:dyDescent="0.35">
      <c r="A188" s="462" t="s">
        <v>471</v>
      </c>
      <c r="B188" s="440">
        <v>0</v>
      </c>
      <c r="C188" s="440">
        <v>149.178</v>
      </c>
      <c r="D188" s="441">
        <v>149.178</v>
      </c>
      <c r="E188" s="450" t="s">
        <v>292</v>
      </c>
      <c r="F188" s="440">
        <v>0</v>
      </c>
      <c r="G188" s="441">
        <v>0</v>
      </c>
      <c r="H188" s="443">
        <v>0</v>
      </c>
      <c r="I188" s="440">
        <v>0</v>
      </c>
      <c r="J188" s="441">
        <v>0</v>
      </c>
      <c r="K188" s="451" t="s">
        <v>292</v>
      </c>
    </row>
    <row r="189" spans="1:11" ht="14.4" customHeight="1" thickBot="1" x14ac:dyDescent="0.35">
      <c r="A189" s="458" t="s">
        <v>472</v>
      </c>
      <c r="B189" s="440">
        <v>87121.653031867303</v>
      </c>
      <c r="C189" s="440">
        <v>86288.345660000006</v>
      </c>
      <c r="D189" s="441">
        <v>-833.30737186731096</v>
      </c>
      <c r="E189" s="442">
        <v>0.99043512900700004</v>
      </c>
      <c r="F189" s="440">
        <v>94407.633259312104</v>
      </c>
      <c r="G189" s="441">
        <v>15734.6055432187</v>
      </c>
      <c r="H189" s="443">
        <v>9803.8187300000009</v>
      </c>
      <c r="I189" s="440">
        <v>12913.09167</v>
      </c>
      <c r="J189" s="441">
        <v>-2821.5138732186801</v>
      </c>
      <c r="K189" s="444">
        <v>0.13678016516399999</v>
      </c>
    </row>
    <row r="190" spans="1:11" ht="14.4" customHeight="1" thickBot="1" x14ac:dyDescent="0.35">
      <c r="A190" s="459" t="s">
        <v>473</v>
      </c>
      <c r="B190" s="440">
        <v>33017.2947602762</v>
      </c>
      <c r="C190" s="440">
        <v>31230.217250000002</v>
      </c>
      <c r="D190" s="441">
        <v>-1787.07751027621</v>
      </c>
      <c r="E190" s="442">
        <v>0.94587450234000003</v>
      </c>
      <c r="F190" s="440">
        <v>35559.846285040199</v>
      </c>
      <c r="G190" s="441">
        <v>5926.6410475066896</v>
      </c>
      <c r="H190" s="443">
        <v>4721.3276599999999</v>
      </c>
      <c r="I190" s="440">
        <v>6728.34998</v>
      </c>
      <c r="J190" s="441">
        <v>801.70893249330595</v>
      </c>
      <c r="K190" s="444">
        <v>0.18921200969300001</v>
      </c>
    </row>
    <row r="191" spans="1:11" ht="14.4" customHeight="1" thickBot="1" x14ac:dyDescent="0.35">
      <c r="A191" s="460" t="s">
        <v>474</v>
      </c>
      <c r="B191" s="440">
        <v>33017.2947602762</v>
      </c>
      <c r="C191" s="440">
        <v>31230.002390000001</v>
      </c>
      <c r="D191" s="441">
        <v>-1787.29237027621</v>
      </c>
      <c r="E191" s="442">
        <v>0.94586799484100004</v>
      </c>
      <c r="F191" s="440">
        <v>35559.644725416998</v>
      </c>
      <c r="G191" s="441">
        <v>5926.6074542361703</v>
      </c>
      <c r="H191" s="443">
        <v>4721.3276599999999</v>
      </c>
      <c r="I191" s="440">
        <v>6728.34998</v>
      </c>
      <c r="J191" s="441">
        <v>801.74252576382798</v>
      </c>
      <c r="K191" s="444">
        <v>0.189213082187</v>
      </c>
    </row>
    <row r="192" spans="1:11" ht="14.4" customHeight="1" thickBot="1" x14ac:dyDescent="0.35">
      <c r="A192" s="461" t="s">
        <v>475</v>
      </c>
      <c r="B192" s="445">
        <v>147.40255206331901</v>
      </c>
      <c r="C192" s="445">
        <v>235.03038000000001</v>
      </c>
      <c r="D192" s="446">
        <v>87.627827936680006</v>
      </c>
      <c r="E192" s="452">
        <v>1.5944797203979999</v>
      </c>
      <c r="F192" s="445">
        <v>242.054310179309</v>
      </c>
      <c r="G192" s="446">
        <v>40.342385029883999</v>
      </c>
      <c r="H192" s="448">
        <v>29.293500000000002</v>
      </c>
      <c r="I192" s="445">
        <v>45.124000000000002</v>
      </c>
      <c r="J192" s="446">
        <v>4.7816149701150001</v>
      </c>
      <c r="K192" s="453">
        <v>0.18642097290699999</v>
      </c>
    </row>
    <row r="193" spans="1:11" ht="14.4" customHeight="1" thickBot="1" x14ac:dyDescent="0.35">
      <c r="A193" s="462" t="s">
        <v>476</v>
      </c>
      <c r="B193" s="440">
        <v>95.161976833321006</v>
      </c>
      <c r="C193" s="440">
        <v>182.71520000000001</v>
      </c>
      <c r="D193" s="441">
        <v>87.553223166677995</v>
      </c>
      <c r="E193" s="442">
        <v>1.920044182352</v>
      </c>
      <c r="F193" s="440">
        <v>185</v>
      </c>
      <c r="G193" s="441">
        <v>30.833333333333002</v>
      </c>
      <c r="H193" s="443">
        <v>29.293500000000002</v>
      </c>
      <c r="I193" s="440">
        <v>40.055999999999997</v>
      </c>
      <c r="J193" s="441">
        <v>9.2226666666660009</v>
      </c>
      <c r="K193" s="444">
        <v>0.21651891891799999</v>
      </c>
    </row>
    <row r="194" spans="1:11" ht="14.4" customHeight="1" thickBot="1" x14ac:dyDescent="0.35">
      <c r="A194" s="462" t="s">
        <v>477</v>
      </c>
      <c r="B194" s="440">
        <v>0</v>
      </c>
      <c r="C194" s="440">
        <v>6.6119999999999998E-2</v>
      </c>
      <c r="D194" s="441">
        <v>6.6119999999999998E-2</v>
      </c>
      <c r="E194" s="450" t="s">
        <v>322</v>
      </c>
      <c r="F194" s="440">
        <v>5.4310179308000001E-2</v>
      </c>
      <c r="G194" s="441">
        <v>9.0516965510000005E-3</v>
      </c>
      <c r="H194" s="443">
        <v>0</v>
      </c>
      <c r="I194" s="440">
        <v>0</v>
      </c>
      <c r="J194" s="441">
        <v>-9.0516965510000005E-3</v>
      </c>
      <c r="K194" s="444">
        <v>0</v>
      </c>
    </row>
    <row r="195" spans="1:11" ht="14.4" customHeight="1" thickBot="1" x14ac:dyDescent="0.35">
      <c r="A195" s="462" t="s">
        <v>478</v>
      </c>
      <c r="B195" s="440">
        <v>42.793963827187</v>
      </c>
      <c r="C195" s="440">
        <v>40.726280000000003</v>
      </c>
      <c r="D195" s="441">
        <v>-2.0676838271869999</v>
      </c>
      <c r="E195" s="442">
        <v>0.95168281593299997</v>
      </c>
      <c r="F195" s="440">
        <v>45</v>
      </c>
      <c r="G195" s="441">
        <v>7.5</v>
      </c>
      <c r="H195" s="443">
        <v>0</v>
      </c>
      <c r="I195" s="440">
        <v>0</v>
      </c>
      <c r="J195" s="441">
        <v>-7.5</v>
      </c>
      <c r="K195" s="444">
        <v>0</v>
      </c>
    </row>
    <row r="196" spans="1:11" ht="14.4" customHeight="1" thickBot="1" x14ac:dyDescent="0.35">
      <c r="A196" s="462" t="s">
        <v>479</v>
      </c>
      <c r="B196" s="440">
        <v>9.4466114028099994</v>
      </c>
      <c r="C196" s="440">
        <v>11.522779999999999</v>
      </c>
      <c r="D196" s="441">
        <v>2.076168597189</v>
      </c>
      <c r="E196" s="442">
        <v>1.2197791894529999</v>
      </c>
      <c r="F196" s="440">
        <v>12</v>
      </c>
      <c r="G196" s="441">
        <v>2</v>
      </c>
      <c r="H196" s="443">
        <v>0</v>
      </c>
      <c r="I196" s="440">
        <v>5.0679999999999996</v>
      </c>
      <c r="J196" s="441">
        <v>3.0680000000000001</v>
      </c>
      <c r="K196" s="444">
        <v>0.42233333333299999</v>
      </c>
    </row>
    <row r="197" spans="1:11" ht="14.4" customHeight="1" thickBot="1" x14ac:dyDescent="0.35">
      <c r="A197" s="461" t="s">
        <v>480</v>
      </c>
      <c r="B197" s="445">
        <v>92.890697573132996</v>
      </c>
      <c r="C197" s="445">
        <v>58.583150000000003</v>
      </c>
      <c r="D197" s="446">
        <v>-34.307547573133</v>
      </c>
      <c r="E197" s="452">
        <v>0.63066756446600003</v>
      </c>
      <c r="F197" s="445">
        <v>151.08776370273699</v>
      </c>
      <c r="G197" s="446">
        <v>25.181293950455998</v>
      </c>
      <c r="H197" s="448">
        <v>10.67367</v>
      </c>
      <c r="I197" s="445">
        <v>29.63626</v>
      </c>
      <c r="J197" s="446">
        <v>4.4549660495429997</v>
      </c>
      <c r="K197" s="453">
        <v>0.196152615365</v>
      </c>
    </row>
    <row r="198" spans="1:11" ht="14.4" customHeight="1" thickBot="1" x14ac:dyDescent="0.35">
      <c r="A198" s="462" t="s">
        <v>481</v>
      </c>
      <c r="B198" s="440">
        <v>87.000008723373</v>
      </c>
      <c r="C198" s="440">
        <v>56.399650000000001</v>
      </c>
      <c r="D198" s="441">
        <v>-30.600358723372999</v>
      </c>
      <c r="E198" s="442">
        <v>0.64827177407900005</v>
      </c>
      <c r="F198" s="440">
        <v>148.08776370273699</v>
      </c>
      <c r="G198" s="441">
        <v>24.681293950455998</v>
      </c>
      <c r="H198" s="443">
        <v>10.67367</v>
      </c>
      <c r="I198" s="440">
        <v>23.824960000000001</v>
      </c>
      <c r="J198" s="441">
        <v>-0.85633395045600003</v>
      </c>
      <c r="K198" s="444">
        <v>0.160884055537</v>
      </c>
    </row>
    <row r="199" spans="1:11" ht="14.4" customHeight="1" thickBot="1" x14ac:dyDescent="0.35">
      <c r="A199" s="462" t="s">
        <v>482</v>
      </c>
      <c r="B199" s="440">
        <v>5.8906888497600001</v>
      </c>
      <c r="C199" s="440">
        <v>2.1835</v>
      </c>
      <c r="D199" s="441">
        <v>-3.7071888497600001</v>
      </c>
      <c r="E199" s="442">
        <v>0.37066972228299999</v>
      </c>
      <c r="F199" s="440">
        <v>3</v>
      </c>
      <c r="G199" s="441">
        <v>0.5</v>
      </c>
      <c r="H199" s="443">
        <v>0</v>
      </c>
      <c r="I199" s="440">
        <v>5.8113000000000001</v>
      </c>
      <c r="J199" s="441">
        <v>5.3113000000000001</v>
      </c>
      <c r="K199" s="444">
        <v>1.9371</v>
      </c>
    </row>
    <row r="200" spans="1:11" ht="14.4" customHeight="1" thickBot="1" x14ac:dyDescent="0.35">
      <c r="A200" s="461" t="s">
        <v>483</v>
      </c>
      <c r="B200" s="445">
        <v>82.997231455176006</v>
      </c>
      <c r="C200" s="445">
        <v>19.65099</v>
      </c>
      <c r="D200" s="446">
        <v>-63.346241455174997</v>
      </c>
      <c r="E200" s="452">
        <v>0.236766813247</v>
      </c>
      <c r="F200" s="445">
        <v>118</v>
      </c>
      <c r="G200" s="446">
        <v>19.666666666666</v>
      </c>
      <c r="H200" s="448">
        <v>1.3769999999999999E-2</v>
      </c>
      <c r="I200" s="445">
        <v>0.59852000000000005</v>
      </c>
      <c r="J200" s="446">
        <v>-19.068146666665999</v>
      </c>
      <c r="K200" s="453">
        <v>5.0722033889999997E-3</v>
      </c>
    </row>
    <row r="201" spans="1:11" ht="14.4" customHeight="1" thickBot="1" x14ac:dyDescent="0.35">
      <c r="A201" s="462" t="s">
        <v>484</v>
      </c>
      <c r="B201" s="440">
        <v>1.9972233334139999</v>
      </c>
      <c r="C201" s="440">
        <v>0</v>
      </c>
      <c r="D201" s="441">
        <v>-1.9972233334139999</v>
      </c>
      <c r="E201" s="442">
        <v>0</v>
      </c>
      <c r="F201" s="440">
        <v>2</v>
      </c>
      <c r="G201" s="441">
        <v>0.33333333333300003</v>
      </c>
      <c r="H201" s="443">
        <v>0</v>
      </c>
      <c r="I201" s="440">
        <v>0</v>
      </c>
      <c r="J201" s="441">
        <v>-0.33333333333300003</v>
      </c>
      <c r="K201" s="444">
        <v>0</v>
      </c>
    </row>
    <row r="202" spans="1:11" ht="14.4" customHeight="1" thickBot="1" x14ac:dyDescent="0.35">
      <c r="A202" s="462" t="s">
        <v>485</v>
      </c>
      <c r="B202" s="440">
        <v>81.000008121760999</v>
      </c>
      <c r="C202" s="440">
        <v>19.65099</v>
      </c>
      <c r="D202" s="441">
        <v>-61.349018121760999</v>
      </c>
      <c r="E202" s="442">
        <v>0.24260479048899999</v>
      </c>
      <c r="F202" s="440">
        <v>116</v>
      </c>
      <c r="G202" s="441">
        <v>19.333333333333002</v>
      </c>
      <c r="H202" s="443">
        <v>1.3769999999999999E-2</v>
      </c>
      <c r="I202" s="440">
        <v>0.59852000000000005</v>
      </c>
      <c r="J202" s="441">
        <v>-18.734813333333001</v>
      </c>
      <c r="K202" s="444">
        <v>5.1596551720000002E-3</v>
      </c>
    </row>
    <row r="203" spans="1:11" ht="14.4" customHeight="1" thickBot="1" x14ac:dyDescent="0.35">
      <c r="A203" s="461" t="s">
        <v>486</v>
      </c>
      <c r="B203" s="445">
        <v>1.00100110137</v>
      </c>
      <c r="C203" s="445">
        <v>0.52200000000000002</v>
      </c>
      <c r="D203" s="446">
        <v>-0.47900110137000002</v>
      </c>
      <c r="E203" s="452">
        <v>0.52147794771199996</v>
      </c>
      <c r="F203" s="445">
        <v>0.50265153499299997</v>
      </c>
      <c r="G203" s="446">
        <v>8.3775255832000003E-2</v>
      </c>
      <c r="H203" s="448">
        <v>0.15479999999999999</v>
      </c>
      <c r="I203" s="445">
        <v>0.15479999999999999</v>
      </c>
      <c r="J203" s="446">
        <v>7.1024744166999998E-2</v>
      </c>
      <c r="K203" s="453">
        <v>0.30796683034400002</v>
      </c>
    </row>
    <row r="204" spans="1:11" ht="14.4" customHeight="1" thickBot="1" x14ac:dyDescent="0.35">
      <c r="A204" s="462" t="s">
        <v>487</v>
      </c>
      <c r="B204" s="440">
        <v>1.00100110137</v>
      </c>
      <c r="C204" s="440">
        <v>0.52200000000000002</v>
      </c>
      <c r="D204" s="441">
        <v>-0.47900110137000002</v>
      </c>
      <c r="E204" s="442">
        <v>0.52147794771199996</v>
      </c>
      <c r="F204" s="440">
        <v>0.50265153499299997</v>
      </c>
      <c r="G204" s="441">
        <v>8.3775255832000003E-2</v>
      </c>
      <c r="H204" s="443">
        <v>0.15479999999999999</v>
      </c>
      <c r="I204" s="440">
        <v>0.15479999999999999</v>
      </c>
      <c r="J204" s="441">
        <v>7.1024744166999998E-2</v>
      </c>
      <c r="K204" s="444">
        <v>0.30796683034400002</v>
      </c>
    </row>
    <row r="205" spans="1:11" ht="14.4" customHeight="1" thickBot="1" x14ac:dyDescent="0.35">
      <c r="A205" s="461" t="s">
        <v>488</v>
      </c>
      <c r="B205" s="445">
        <v>32693.003278083201</v>
      </c>
      <c r="C205" s="445">
        <v>29161.574410000001</v>
      </c>
      <c r="D205" s="446">
        <v>-3531.4288680832101</v>
      </c>
      <c r="E205" s="452">
        <v>0.89198212112700004</v>
      </c>
      <c r="F205" s="445">
        <v>35048</v>
      </c>
      <c r="G205" s="446">
        <v>5841.3333333333303</v>
      </c>
      <c r="H205" s="448">
        <v>4681.1631699999998</v>
      </c>
      <c r="I205" s="445">
        <v>6652.6686</v>
      </c>
      <c r="J205" s="446">
        <v>811.33526666666705</v>
      </c>
      <c r="K205" s="453">
        <v>0.189815926729</v>
      </c>
    </row>
    <row r="206" spans="1:11" ht="14.4" customHeight="1" thickBot="1" x14ac:dyDescent="0.35">
      <c r="A206" s="462" t="s">
        <v>489</v>
      </c>
      <c r="B206" s="440">
        <v>16371.0016414982</v>
      </c>
      <c r="C206" s="440">
        <v>14207.13178</v>
      </c>
      <c r="D206" s="441">
        <v>-2163.8698614981899</v>
      </c>
      <c r="E206" s="442">
        <v>0.86782300137199997</v>
      </c>
      <c r="F206" s="440">
        <v>17289</v>
      </c>
      <c r="G206" s="441">
        <v>2881.5</v>
      </c>
      <c r="H206" s="443">
        <v>1273.3157900000001</v>
      </c>
      <c r="I206" s="440">
        <v>2401.7847499999998</v>
      </c>
      <c r="J206" s="441">
        <v>-479.715249999999</v>
      </c>
      <c r="K206" s="444">
        <v>0.13891981896</v>
      </c>
    </row>
    <row r="207" spans="1:11" ht="14.4" customHeight="1" thickBot="1" x14ac:dyDescent="0.35">
      <c r="A207" s="462" t="s">
        <v>490</v>
      </c>
      <c r="B207" s="440">
        <v>16322.001636585001</v>
      </c>
      <c r="C207" s="440">
        <v>14954.44263</v>
      </c>
      <c r="D207" s="441">
        <v>-1367.5590065850199</v>
      </c>
      <c r="E207" s="442">
        <v>0.91621376856600001</v>
      </c>
      <c r="F207" s="440">
        <v>17759</v>
      </c>
      <c r="G207" s="441">
        <v>2959.8333333333298</v>
      </c>
      <c r="H207" s="443">
        <v>3407.8473800000002</v>
      </c>
      <c r="I207" s="440">
        <v>4250.8838500000002</v>
      </c>
      <c r="J207" s="441">
        <v>1291.0505166666701</v>
      </c>
      <c r="K207" s="444">
        <v>0.239365045892</v>
      </c>
    </row>
    <row r="208" spans="1:11" ht="14.4" customHeight="1" thickBot="1" x14ac:dyDescent="0.35">
      <c r="A208" s="461" t="s">
        <v>491</v>
      </c>
      <c r="B208" s="445">
        <v>0</v>
      </c>
      <c r="C208" s="445">
        <v>1754.6414600000001</v>
      </c>
      <c r="D208" s="446">
        <v>1754.6414600000001</v>
      </c>
      <c r="E208" s="447" t="s">
        <v>292</v>
      </c>
      <c r="F208" s="445">
        <v>0</v>
      </c>
      <c r="G208" s="446">
        <v>0</v>
      </c>
      <c r="H208" s="448">
        <v>2.8750000000000001E-2</v>
      </c>
      <c r="I208" s="445">
        <v>0.1678</v>
      </c>
      <c r="J208" s="446">
        <v>0.1678</v>
      </c>
      <c r="K208" s="449" t="s">
        <v>292</v>
      </c>
    </row>
    <row r="209" spans="1:11" ht="14.4" customHeight="1" thickBot="1" x14ac:dyDescent="0.35">
      <c r="A209" s="462" t="s">
        <v>492</v>
      </c>
      <c r="B209" s="440">
        <v>0</v>
      </c>
      <c r="C209" s="440">
        <v>255.50808000000001</v>
      </c>
      <c r="D209" s="441">
        <v>255.50808000000001</v>
      </c>
      <c r="E209" s="450" t="s">
        <v>292</v>
      </c>
      <c r="F209" s="440">
        <v>0</v>
      </c>
      <c r="G209" s="441">
        <v>0</v>
      </c>
      <c r="H209" s="443">
        <v>0</v>
      </c>
      <c r="I209" s="440">
        <v>0</v>
      </c>
      <c r="J209" s="441">
        <v>0</v>
      </c>
      <c r="K209" s="451" t="s">
        <v>292</v>
      </c>
    </row>
    <row r="210" spans="1:11" ht="14.4" customHeight="1" thickBot="1" x14ac:dyDescent="0.35">
      <c r="A210" s="462" t="s">
        <v>493</v>
      </c>
      <c r="B210" s="440">
        <v>0</v>
      </c>
      <c r="C210" s="440">
        <v>1499.13338</v>
      </c>
      <c r="D210" s="441">
        <v>1499.13338</v>
      </c>
      <c r="E210" s="450" t="s">
        <v>292</v>
      </c>
      <c r="F210" s="440">
        <v>0</v>
      </c>
      <c r="G210" s="441">
        <v>0</v>
      </c>
      <c r="H210" s="443">
        <v>2.8750000000000001E-2</v>
      </c>
      <c r="I210" s="440">
        <v>0.1678</v>
      </c>
      <c r="J210" s="441">
        <v>0.1678</v>
      </c>
      <c r="K210" s="451" t="s">
        <v>292</v>
      </c>
    </row>
    <row r="211" spans="1:11" ht="14.4" customHeight="1" thickBot="1" x14ac:dyDescent="0.35">
      <c r="A211" s="460" t="s">
        <v>494</v>
      </c>
      <c r="B211" s="440">
        <v>0</v>
      </c>
      <c r="C211" s="440">
        <v>0.21486</v>
      </c>
      <c r="D211" s="441">
        <v>0.21486</v>
      </c>
      <c r="E211" s="450" t="s">
        <v>292</v>
      </c>
      <c r="F211" s="440">
        <v>0.20155962313</v>
      </c>
      <c r="G211" s="441">
        <v>3.3593270521000002E-2</v>
      </c>
      <c r="H211" s="443">
        <v>0</v>
      </c>
      <c r="I211" s="440">
        <v>0</v>
      </c>
      <c r="J211" s="441">
        <v>-3.3593270521000002E-2</v>
      </c>
      <c r="K211" s="444">
        <v>0</v>
      </c>
    </row>
    <row r="212" spans="1:11" ht="14.4" customHeight="1" thickBot="1" x14ac:dyDescent="0.35">
      <c r="A212" s="461" t="s">
        <v>495</v>
      </c>
      <c r="B212" s="445">
        <v>0</v>
      </c>
      <c r="C212" s="445">
        <v>0.21486</v>
      </c>
      <c r="D212" s="446">
        <v>0.21486</v>
      </c>
      <c r="E212" s="447" t="s">
        <v>292</v>
      </c>
      <c r="F212" s="445">
        <v>0.20155962313</v>
      </c>
      <c r="G212" s="446">
        <v>3.3593270521000002E-2</v>
      </c>
      <c r="H212" s="448">
        <v>0</v>
      </c>
      <c r="I212" s="445">
        <v>0</v>
      </c>
      <c r="J212" s="446">
        <v>-3.3593270521000002E-2</v>
      </c>
      <c r="K212" s="453">
        <v>0</v>
      </c>
    </row>
    <row r="213" spans="1:11" ht="14.4" customHeight="1" thickBot="1" x14ac:dyDescent="0.35">
      <c r="A213" s="462" t="s">
        <v>496</v>
      </c>
      <c r="B213" s="440">
        <v>0</v>
      </c>
      <c r="C213" s="440">
        <v>0.21486</v>
      </c>
      <c r="D213" s="441">
        <v>0.21486</v>
      </c>
      <c r="E213" s="450" t="s">
        <v>292</v>
      </c>
      <c r="F213" s="440">
        <v>0.20155962313</v>
      </c>
      <c r="G213" s="441">
        <v>3.3593270521000002E-2</v>
      </c>
      <c r="H213" s="443">
        <v>0</v>
      </c>
      <c r="I213" s="440">
        <v>0</v>
      </c>
      <c r="J213" s="441">
        <v>-3.3593270521000002E-2</v>
      </c>
      <c r="K213" s="444">
        <v>0</v>
      </c>
    </row>
    <row r="214" spans="1:11" ht="14.4" customHeight="1" thickBot="1" x14ac:dyDescent="0.35">
      <c r="A214" s="459" t="s">
        <v>497</v>
      </c>
      <c r="B214" s="440">
        <v>53807.957099081199</v>
      </c>
      <c r="C214" s="440">
        <v>54536.833409999999</v>
      </c>
      <c r="D214" s="441">
        <v>728.87631091881497</v>
      </c>
      <c r="E214" s="442">
        <v>1.013545883363</v>
      </c>
      <c r="F214" s="440">
        <v>58383.302410037097</v>
      </c>
      <c r="G214" s="441">
        <v>9730.5504016728501</v>
      </c>
      <c r="H214" s="443">
        <v>5082.49107</v>
      </c>
      <c r="I214" s="440">
        <v>6184.7416899999998</v>
      </c>
      <c r="J214" s="441">
        <v>-3545.8087116728502</v>
      </c>
      <c r="K214" s="444">
        <v>0.105933399357</v>
      </c>
    </row>
    <row r="215" spans="1:11" ht="14.4" customHeight="1" thickBot="1" x14ac:dyDescent="0.35">
      <c r="A215" s="460" t="s">
        <v>498</v>
      </c>
      <c r="B215" s="440">
        <v>53350.005349332903</v>
      </c>
      <c r="C215" s="440">
        <v>53335.481160000003</v>
      </c>
      <c r="D215" s="441">
        <v>-14.524189332856</v>
      </c>
      <c r="E215" s="442">
        <v>0.99972775655299995</v>
      </c>
      <c r="F215" s="440">
        <v>58050</v>
      </c>
      <c r="G215" s="441">
        <v>9675</v>
      </c>
      <c r="H215" s="443">
        <v>5061.3040499999997</v>
      </c>
      <c r="I215" s="440">
        <v>6113.9270500000002</v>
      </c>
      <c r="J215" s="441">
        <v>-3561.0729500000002</v>
      </c>
      <c r="K215" s="444">
        <v>0.10532174074</v>
      </c>
    </row>
    <row r="216" spans="1:11" ht="14.4" customHeight="1" thickBot="1" x14ac:dyDescent="0.35">
      <c r="A216" s="461" t="s">
        <v>499</v>
      </c>
      <c r="B216" s="445">
        <v>53350.005349332903</v>
      </c>
      <c r="C216" s="445">
        <v>53335.481160000003</v>
      </c>
      <c r="D216" s="446">
        <v>-14.524189332856</v>
      </c>
      <c r="E216" s="452">
        <v>0.99972775655299995</v>
      </c>
      <c r="F216" s="445">
        <v>58050</v>
      </c>
      <c r="G216" s="446">
        <v>9675</v>
      </c>
      <c r="H216" s="448">
        <v>5061.3040499999997</v>
      </c>
      <c r="I216" s="445">
        <v>6113.9270500000002</v>
      </c>
      <c r="J216" s="446">
        <v>-3561.0729500000002</v>
      </c>
      <c r="K216" s="453">
        <v>0.10532174074</v>
      </c>
    </row>
    <row r="217" spans="1:11" ht="14.4" customHeight="1" thickBot="1" x14ac:dyDescent="0.35">
      <c r="A217" s="462" t="s">
        <v>500</v>
      </c>
      <c r="B217" s="440">
        <v>14700.0014739493</v>
      </c>
      <c r="C217" s="440">
        <v>13361.038</v>
      </c>
      <c r="D217" s="441">
        <v>-1338.9634739492601</v>
      </c>
      <c r="E217" s="442">
        <v>0.90891405852399998</v>
      </c>
      <c r="F217" s="440">
        <v>20950</v>
      </c>
      <c r="G217" s="441">
        <v>3491.6666666666702</v>
      </c>
      <c r="H217" s="443">
        <v>881.46199999999999</v>
      </c>
      <c r="I217" s="440">
        <v>1798.6065000000001</v>
      </c>
      <c r="J217" s="441">
        <v>-1693.0601666666701</v>
      </c>
      <c r="K217" s="444">
        <v>8.5852338902000003E-2</v>
      </c>
    </row>
    <row r="218" spans="1:11" ht="14.4" customHeight="1" thickBot="1" x14ac:dyDescent="0.35">
      <c r="A218" s="462" t="s">
        <v>501</v>
      </c>
      <c r="B218" s="440">
        <v>38500.003860343299</v>
      </c>
      <c r="C218" s="440">
        <v>39850.941099999996</v>
      </c>
      <c r="D218" s="441">
        <v>1350.9372396567101</v>
      </c>
      <c r="E218" s="442">
        <v>1.0350892754329999</v>
      </c>
      <c r="F218" s="440">
        <v>37000</v>
      </c>
      <c r="G218" s="441">
        <v>6166.6666666666697</v>
      </c>
      <c r="H218" s="443">
        <v>4179.8420500000002</v>
      </c>
      <c r="I218" s="440">
        <v>4315.3205500000004</v>
      </c>
      <c r="J218" s="441">
        <v>-1851.34611666666</v>
      </c>
      <c r="K218" s="444">
        <v>0.116630285135</v>
      </c>
    </row>
    <row r="219" spans="1:11" ht="14.4" customHeight="1" thickBot="1" x14ac:dyDescent="0.35">
      <c r="A219" s="462" t="s">
        <v>502</v>
      </c>
      <c r="B219" s="440">
        <v>150.00001504029899</v>
      </c>
      <c r="C219" s="440">
        <v>123.50206</v>
      </c>
      <c r="D219" s="441">
        <v>-26.497955040297999</v>
      </c>
      <c r="E219" s="442">
        <v>0.82334698410999996</v>
      </c>
      <c r="F219" s="440">
        <v>100</v>
      </c>
      <c r="G219" s="441">
        <v>16.666666666666</v>
      </c>
      <c r="H219" s="443">
        <v>0</v>
      </c>
      <c r="I219" s="440">
        <v>0</v>
      </c>
      <c r="J219" s="441">
        <v>-16.666666666666</v>
      </c>
      <c r="K219" s="444">
        <v>0</v>
      </c>
    </row>
    <row r="220" spans="1:11" ht="14.4" customHeight="1" thickBot="1" x14ac:dyDescent="0.35">
      <c r="A220" s="460" t="s">
        <v>503</v>
      </c>
      <c r="B220" s="440">
        <v>0</v>
      </c>
      <c r="C220" s="440">
        <v>15.8</v>
      </c>
      <c r="D220" s="441">
        <v>15.8</v>
      </c>
      <c r="E220" s="450" t="s">
        <v>292</v>
      </c>
      <c r="F220" s="440">
        <v>0</v>
      </c>
      <c r="G220" s="441">
        <v>0</v>
      </c>
      <c r="H220" s="443">
        <v>0</v>
      </c>
      <c r="I220" s="440">
        <v>0</v>
      </c>
      <c r="J220" s="441">
        <v>0</v>
      </c>
      <c r="K220" s="451" t="s">
        <v>292</v>
      </c>
    </row>
    <row r="221" spans="1:11" ht="14.4" customHeight="1" thickBot="1" x14ac:dyDescent="0.35">
      <c r="A221" s="461" t="s">
        <v>504</v>
      </c>
      <c r="B221" s="445">
        <v>0</v>
      </c>
      <c r="C221" s="445">
        <v>15.8</v>
      </c>
      <c r="D221" s="446">
        <v>15.8</v>
      </c>
      <c r="E221" s="447" t="s">
        <v>292</v>
      </c>
      <c r="F221" s="445">
        <v>0</v>
      </c>
      <c r="G221" s="446">
        <v>0</v>
      </c>
      <c r="H221" s="448">
        <v>0</v>
      </c>
      <c r="I221" s="445">
        <v>0</v>
      </c>
      <c r="J221" s="446">
        <v>0</v>
      </c>
      <c r="K221" s="449" t="s">
        <v>292</v>
      </c>
    </row>
    <row r="222" spans="1:11" ht="14.4" customHeight="1" thickBot="1" x14ac:dyDescent="0.35">
      <c r="A222" s="462" t="s">
        <v>505</v>
      </c>
      <c r="B222" s="440">
        <v>0</v>
      </c>
      <c r="C222" s="440">
        <v>15.8</v>
      </c>
      <c r="D222" s="441">
        <v>15.8</v>
      </c>
      <c r="E222" s="450" t="s">
        <v>292</v>
      </c>
      <c r="F222" s="440">
        <v>0</v>
      </c>
      <c r="G222" s="441">
        <v>0</v>
      </c>
      <c r="H222" s="443">
        <v>0</v>
      </c>
      <c r="I222" s="440">
        <v>0</v>
      </c>
      <c r="J222" s="441">
        <v>0</v>
      </c>
      <c r="K222" s="451" t="s">
        <v>292</v>
      </c>
    </row>
    <row r="223" spans="1:11" ht="14.4" customHeight="1" thickBot="1" x14ac:dyDescent="0.35">
      <c r="A223" s="463" t="s">
        <v>506</v>
      </c>
      <c r="B223" s="445">
        <v>457.95174974832798</v>
      </c>
      <c r="C223" s="445">
        <v>1185.55225</v>
      </c>
      <c r="D223" s="446">
        <v>727.60050025167197</v>
      </c>
      <c r="E223" s="452">
        <v>2.5888147619290001</v>
      </c>
      <c r="F223" s="445">
        <v>333.30241003713201</v>
      </c>
      <c r="G223" s="446">
        <v>55.550401672855003</v>
      </c>
      <c r="H223" s="448">
        <v>21.18702</v>
      </c>
      <c r="I223" s="445">
        <v>70.814639999999997</v>
      </c>
      <c r="J223" s="446">
        <v>15.264238327144</v>
      </c>
      <c r="K223" s="453">
        <v>0.21246363022699999</v>
      </c>
    </row>
    <row r="224" spans="1:11" ht="14.4" customHeight="1" thickBot="1" x14ac:dyDescent="0.35">
      <c r="A224" s="461" t="s">
        <v>507</v>
      </c>
      <c r="B224" s="445">
        <v>0</v>
      </c>
      <c r="C224" s="445">
        <v>809.31410000000005</v>
      </c>
      <c r="D224" s="446">
        <v>809.31410000000005</v>
      </c>
      <c r="E224" s="447" t="s">
        <v>292</v>
      </c>
      <c r="F224" s="445">
        <v>0</v>
      </c>
      <c r="G224" s="446">
        <v>0</v>
      </c>
      <c r="H224" s="448">
        <v>2.3000000000000001E-4</v>
      </c>
      <c r="I224" s="445">
        <v>5.6999999999999998E-4</v>
      </c>
      <c r="J224" s="446">
        <v>5.6999999999999998E-4</v>
      </c>
      <c r="K224" s="449" t="s">
        <v>292</v>
      </c>
    </row>
    <row r="225" spans="1:11" ht="14.4" customHeight="1" thickBot="1" x14ac:dyDescent="0.35">
      <c r="A225" s="462" t="s">
        <v>508</v>
      </c>
      <c r="B225" s="440">
        <v>0</v>
      </c>
      <c r="C225" s="440">
        <v>7.5199999999999998E-3</v>
      </c>
      <c r="D225" s="441">
        <v>7.5199999999999998E-3</v>
      </c>
      <c r="E225" s="450" t="s">
        <v>292</v>
      </c>
      <c r="F225" s="440">
        <v>0</v>
      </c>
      <c r="G225" s="441">
        <v>0</v>
      </c>
      <c r="H225" s="443">
        <v>2.3000000000000001E-4</v>
      </c>
      <c r="I225" s="440">
        <v>5.6999999999999998E-4</v>
      </c>
      <c r="J225" s="441">
        <v>5.6999999999999998E-4</v>
      </c>
      <c r="K225" s="451" t="s">
        <v>292</v>
      </c>
    </row>
    <row r="226" spans="1:11" ht="14.4" customHeight="1" thickBot="1" x14ac:dyDescent="0.35">
      <c r="A226" s="462" t="s">
        <v>509</v>
      </c>
      <c r="B226" s="440">
        <v>0</v>
      </c>
      <c r="C226" s="440">
        <v>799.80658000000005</v>
      </c>
      <c r="D226" s="441">
        <v>799.80658000000005</v>
      </c>
      <c r="E226" s="450" t="s">
        <v>322</v>
      </c>
      <c r="F226" s="440">
        <v>0</v>
      </c>
      <c r="G226" s="441">
        <v>0</v>
      </c>
      <c r="H226" s="443">
        <v>0</v>
      </c>
      <c r="I226" s="440">
        <v>0</v>
      </c>
      <c r="J226" s="441">
        <v>0</v>
      </c>
      <c r="K226" s="451" t="s">
        <v>292</v>
      </c>
    </row>
    <row r="227" spans="1:11" ht="14.4" customHeight="1" thickBot="1" x14ac:dyDescent="0.35">
      <c r="A227" s="462" t="s">
        <v>510</v>
      </c>
      <c r="B227" s="440">
        <v>0</v>
      </c>
      <c r="C227" s="440">
        <v>9.5</v>
      </c>
      <c r="D227" s="441">
        <v>9.5</v>
      </c>
      <c r="E227" s="450" t="s">
        <v>322</v>
      </c>
      <c r="F227" s="440">
        <v>0</v>
      </c>
      <c r="G227" s="441">
        <v>0</v>
      </c>
      <c r="H227" s="443">
        <v>0</v>
      </c>
      <c r="I227" s="440">
        <v>0</v>
      </c>
      <c r="J227" s="441">
        <v>0</v>
      </c>
      <c r="K227" s="444">
        <v>2</v>
      </c>
    </row>
    <row r="228" spans="1:11" ht="14.4" customHeight="1" thickBot="1" x14ac:dyDescent="0.35">
      <c r="A228" s="461" t="s">
        <v>511</v>
      </c>
      <c r="B228" s="445">
        <v>457.95174974832798</v>
      </c>
      <c r="C228" s="445">
        <v>325.7962</v>
      </c>
      <c r="D228" s="446">
        <v>-132.15554974832801</v>
      </c>
      <c r="E228" s="452">
        <v>0.71142036290699995</v>
      </c>
      <c r="F228" s="445">
        <v>333.30241003713201</v>
      </c>
      <c r="G228" s="446">
        <v>55.550401672855003</v>
      </c>
      <c r="H228" s="448">
        <v>20.886790000000001</v>
      </c>
      <c r="I228" s="445">
        <v>57.09807</v>
      </c>
      <c r="J228" s="446">
        <v>1.5476683271439999</v>
      </c>
      <c r="K228" s="453">
        <v>0.17131010241899999</v>
      </c>
    </row>
    <row r="229" spans="1:11" ht="14.4" customHeight="1" thickBot="1" x14ac:dyDescent="0.35">
      <c r="A229" s="462" t="s">
        <v>512</v>
      </c>
      <c r="B229" s="440">
        <v>340.00003409134303</v>
      </c>
      <c r="C229" s="440">
        <v>303.81099999999998</v>
      </c>
      <c r="D229" s="441">
        <v>-36.189034091342997</v>
      </c>
      <c r="E229" s="442">
        <v>0.89356167510899998</v>
      </c>
      <c r="F229" s="440">
        <v>320</v>
      </c>
      <c r="G229" s="441">
        <v>53.333333333333002</v>
      </c>
      <c r="H229" s="443">
        <v>18.222999999999999</v>
      </c>
      <c r="I229" s="440">
        <v>50.085999999999999</v>
      </c>
      <c r="J229" s="441">
        <v>-3.2473333333330001</v>
      </c>
      <c r="K229" s="444">
        <v>0.15651875000000001</v>
      </c>
    </row>
    <row r="230" spans="1:11" ht="14.4" customHeight="1" thickBot="1" x14ac:dyDescent="0.35">
      <c r="A230" s="462" t="s">
        <v>513</v>
      </c>
      <c r="B230" s="440">
        <v>0.94274670335800004</v>
      </c>
      <c r="C230" s="440">
        <v>0.997</v>
      </c>
      <c r="D230" s="441">
        <v>5.4253296641000003E-2</v>
      </c>
      <c r="E230" s="442">
        <v>1.0575481159969999</v>
      </c>
      <c r="F230" s="440">
        <v>0.889509542757</v>
      </c>
      <c r="G230" s="441">
        <v>0.14825159045899999</v>
      </c>
      <c r="H230" s="443">
        <v>0</v>
      </c>
      <c r="I230" s="440">
        <v>0</v>
      </c>
      <c r="J230" s="441">
        <v>-0.14825159045899999</v>
      </c>
      <c r="K230" s="444">
        <v>0</v>
      </c>
    </row>
    <row r="231" spans="1:11" ht="14.4" customHeight="1" thickBot="1" x14ac:dyDescent="0.35">
      <c r="A231" s="462" t="s">
        <v>514</v>
      </c>
      <c r="B231" s="440">
        <v>74.123746884333002</v>
      </c>
      <c r="C231" s="440">
        <v>9.98</v>
      </c>
      <c r="D231" s="441">
        <v>-64.143746884332998</v>
      </c>
      <c r="E231" s="442">
        <v>0.13463971290499999</v>
      </c>
      <c r="F231" s="440">
        <v>12.412900494375</v>
      </c>
      <c r="G231" s="441">
        <v>2.068816749062</v>
      </c>
      <c r="H231" s="443">
        <v>1.92</v>
      </c>
      <c r="I231" s="440">
        <v>5.8220000000000001</v>
      </c>
      <c r="J231" s="441">
        <v>3.753183250937</v>
      </c>
      <c r="K231" s="444">
        <v>0.46902816973599998</v>
      </c>
    </row>
    <row r="232" spans="1:11" ht="14.4" customHeight="1" thickBot="1" x14ac:dyDescent="0.35">
      <c r="A232" s="462" t="s">
        <v>515</v>
      </c>
      <c r="B232" s="440">
        <v>42.885222069291999</v>
      </c>
      <c r="C232" s="440">
        <v>11.0082</v>
      </c>
      <c r="D232" s="441">
        <v>-31.877022069292</v>
      </c>
      <c r="E232" s="442">
        <v>0.25668982154699999</v>
      </c>
      <c r="F232" s="440">
        <v>0</v>
      </c>
      <c r="G232" s="441">
        <v>0</v>
      </c>
      <c r="H232" s="443">
        <v>0.74378999999999995</v>
      </c>
      <c r="I232" s="440">
        <v>1.19007</v>
      </c>
      <c r="J232" s="441">
        <v>1.19007</v>
      </c>
      <c r="K232" s="451" t="s">
        <v>292</v>
      </c>
    </row>
    <row r="233" spans="1:11" ht="14.4" customHeight="1" thickBot="1" x14ac:dyDescent="0.35">
      <c r="A233" s="461" t="s">
        <v>516</v>
      </c>
      <c r="B233" s="445">
        <v>0</v>
      </c>
      <c r="C233" s="445">
        <v>50.441949999999999</v>
      </c>
      <c r="D233" s="446">
        <v>50.441949999999999</v>
      </c>
      <c r="E233" s="447" t="s">
        <v>292</v>
      </c>
      <c r="F233" s="445">
        <v>0</v>
      </c>
      <c r="G233" s="446">
        <v>0</v>
      </c>
      <c r="H233" s="448">
        <v>0.3</v>
      </c>
      <c r="I233" s="445">
        <v>13.715999999999999</v>
      </c>
      <c r="J233" s="446">
        <v>13.715999999999999</v>
      </c>
      <c r="K233" s="449" t="s">
        <v>292</v>
      </c>
    </row>
    <row r="234" spans="1:11" ht="14.4" customHeight="1" thickBot="1" x14ac:dyDescent="0.35">
      <c r="A234" s="462" t="s">
        <v>517</v>
      </c>
      <c r="B234" s="440">
        <v>0</v>
      </c>
      <c r="C234" s="440">
        <v>50.441949999999999</v>
      </c>
      <c r="D234" s="441">
        <v>50.441949999999999</v>
      </c>
      <c r="E234" s="450" t="s">
        <v>292</v>
      </c>
      <c r="F234" s="440">
        <v>0</v>
      </c>
      <c r="G234" s="441">
        <v>0</v>
      </c>
      <c r="H234" s="443">
        <v>0.3</v>
      </c>
      <c r="I234" s="440">
        <v>13.715999999999999</v>
      </c>
      <c r="J234" s="441">
        <v>13.715999999999999</v>
      </c>
      <c r="K234" s="451" t="s">
        <v>292</v>
      </c>
    </row>
    <row r="235" spans="1:11" ht="14.4" customHeight="1" thickBot="1" x14ac:dyDescent="0.35">
      <c r="A235" s="459" t="s">
        <v>518</v>
      </c>
      <c r="B235" s="440">
        <v>296.40117250991301</v>
      </c>
      <c r="C235" s="440">
        <v>521.29499999999996</v>
      </c>
      <c r="D235" s="441">
        <v>224.89382749008701</v>
      </c>
      <c r="E235" s="442">
        <v>1.7587481034079999</v>
      </c>
      <c r="F235" s="440">
        <v>464.48456423481502</v>
      </c>
      <c r="G235" s="441">
        <v>77.414094039134994</v>
      </c>
      <c r="H235" s="443">
        <v>0</v>
      </c>
      <c r="I235" s="440">
        <v>0</v>
      </c>
      <c r="J235" s="441">
        <v>-77.414094039134994</v>
      </c>
      <c r="K235" s="444">
        <v>0</v>
      </c>
    </row>
    <row r="236" spans="1:11" ht="14.4" customHeight="1" thickBot="1" x14ac:dyDescent="0.35">
      <c r="A236" s="463" t="s">
        <v>519</v>
      </c>
      <c r="B236" s="445">
        <v>296.40117250991301</v>
      </c>
      <c r="C236" s="445">
        <v>521.29499999999996</v>
      </c>
      <c r="D236" s="446">
        <v>224.89382749008701</v>
      </c>
      <c r="E236" s="452">
        <v>1.7587481034079999</v>
      </c>
      <c r="F236" s="445">
        <v>464.48456423481502</v>
      </c>
      <c r="G236" s="446">
        <v>77.414094039134994</v>
      </c>
      <c r="H236" s="448">
        <v>0</v>
      </c>
      <c r="I236" s="445">
        <v>0</v>
      </c>
      <c r="J236" s="446">
        <v>-77.414094039134994</v>
      </c>
      <c r="K236" s="453">
        <v>0</v>
      </c>
    </row>
    <row r="237" spans="1:11" ht="14.4" customHeight="1" thickBot="1" x14ac:dyDescent="0.35">
      <c r="A237" s="461" t="s">
        <v>520</v>
      </c>
      <c r="B237" s="445">
        <v>296.40117250991301</v>
      </c>
      <c r="C237" s="445">
        <v>521.29499999999996</v>
      </c>
      <c r="D237" s="446">
        <v>224.89382749008701</v>
      </c>
      <c r="E237" s="452">
        <v>1.7587481034079999</v>
      </c>
      <c r="F237" s="445">
        <v>464.48456423481502</v>
      </c>
      <c r="G237" s="446">
        <v>77.414094039134994</v>
      </c>
      <c r="H237" s="448">
        <v>0</v>
      </c>
      <c r="I237" s="445">
        <v>0</v>
      </c>
      <c r="J237" s="446">
        <v>-77.414094039134994</v>
      </c>
      <c r="K237" s="453">
        <v>0</v>
      </c>
    </row>
    <row r="238" spans="1:11" ht="14.4" customHeight="1" thickBot="1" x14ac:dyDescent="0.35">
      <c r="A238" s="462" t="s">
        <v>521</v>
      </c>
      <c r="B238" s="440">
        <v>296.40117250991301</v>
      </c>
      <c r="C238" s="440">
        <v>521.29499999999996</v>
      </c>
      <c r="D238" s="441">
        <v>224.89382749008701</v>
      </c>
      <c r="E238" s="442">
        <v>1.7587481034079999</v>
      </c>
      <c r="F238" s="440">
        <v>464.48456423481502</v>
      </c>
      <c r="G238" s="441">
        <v>77.414094039134994</v>
      </c>
      <c r="H238" s="443">
        <v>0</v>
      </c>
      <c r="I238" s="440">
        <v>0</v>
      </c>
      <c r="J238" s="441">
        <v>-77.414094039134994</v>
      </c>
      <c r="K238" s="444">
        <v>0</v>
      </c>
    </row>
    <row r="239" spans="1:11" ht="14.4" customHeight="1" thickBot="1" x14ac:dyDescent="0.35">
      <c r="A239" s="458" t="s">
        <v>522</v>
      </c>
      <c r="B239" s="440">
        <v>6215.6444748086196</v>
      </c>
      <c r="C239" s="440">
        <v>6405.2874499999998</v>
      </c>
      <c r="D239" s="441">
        <v>189.64297519138</v>
      </c>
      <c r="E239" s="442">
        <v>1.030510589201</v>
      </c>
      <c r="F239" s="440">
        <v>0</v>
      </c>
      <c r="G239" s="441">
        <v>0</v>
      </c>
      <c r="H239" s="443">
        <v>420.01271000000003</v>
      </c>
      <c r="I239" s="440">
        <v>860.57550000000003</v>
      </c>
      <c r="J239" s="441">
        <v>860.57550000000003</v>
      </c>
      <c r="K239" s="451" t="s">
        <v>322</v>
      </c>
    </row>
    <row r="240" spans="1:11" ht="14.4" customHeight="1" thickBot="1" x14ac:dyDescent="0.35">
      <c r="A240" s="464" t="s">
        <v>523</v>
      </c>
      <c r="B240" s="445">
        <v>6215.6444748086196</v>
      </c>
      <c r="C240" s="445">
        <v>6405.2874499999998</v>
      </c>
      <c r="D240" s="446">
        <v>189.64297519138</v>
      </c>
      <c r="E240" s="452">
        <v>1.030510589201</v>
      </c>
      <c r="F240" s="445">
        <v>0</v>
      </c>
      <c r="G240" s="446">
        <v>0</v>
      </c>
      <c r="H240" s="448">
        <v>420.01271000000003</v>
      </c>
      <c r="I240" s="445">
        <v>860.57550000000003</v>
      </c>
      <c r="J240" s="446">
        <v>860.57550000000003</v>
      </c>
      <c r="K240" s="449" t="s">
        <v>322</v>
      </c>
    </row>
    <row r="241" spans="1:11" ht="14.4" customHeight="1" thickBot="1" x14ac:dyDescent="0.35">
      <c r="A241" s="463" t="s">
        <v>54</v>
      </c>
      <c r="B241" s="445">
        <v>6215.6444748086196</v>
      </c>
      <c r="C241" s="445">
        <v>6405.2874499999998</v>
      </c>
      <c r="D241" s="446">
        <v>189.64297519138</v>
      </c>
      <c r="E241" s="452">
        <v>1.030510589201</v>
      </c>
      <c r="F241" s="445">
        <v>0</v>
      </c>
      <c r="G241" s="446">
        <v>0</v>
      </c>
      <c r="H241" s="448">
        <v>420.01271000000003</v>
      </c>
      <c r="I241" s="445">
        <v>860.57550000000003</v>
      </c>
      <c r="J241" s="446">
        <v>860.57550000000003</v>
      </c>
      <c r="K241" s="449" t="s">
        <v>322</v>
      </c>
    </row>
    <row r="242" spans="1:11" ht="14.4" customHeight="1" thickBot="1" x14ac:dyDescent="0.35">
      <c r="A242" s="465" t="s">
        <v>524</v>
      </c>
      <c r="B242" s="440">
        <v>0</v>
      </c>
      <c r="C242" s="440">
        <v>0</v>
      </c>
      <c r="D242" s="441">
        <v>0</v>
      </c>
      <c r="E242" s="442">
        <v>1</v>
      </c>
      <c r="F242" s="440">
        <v>0</v>
      </c>
      <c r="G242" s="441">
        <v>0</v>
      </c>
      <c r="H242" s="443">
        <v>0.27489000000000002</v>
      </c>
      <c r="I242" s="440">
        <v>0.32863999999999999</v>
      </c>
      <c r="J242" s="441">
        <v>0.32863999999999999</v>
      </c>
      <c r="K242" s="451" t="s">
        <v>322</v>
      </c>
    </row>
    <row r="243" spans="1:11" ht="14.4" customHeight="1" thickBot="1" x14ac:dyDescent="0.35">
      <c r="A243" s="462" t="s">
        <v>525</v>
      </c>
      <c r="B243" s="440">
        <v>0</v>
      </c>
      <c r="C243" s="440">
        <v>0</v>
      </c>
      <c r="D243" s="441">
        <v>0</v>
      </c>
      <c r="E243" s="442">
        <v>1</v>
      </c>
      <c r="F243" s="440">
        <v>0</v>
      </c>
      <c r="G243" s="441">
        <v>0</v>
      </c>
      <c r="H243" s="443">
        <v>0.27489000000000002</v>
      </c>
      <c r="I243" s="440">
        <v>0.32863999999999999</v>
      </c>
      <c r="J243" s="441">
        <v>0.32863999999999999</v>
      </c>
      <c r="K243" s="451" t="s">
        <v>322</v>
      </c>
    </row>
    <row r="244" spans="1:11" ht="14.4" customHeight="1" thickBot="1" x14ac:dyDescent="0.35">
      <c r="A244" s="461" t="s">
        <v>526</v>
      </c>
      <c r="B244" s="445">
        <v>64.394703401255995</v>
      </c>
      <c r="C244" s="445">
        <v>59.555999999999997</v>
      </c>
      <c r="D244" s="446">
        <v>-4.8387034012559997</v>
      </c>
      <c r="E244" s="452">
        <v>0.92485867399499999</v>
      </c>
      <c r="F244" s="445">
        <v>0</v>
      </c>
      <c r="G244" s="446">
        <v>0</v>
      </c>
      <c r="H244" s="448">
        <v>5.0030000000000001</v>
      </c>
      <c r="I244" s="445">
        <v>10.006</v>
      </c>
      <c r="J244" s="446">
        <v>10.006</v>
      </c>
      <c r="K244" s="449" t="s">
        <v>322</v>
      </c>
    </row>
    <row r="245" spans="1:11" ht="14.4" customHeight="1" thickBot="1" x14ac:dyDescent="0.35">
      <c r="A245" s="462" t="s">
        <v>527</v>
      </c>
      <c r="B245" s="440">
        <v>64.394703401255995</v>
      </c>
      <c r="C245" s="440">
        <v>59.555999999999997</v>
      </c>
      <c r="D245" s="441">
        <v>-4.8387034012559997</v>
      </c>
      <c r="E245" s="442">
        <v>0.92485867399499999</v>
      </c>
      <c r="F245" s="440">
        <v>0</v>
      </c>
      <c r="G245" s="441">
        <v>0</v>
      </c>
      <c r="H245" s="443">
        <v>5.0030000000000001</v>
      </c>
      <c r="I245" s="440">
        <v>10.006</v>
      </c>
      <c r="J245" s="441">
        <v>10.006</v>
      </c>
      <c r="K245" s="451" t="s">
        <v>322</v>
      </c>
    </row>
    <row r="246" spans="1:11" ht="14.4" customHeight="1" thickBot="1" x14ac:dyDescent="0.35">
      <c r="A246" s="461" t="s">
        <v>528</v>
      </c>
      <c r="B246" s="445">
        <v>553.65333810000902</v>
      </c>
      <c r="C246" s="445">
        <v>449.51101999999997</v>
      </c>
      <c r="D246" s="446">
        <v>-104.14231810000901</v>
      </c>
      <c r="E246" s="452">
        <v>0.81189977385900003</v>
      </c>
      <c r="F246" s="445">
        <v>0</v>
      </c>
      <c r="G246" s="446">
        <v>0</v>
      </c>
      <c r="H246" s="448">
        <v>40.057099999999998</v>
      </c>
      <c r="I246" s="445">
        <v>82.441699999999997</v>
      </c>
      <c r="J246" s="446">
        <v>82.441699999999997</v>
      </c>
      <c r="K246" s="449" t="s">
        <v>322</v>
      </c>
    </row>
    <row r="247" spans="1:11" ht="14.4" customHeight="1" thickBot="1" x14ac:dyDescent="0.35">
      <c r="A247" s="462" t="s">
        <v>529</v>
      </c>
      <c r="B247" s="440">
        <v>9.253338498203</v>
      </c>
      <c r="C247" s="440">
        <v>4.6241000000000003</v>
      </c>
      <c r="D247" s="441">
        <v>-4.6292384982029997</v>
      </c>
      <c r="E247" s="442">
        <v>0.49972234355099998</v>
      </c>
      <c r="F247" s="440">
        <v>0</v>
      </c>
      <c r="G247" s="441">
        <v>0</v>
      </c>
      <c r="H247" s="443">
        <v>3.4571999999999998</v>
      </c>
      <c r="I247" s="440">
        <v>5.36</v>
      </c>
      <c r="J247" s="441">
        <v>5.36</v>
      </c>
      <c r="K247" s="451" t="s">
        <v>322</v>
      </c>
    </row>
    <row r="248" spans="1:11" ht="14.4" customHeight="1" thickBot="1" x14ac:dyDescent="0.35">
      <c r="A248" s="462" t="s">
        <v>530</v>
      </c>
      <c r="B248" s="440">
        <v>544.39999960180603</v>
      </c>
      <c r="C248" s="440">
        <v>444.88691999999998</v>
      </c>
      <c r="D248" s="441">
        <v>-99.513079601805003</v>
      </c>
      <c r="E248" s="442">
        <v>0.81720595210299996</v>
      </c>
      <c r="F248" s="440">
        <v>0</v>
      </c>
      <c r="G248" s="441">
        <v>0</v>
      </c>
      <c r="H248" s="443">
        <v>36.599899999999998</v>
      </c>
      <c r="I248" s="440">
        <v>77.081699999999998</v>
      </c>
      <c r="J248" s="441">
        <v>77.081699999999998</v>
      </c>
      <c r="K248" s="451" t="s">
        <v>322</v>
      </c>
    </row>
    <row r="249" spans="1:11" ht="14.4" customHeight="1" thickBot="1" x14ac:dyDescent="0.35">
      <c r="A249" s="461" t="s">
        <v>531</v>
      </c>
      <c r="B249" s="445">
        <v>157.523264374316</v>
      </c>
      <c r="C249" s="445">
        <v>160.93149</v>
      </c>
      <c r="D249" s="446">
        <v>3.408225625684</v>
      </c>
      <c r="E249" s="452">
        <v>1.0216363318720001</v>
      </c>
      <c r="F249" s="445">
        <v>0</v>
      </c>
      <c r="G249" s="446">
        <v>0</v>
      </c>
      <c r="H249" s="448">
        <v>12.160130000000001</v>
      </c>
      <c r="I249" s="445">
        <v>26.58342</v>
      </c>
      <c r="J249" s="446">
        <v>26.58342</v>
      </c>
      <c r="K249" s="449" t="s">
        <v>322</v>
      </c>
    </row>
    <row r="250" spans="1:11" ht="14.4" customHeight="1" thickBot="1" x14ac:dyDescent="0.35">
      <c r="A250" s="462" t="s">
        <v>532</v>
      </c>
      <c r="B250" s="440">
        <v>157.523264374316</v>
      </c>
      <c r="C250" s="440">
        <v>160.93149</v>
      </c>
      <c r="D250" s="441">
        <v>3.408225625684</v>
      </c>
      <c r="E250" s="442">
        <v>1.0216363318720001</v>
      </c>
      <c r="F250" s="440">
        <v>0</v>
      </c>
      <c r="G250" s="441">
        <v>0</v>
      </c>
      <c r="H250" s="443">
        <v>12.160130000000001</v>
      </c>
      <c r="I250" s="440">
        <v>26.58342</v>
      </c>
      <c r="J250" s="441">
        <v>26.58342</v>
      </c>
      <c r="K250" s="451" t="s">
        <v>322</v>
      </c>
    </row>
    <row r="251" spans="1:11" ht="14.4" customHeight="1" thickBot="1" x14ac:dyDescent="0.35">
      <c r="A251" s="461" t="s">
        <v>533</v>
      </c>
      <c r="B251" s="445">
        <v>0</v>
      </c>
      <c r="C251" s="445">
        <v>0.84</v>
      </c>
      <c r="D251" s="446">
        <v>0.84</v>
      </c>
      <c r="E251" s="447" t="s">
        <v>322</v>
      </c>
      <c r="F251" s="445">
        <v>0</v>
      </c>
      <c r="G251" s="446">
        <v>0</v>
      </c>
      <c r="H251" s="448">
        <v>0</v>
      </c>
      <c r="I251" s="445">
        <v>0</v>
      </c>
      <c r="J251" s="446">
        <v>0</v>
      </c>
      <c r="K251" s="453">
        <v>2</v>
      </c>
    </row>
    <row r="252" spans="1:11" ht="14.4" customHeight="1" thickBot="1" x14ac:dyDescent="0.35">
      <c r="A252" s="462" t="s">
        <v>534</v>
      </c>
      <c r="B252" s="440">
        <v>0</v>
      </c>
      <c r="C252" s="440">
        <v>0.84</v>
      </c>
      <c r="D252" s="441">
        <v>0.84</v>
      </c>
      <c r="E252" s="450" t="s">
        <v>322</v>
      </c>
      <c r="F252" s="440">
        <v>0</v>
      </c>
      <c r="G252" s="441">
        <v>0</v>
      </c>
      <c r="H252" s="443">
        <v>0</v>
      </c>
      <c r="I252" s="440">
        <v>0</v>
      </c>
      <c r="J252" s="441">
        <v>0</v>
      </c>
      <c r="K252" s="444">
        <v>2</v>
      </c>
    </row>
    <row r="253" spans="1:11" ht="14.4" customHeight="1" thickBot="1" x14ac:dyDescent="0.35">
      <c r="A253" s="461" t="s">
        <v>535</v>
      </c>
      <c r="B253" s="445">
        <v>1647.62645181571</v>
      </c>
      <c r="C253" s="445">
        <v>1576.4289100000001</v>
      </c>
      <c r="D253" s="446">
        <v>-71.197541815704</v>
      </c>
      <c r="E253" s="452">
        <v>0.95678781331899998</v>
      </c>
      <c r="F253" s="445">
        <v>0</v>
      </c>
      <c r="G253" s="446">
        <v>0</v>
      </c>
      <c r="H253" s="448">
        <v>91.284390000000002</v>
      </c>
      <c r="I253" s="445">
        <v>187.0187</v>
      </c>
      <c r="J253" s="446">
        <v>187.0187</v>
      </c>
      <c r="K253" s="449" t="s">
        <v>322</v>
      </c>
    </row>
    <row r="254" spans="1:11" ht="14.4" customHeight="1" thickBot="1" x14ac:dyDescent="0.35">
      <c r="A254" s="462" t="s">
        <v>536</v>
      </c>
      <c r="B254" s="440">
        <v>1647.62645181571</v>
      </c>
      <c r="C254" s="440">
        <v>1576.4289100000001</v>
      </c>
      <c r="D254" s="441">
        <v>-71.197541815704</v>
      </c>
      <c r="E254" s="442">
        <v>0.95678781331899998</v>
      </c>
      <c r="F254" s="440">
        <v>0</v>
      </c>
      <c r="G254" s="441">
        <v>0</v>
      </c>
      <c r="H254" s="443">
        <v>91.284390000000002</v>
      </c>
      <c r="I254" s="440">
        <v>187.0187</v>
      </c>
      <c r="J254" s="441">
        <v>187.0187</v>
      </c>
      <c r="K254" s="451" t="s">
        <v>322</v>
      </c>
    </row>
    <row r="255" spans="1:11" ht="14.4" customHeight="1" thickBot="1" x14ac:dyDescent="0.35">
      <c r="A255" s="461" t="s">
        <v>537</v>
      </c>
      <c r="B255" s="445">
        <v>0</v>
      </c>
      <c r="C255" s="445">
        <v>391.35599999999999</v>
      </c>
      <c r="D255" s="446">
        <v>391.35599999999999</v>
      </c>
      <c r="E255" s="447" t="s">
        <v>322</v>
      </c>
      <c r="F255" s="445">
        <v>0</v>
      </c>
      <c r="G255" s="446">
        <v>0</v>
      </c>
      <c r="H255" s="448">
        <v>0</v>
      </c>
      <c r="I255" s="445">
        <v>0</v>
      </c>
      <c r="J255" s="446">
        <v>0</v>
      </c>
      <c r="K255" s="453">
        <v>2</v>
      </c>
    </row>
    <row r="256" spans="1:11" ht="14.4" customHeight="1" thickBot="1" x14ac:dyDescent="0.35">
      <c r="A256" s="462" t="s">
        <v>538</v>
      </c>
      <c r="B256" s="440">
        <v>0</v>
      </c>
      <c r="C256" s="440">
        <v>379.17599999999999</v>
      </c>
      <c r="D256" s="441">
        <v>379.17599999999999</v>
      </c>
      <c r="E256" s="450" t="s">
        <v>322</v>
      </c>
      <c r="F256" s="440">
        <v>0</v>
      </c>
      <c r="G256" s="441">
        <v>0</v>
      </c>
      <c r="H256" s="443">
        <v>0</v>
      </c>
      <c r="I256" s="440">
        <v>0</v>
      </c>
      <c r="J256" s="441">
        <v>0</v>
      </c>
      <c r="K256" s="444">
        <v>2</v>
      </c>
    </row>
    <row r="257" spans="1:11" ht="14.4" customHeight="1" thickBot="1" x14ac:dyDescent="0.35">
      <c r="A257" s="462" t="s">
        <v>539</v>
      </c>
      <c r="B257" s="440">
        <v>0</v>
      </c>
      <c r="C257" s="440">
        <v>12.18</v>
      </c>
      <c r="D257" s="441">
        <v>12.18</v>
      </c>
      <c r="E257" s="450" t="s">
        <v>322</v>
      </c>
      <c r="F257" s="440">
        <v>0</v>
      </c>
      <c r="G257" s="441">
        <v>0</v>
      </c>
      <c r="H257" s="443">
        <v>0</v>
      </c>
      <c r="I257" s="440">
        <v>0</v>
      </c>
      <c r="J257" s="441">
        <v>0</v>
      </c>
      <c r="K257" s="444">
        <v>2</v>
      </c>
    </row>
    <row r="258" spans="1:11" ht="14.4" customHeight="1" thickBot="1" x14ac:dyDescent="0.35">
      <c r="A258" s="461" t="s">
        <v>540</v>
      </c>
      <c r="B258" s="445">
        <v>3792.4467171173301</v>
      </c>
      <c r="C258" s="445">
        <v>3766.6640299999999</v>
      </c>
      <c r="D258" s="446">
        <v>-25.782687117333001</v>
      </c>
      <c r="E258" s="452">
        <v>0.99320156905500001</v>
      </c>
      <c r="F258" s="445">
        <v>0</v>
      </c>
      <c r="G258" s="446">
        <v>0</v>
      </c>
      <c r="H258" s="448">
        <v>271.23320000000001</v>
      </c>
      <c r="I258" s="445">
        <v>554.19704000000002</v>
      </c>
      <c r="J258" s="446">
        <v>554.19704000000002</v>
      </c>
      <c r="K258" s="449" t="s">
        <v>322</v>
      </c>
    </row>
    <row r="259" spans="1:11" ht="14.4" customHeight="1" thickBot="1" x14ac:dyDescent="0.35">
      <c r="A259" s="462" t="s">
        <v>541</v>
      </c>
      <c r="B259" s="440">
        <v>3792.4467171173301</v>
      </c>
      <c r="C259" s="440">
        <v>3766.6640299999999</v>
      </c>
      <c r="D259" s="441">
        <v>-25.782687117333001</v>
      </c>
      <c r="E259" s="442">
        <v>0.99320156905500001</v>
      </c>
      <c r="F259" s="440">
        <v>0</v>
      </c>
      <c r="G259" s="441">
        <v>0</v>
      </c>
      <c r="H259" s="443">
        <v>271.23320000000001</v>
      </c>
      <c r="I259" s="440">
        <v>554.19704000000002</v>
      </c>
      <c r="J259" s="441">
        <v>554.19704000000002</v>
      </c>
      <c r="K259" s="451" t="s">
        <v>322</v>
      </c>
    </row>
    <row r="260" spans="1:11" ht="14.4" customHeight="1" thickBot="1" x14ac:dyDescent="0.35">
      <c r="A260" s="466" t="s">
        <v>542</v>
      </c>
      <c r="B260" s="445">
        <v>0</v>
      </c>
      <c r="C260" s="445">
        <v>680.46397000000002</v>
      </c>
      <c r="D260" s="446">
        <v>680.46397000000002</v>
      </c>
      <c r="E260" s="447" t="s">
        <v>322</v>
      </c>
      <c r="F260" s="445">
        <v>0</v>
      </c>
      <c r="G260" s="446">
        <v>0</v>
      </c>
      <c r="H260" s="448">
        <v>141.91571999999999</v>
      </c>
      <c r="I260" s="445">
        <v>227.55385999999999</v>
      </c>
      <c r="J260" s="446">
        <v>227.55385999999999</v>
      </c>
      <c r="K260" s="449" t="s">
        <v>322</v>
      </c>
    </row>
    <row r="261" spans="1:11" ht="14.4" customHeight="1" thickBot="1" x14ac:dyDescent="0.35">
      <c r="A261" s="464" t="s">
        <v>543</v>
      </c>
      <c r="B261" s="445">
        <v>0</v>
      </c>
      <c r="C261" s="445">
        <v>680.46397000000002</v>
      </c>
      <c r="D261" s="446">
        <v>680.46397000000002</v>
      </c>
      <c r="E261" s="447" t="s">
        <v>322</v>
      </c>
      <c r="F261" s="445">
        <v>0</v>
      </c>
      <c r="G261" s="446">
        <v>0</v>
      </c>
      <c r="H261" s="448">
        <v>141.91571999999999</v>
      </c>
      <c r="I261" s="445">
        <v>227.55385999999999</v>
      </c>
      <c r="J261" s="446">
        <v>227.55385999999999</v>
      </c>
      <c r="K261" s="449" t="s">
        <v>322</v>
      </c>
    </row>
    <row r="262" spans="1:11" ht="14.4" customHeight="1" thickBot="1" x14ac:dyDescent="0.35">
      <c r="A262" s="463" t="s">
        <v>544</v>
      </c>
      <c r="B262" s="445">
        <v>0</v>
      </c>
      <c r="C262" s="445">
        <v>680.46397000000002</v>
      </c>
      <c r="D262" s="446">
        <v>680.46397000000002</v>
      </c>
      <c r="E262" s="447" t="s">
        <v>322</v>
      </c>
      <c r="F262" s="445">
        <v>0</v>
      </c>
      <c r="G262" s="446">
        <v>0</v>
      </c>
      <c r="H262" s="448">
        <v>141.91571999999999</v>
      </c>
      <c r="I262" s="445">
        <v>227.55385999999999</v>
      </c>
      <c r="J262" s="446">
        <v>227.55385999999999</v>
      </c>
      <c r="K262" s="449" t="s">
        <v>322</v>
      </c>
    </row>
    <row r="263" spans="1:11" ht="14.4" customHeight="1" thickBot="1" x14ac:dyDescent="0.35">
      <c r="A263" s="461" t="s">
        <v>545</v>
      </c>
      <c r="B263" s="445">
        <v>0</v>
      </c>
      <c r="C263" s="445">
        <v>680.46397000000002</v>
      </c>
      <c r="D263" s="446">
        <v>680.46397000000002</v>
      </c>
      <c r="E263" s="447" t="s">
        <v>322</v>
      </c>
      <c r="F263" s="445">
        <v>0</v>
      </c>
      <c r="G263" s="446">
        <v>0</v>
      </c>
      <c r="H263" s="448">
        <v>141.91571999999999</v>
      </c>
      <c r="I263" s="445">
        <v>227.55385999999999</v>
      </c>
      <c r="J263" s="446">
        <v>227.55385999999999</v>
      </c>
      <c r="K263" s="449" t="s">
        <v>322</v>
      </c>
    </row>
    <row r="264" spans="1:11" ht="14.4" customHeight="1" thickBot="1" x14ac:dyDescent="0.35">
      <c r="A264" s="462" t="s">
        <v>546</v>
      </c>
      <c r="B264" s="440">
        <v>0</v>
      </c>
      <c r="C264" s="440">
        <v>677.82617000000005</v>
      </c>
      <c r="D264" s="441">
        <v>677.82617000000005</v>
      </c>
      <c r="E264" s="450" t="s">
        <v>322</v>
      </c>
      <c r="F264" s="440">
        <v>0</v>
      </c>
      <c r="G264" s="441">
        <v>0</v>
      </c>
      <c r="H264" s="443">
        <v>141.91571999999999</v>
      </c>
      <c r="I264" s="440">
        <v>227.55385999999999</v>
      </c>
      <c r="J264" s="441">
        <v>227.55385999999999</v>
      </c>
      <c r="K264" s="451" t="s">
        <v>322</v>
      </c>
    </row>
    <row r="265" spans="1:11" ht="14.4" customHeight="1" thickBot="1" x14ac:dyDescent="0.35">
      <c r="A265" s="462" t="s">
        <v>547</v>
      </c>
      <c r="B265" s="440">
        <v>0</v>
      </c>
      <c r="C265" s="440">
        <v>2.6377999999999999</v>
      </c>
      <c r="D265" s="441">
        <v>2.6377999999999999</v>
      </c>
      <c r="E265" s="450" t="s">
        <v>322</v>
      </c>
      <c r="F265" s="440">
        <v>0</v>
      </c>
      <c r="G265" s="441">
        <v>0</v>
      </c>
      <c r="H265" s="443">
        <v>0</v>
      </c>
      <c r="I265" s="440">
        <v>0</v>
      </c>
      <c r="J265" s="441">
        <v>0</v>
      </c>
      <c r="K265" s="444">
        <v>2</v>
      </c>
    </row>
    <row r="266" spans="1:11" ht="14.4" customHeight="1" thickBot="1" x14ac:dyDescent="0.35">
      <c r="A266" s="467"/>
      <c r="B266" s="440">
        <v>48191.564251376098</v>
      </c>
      <c r="C266" s="440">
        <v>47902.980379999899</v>
      </c>
      <c r="D266" s="441">
        <v>-288.58387137612601</v>
      </c>
      <c r="E266" s="442">
        <v>0.99401173471199999</v>
      </c>
      <c r="F266" s="440">
        <v>72248.949770805804</v>
      </c>
      <c r="G266" s="441">
        <v>12041.4916284676</v>
      </c>
      <c r="H266" s="443">
        <v>6067.9258</v>
      </c>
      <c r="I266" s="440">
        <v>9995.9398000000001</v>
      </c>
      <c r="J266" s="441">
        <v>-2045.55182846763</v>
      </c>
      <c r="K266" s="444">
        <v>0.13835411908</v>
      </c>
    </row>
    <row r="267" spans="1:11" ht="14.4" customHeight="1" thickBot="1" x14ac:dyDescent="0.35">
      <c r="A267" s="468" t="s">
        <v>66</v>
      </c>
      <c r="B267" s="454">
        <v>48191.564251376098</v>
      </c>
      <c r="C267" s="454">
        <v>47902.980379999899</v>
      </c>
      <c r="D267" s="455">
        <v>-288.58387137612101</v>
      </c>
      <c r="E267" s="456" t="s">
        <v>322</v>
      </c>
      <c r="F267" s="454">
        <v>72248.949770805804</v>
      </c>
      <c r="G267" s="455">
        <v>12041.4916284676</v>
      </c>
      <c r="H267" s="454">
        <v>6067.9258</v>
      </c>
      <c r="I267" s="454">
        <v>9995.9398000000001</v>
      </c>
      <c r="J267" s="455">
        <v>-2045.55182846763</v>
      </c>
      <c r="K267" s="457">
        <v>0.13835411908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6" t="s">
        <v>137</v>
      </c>
      <c r="B1" s="377"/>
      <c r="C1" s="377"/>
      <c r="D1" s="377"/>
      <c r="E1" s="377"/>
      <c r="F1" s="377"/>
      <c r="G1" s="347"/>
      <c r="H1" s="378"/>
      <c r="I1" s="378"/>
    </row>
    <row r="2" spans="1:10" ht="14.4" customHeight="1" thickBot="1" x14ac:dyDescent="0.35">
      <c r="A2" s="235" t="s">
        <v>291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39"/>
      <c r="C3" s="338">
        <v>2015</v>
      </c>
      <c r="D3" s="296">
        <v>2016</v>
      </c>
      <c r="E3" s="7"/>
      <c r="F3" s="355">
        <v>2017</v>
      </c>
      <c r="G3" s="373"/>
      <c r="H3" s="373"/>
      <c r="I3" s="356"/>
    </row>
    <row r="4" spans="1:10" ht="14.4" customHeight="1" thickBot="1" x14ac:dyDescent="0.35">
      <c r="A4" s="300" t="s">
        <v>0</v>
      </c>
      <c r="B4" s="301" t="s">
        <v>230</v>
      </c>
      <c r="C4" s="374" t="s">
        <v>73</v>
      </c>
      <c r="D4" s="375"/>
      <c r="E4" s="302"/>
      <c r="F4" s="297" t="s">
        <v>73</v>
      </c>
      <c r="G4" s="298" t="s">
        <v>74</v>
      </c>
      <c r="H4" s="298" t="s">
        <v>68</v>
      </c>
      <c r="I4" s="299" t="s">
        <v>75</v>
      </c>
    </row>
    <row r="5" spans="1:10" ht="14.4" customHeight="1" x14ac:dyDescent="0.3">
      <c r="A5" s="469" t="s">
        <v>548</v>
      </c>
      <c r="B5" s="470" t="s">
        <v>549</v>
      </c>
      <c r="C5" s="471" t="s">
        <v>550</v>
      </c>
      <c r="D5" s="471" t="s">
        <v>550</v>
      </c>
      <c r="E5" s="471"/>
      <c r="F5" s="471" t="s">
        <v>550</v>
      </c>
      <c r="G5" s="471" t="s">
        <v>550</v>
      </c>
      <c r="H5" s="471" t="s">
        <v>550</v>
      </c>
      <c r="I5" s="472" t="s">
        <v>550</v>
      </c>
      <c r="J5" s="473" t="s">
        <v>69</v>
      </c>
    </row>
    <row r="6" spans="1:10" ht="14.4" customHeight="1" x14ac:dyDescent="0.3">
      <c r="A6" s="469" t="s">
        <v>548</v>
      </c>
      <c r="B6" s="470" t="s">
        <v>300</v>
      </c>
      <c r="C6" s="471">
        <v>8.3178199999999993</v>
      </c>
      <c r="D6" s="471">
        <v>7.1373700000000007</v>
      </c>
      <c r="E6" s="471"/>
      <c r="F6" s="471">
        <v>5.70146</v>
      </c>
      <c r="G6" s="471">
        <v>16.666666666666501</v>
      </c>
      <c r="H6" s="471">
        <v>-10.9652066666665</v>
      </c>
      <c r="I6" s="472">
        <v>0.34208760000000338</v>
      </c>
      <c r="J6" s="473" t="s">
        <v>1</v>
      </c>
    </row>
    <row r="7" spans="1:10" ht="14.4" customHeight="1" x14ac:dyDescent="0.3">
      <c r="A7" s="469" t="s">
        <v>548</v>
      </c>
      <c r="B7" s="470" t="s">
        <v>301</v>
      </c>
      <c r="C7" s="471">
        <v>0</v>
      </c>
      <c r="D7" s="471">
        <v>0.41940999999999995</v>
      </c>
      <c r="E7" s="471"/>
      <c r="F7" s="471">
        <v>6.4000000000000005E-4</v>
      </c>
      <c r="G7" s="471">
        <v>0.83506843779100004</v>
      </c>
      <c r="H7" s="471">
        <v>-0.83442843779100007</v>
      </c>
      <c r="I7" s="472">
        <v>7.6640425028275171E-4</v>
      </c>
      <c r="J7" s="473" t="s">
        <v>1</v>
      </c>
    </row>
    <row r="8" spans="1:10" ht="14.4" customHeight="1" x14ac:dyDescent="0.3">
      <c r="A8" s="469" t="s">
        <v>548</v>
      </c>
      <c r="B8" s="470" t="s">
        <v>551</v>
      </c>
      <c r="C8" s="471">
        <v>8.3178199999999993</v>
      </c>
      <c r="D8" s="471">
        <v>7.5567800000000007</v>
      </c>
      <c r="E8" s="471"/>
      <c r="F8" s="471">
        <v>5.7020999999999997</v>
      </c>
      <c r="G8" s="471">
        <v>17.501735104457502</v>
      </c>
      <c r="H8" s="471">
        <v>-11.799635104457503</v>
      </c>
      <c r="I8" s="472">
        <v>0.32580198283013301</v>
      </c>
      <c r="J8" s="473" t="s">
        <v>552</v>
      </c>
    </row>
    <row r="10" spans="1:10" ht="14.4" customHeight="1" x14ac:dyDescent="0.3">
      <c r="A10" s="469" t="s">
        <v>548</v>
      </c>
      <c r="B10" s="470" t="s">
        <v>549</v>
      </c>
      <c r="C10" s="471" t="s">
        <v>550</v>
      </c>
      <c r="D10" s="471" t="s">
        <v>550</v>
      </c>
      <c r="E10" s="471"/>
      <c r="F10" s="471" t="s">
        <v>550</v>
      </c>
      <c r="G10" s="471" t="s">
        <v>550</v>
      </c>
      <c r="H10" s="471" t="s">
        <v>550</v>
      </c>
      <c r="I10" s="472" t="s">
        <v>550</v>
      </c>
      <c r="J10" s="473" t="s">
        <v>69</v>
      </c>
    </row>
    <row r="11" spans="1:10" ht="14.4" customHeight="1" x14ac:dyDescent="0.3">
      <c r="A11" s="469" t="s">
        <v>553</v>
      </c>
      <c r="B11" s="470" t="s">
        <v>554</v>
      </c>
      <c r="C11" s="471" t="s">
        <v>550</v>
      </c>
      <c r="D11" s="471" t="s">
        <v>550</v>
      </c>
      <c r="E11" s="471"/>
      <c r="F11" s="471" t="s">
        <v>550</v>
      </c>
      <c r="G11" s="471" t="s">
        <v>550</v>
      </c>
      <c r="H11" s="471" t="s">
        <v>550</v>
      </c>
      <c r="I11" s="472" t="s">
        <v>550</v>
      </c>
      <c r="J11" s="473" t="s">
        <v>0</v>
      </c>
    </row>
    <row r="12" spans="1:10" ht="14.4" customHeight="1" x14ac:dyDescent="0.3">
      <c r="A12" s="469" t="s">
        <v>553</v>
      </c>
      <c r="B12" s="470" t="s">
        <v>300</v>
      </c>
      <c r="C12" s="471">
        <v>3.4053200000000001</v>
      </c>
      <c r="D12" s="471">
        <v>1.9929600000000001</v>
      </c>
      <c r="E12" s="471"/>
      <c r="F12" s="471">
        <v>0</v>
      </c>
      <c r="G12" s="471">
        <v>2.758235845108167</v>
      </c>
      <c r="H12" s="471">
        <v>-2.758235845108167</v>
      </c>
      <c r="I12" s="472">
        <v>0</v>
      </c>
      <c r="J12" s="473" t="s">
        <v>1</v>
      </c>
    </row>
    <row r="13" spans="1:10" ht="14.4" customHeight="1" x14ac:dyDescent="0.3">
      <c r="A13" s="469" t="s">
        <v>553</v>
      </c>
      <c r="B13" s="470" t="s">
        <v>555</v>
      </c>
      <c r="C13" s="471">
        <v>3.4053200000000001</v>
      </c>
      <c r="D13" s="471">
        <v>1.9929600000000001</v>
      </c>
      <c r="E13" s="471"/>
      <c r="F13" s="471">
        <v>0</v>
      </c>
      <c r="G13" s="471">
        <v>2.758235845108167</v>
      </c>
      <c r="H13" s="471">
        <v>-2.758235845108167</v>
      </c>
      <c r="I13" s="472">
        <v>0</v>
      </c>
      <c r="J13" s="473" t="s">
        <v>556</v>
      </c>
    </row>
    <row r="14" spans="1:10" ht="14.4" customHeight="1" x14ac:dyDescent="0.3">
      <c r="A14" s="469" t="s">
        <v>550</v>
      </c>
      <c r="B14" s="470" t="s">
        <v>550</v>
      </c>
      <c r="C14" s="471" t="s">
        <v>550</v>
      </c>
      <c r="D14" s="471" t="s">
        <v>550</v>
      </c>
      <c r="E14" s="471"/>
      <c r="F14" s="471" t="s">
        <v>550</v>
      </c>
      <c r="G14" s="471" t="s">
        <v>550</v>
      </c>
      <c r="H14" s="471" t="s">
        <v>550</v>
      </c>
      <c r="I14" s="472" t="s">
        <v>550</v>
      </c>
      <c r="J14" s="473" t="s">
        <v>557</v>
      </c>
    </row>
    <row r="15" spans="1:10" ht="14.4" customHeight="1" x14ac:dyDescent="0.3">
      <c r="A15" s="469" t="s">
        <v>558</v>
      </c>
      <c r="B15" s="470" t="s">
        <v>559</v>
      </c>
      <c r="C15" s="471" t="s">
        <v>550</v>
      </c>
      <c r="D15" s="471" t="s">
        <v>550</v>
      </c>
      <c r="E15" s="471"/>
      <c r="F15" s="471" t="s">
        <v>550</v>
      </c>
      <c r="G15" s="471" t="s">
        <v>550</v>
      </c>
      <c r="H15" s="471" t="s">
        <v>550</v>
      </c>
      <c r="I15" s="472" t="s">
        <v>550</v>
      </c>
      <c r="J15" s="473" t="s">
        <v>0</v>
      </c>
    </row>
    <row r="16" spans="1:10" ht="14.4" customHeight="1" x14ac:dyDescent="0.3">
      <c r="A16" s="469" t="s">
        <v>558</v>
      </c>
      <c r="B16" s="470" t="s">
        <v>300</v>
      </c>
      <c r="C16" s="471">
        <v>4.9124999999999996</v>
      </c>
      <c r="D16" s="471">
        <v>5.1444100000000006</v>
      </c>
      <c r="E16" s="471"/>
      <c r="F16" s="471">
        <v>5.70146</v>
      </c>
      <c r="G16" s="471">
        <v>13.908430821558333</v>
      </c>
      <c r="H16" s="471">
        <v>-8.2069708215583326</v>
      </c>
      <c r="I16" s="472">
        <v>0.40992834297041103</v>
      </c>
      <c r="J16" s="473" t="s">
        <v>1</v>
      </c>
    </row>
    <row r="17" spans="1:10" ht="14.4" customHeight="1" x14ac:dyDescent="0.3">
      <c r="A17" s="469" t="s">
        <v>558</v>
      </c>
      <c r="B17" s="470" t="s">
        <v>301</v>
      </c>
      <c r="C17" s="471">
        <v>0</v>
      </c>
      <c r="D17" s="471">
        <v>0.41940999999999995</v>
      </c>
      <c r="E17" s="471"/>
      <c r="F17" s="471">
        <v>6.4000000000000005E-4</v>
      </c>
      <c r="G17" s="471">
        <v>0.83506843779100004</v>
      </c>
      <c r="H17" s="471">
        <v>-0.83442843779100007</v>
      </c>
      <c r="I17" s="472">
        <v>7.6640425028275171E-4</v>
      </c>
      <c r="J17" s="473" t="s">
        <v>1</v>
      </c>
    </row>
    <row r="18" spans="1:10" ht="14.4" customHeight="1" x14ac:dyDescent="0.3">
      <c r="A18" s="469" t="s">
        <v>558</v>
      </c>
      <c r="B18" s="470" t="s">
        <v>560</v>
      </c>
      <c r="C18" s="471">
        <v>4.9124999999999996</v>
      </c>
      <c r="D18" s="471">
        <v>5.5638200000000007</v>
      </c>
      <c r="E18" s="471"/>
      <c r="F18" s="471">
        <v>5.7020999999999997</v>
      </c>
      <c r="G18" s="471">
        <v>14.743499259349333</v>
      </c>
      <c r="H18" s="471">
        <v>-9.0413992593493333</v>
      </c>
      <c r="I18" s="472">
        <v>0.38675350401527725</v>
      </c>
      <c r="J18" s="473" t="s">
        <v>556</v>
      </c>
    </row>
    <row r="19" spans="1:10" ht="14.4" customHeight="1" x14ac:dyDescent="0.3">
      <c r="A19" s="469" t="s">
        <v>550</v>
      </c>
      <c r="B19" s="470" t="s">
        <v>550</v>
      </c>
      <c r="C19" s="471" t="s">
        <v>550</v>
      </c>
      <c r="D19" s="471" t="s">
        <v>550</v>
      </c>
      <c r="E19" s="471"/>
      <c r="F19" s="471" t="s">
        <v>550</v>
      </c>
      <c r="G19" s="471" t="s">
        <v>550</v>
      </c>
      <c r="H19" s="471" t="s">
        <v>550</v>
      </c>
      <c r="I19" s="472" t="s">
        <v>550</v>
      </c>
      <c r="J19" s="473" t="s">
        <v>557</v>
      </c>
    </row>
    <row r="20" spans="1:10" ht="14.4" customHeight="1" x14ac:dyDescent="0.3">
      <c r="A20" s="469" t="s">
        <v>561</v>
      </c>
      <c r="B20" s="470" t="s">
        <v>562</v>
      </c>
      <c r="C20" s="471" t="s">
        <v>550</v>
      </c>
      <c r="D20" s="471" t="s">
        <v>550</v>
      </c>
      <c r="E20" s="471"/>
      <c r="F20" s="471" t="s">
        <v>550</v>
      </c>
      <c r="G20" s="471" t="s">
        <v>550</v>
      </c>
      <c r="H20" s="471" t="s">
        <v>550</v>
      </c>
      <c r="I20" s="472" t="s">
        <v>550</v>
      </c>
      <c r="J20" s="473" t="s">
        <v>0</v>
      </c>
    </row>
    <row r="21" spans="1:10" ht="14.4" customHeight="1" x14ac:dyDescent="0.3">
      <c r="A21" s="469" t="s">
        <v>561</v>
      </c>
      <c r="B21" s="470" t="s">
        <v>301</v>
      </c>
      <c r="C21" s="471" t="s">
        <v>550</v>
      </c>
      <c r="D21" s="471">
        <v>0</v>
      </c>
      <c r="E21" s="471"/>
      <c r="F21" s="471" t="s">
        <v>550</v>
      </c>
      <c r="G21" s="471" t="s">
        <v>550</v>
      </c>
      <c r="H21" s="471" t="s">
        <v>550</v>
      </c>
      <c r="I21" s="472" t="s">
        <v>550</v>
      </c>
      <c r="J21" s="473" t="s">
        <v>1</v>
      </c>
    </row>
    <row r="22" spans="1:10" ht="14.4" customHeight="1" x14ac:dyDescent="0.3">
      <c r="A22" s="469" t="s">
        <v>561</v>
      </c>
      <c r="B22" s="470" t="s">
        <v>563</v>
      </c>
      <c r="C22" s="471" t="s">
        <v>550</v>
      </c>
      <c r="D22" s="471">
        <v>0</v>
      </c>
      <c r="E22" s="471"/>
      <c r="F22" s="471" t="s">
        <v>550</v>
      </c>
      <c r="G22" s="471" t="s">
        <v>550</v>
      </c>
      <c r="H22" s="471" t="s">
        <v>550</v>
      </c>
      <c r="I22" s="472" t="s">
        <v>550</v>
      </c>
      <c r="J22" s="473" t="s">
        <v>556</v>
      </c>
    </row>
    <row r="23" spans="1:10" ht="14.4" customHeight="1" x14ac:dyDescent="0.3">
      <c r="A23" s="469" t="s">
        <v>550</v>
      </c>
      <c r="B23" s="470" t="s">
        <v>550</v>
      </c>
      <c r="C23" s="471" t="s">
        <v>550</v>
      </c>
      <c r="D23" s="471" t="s">
        <v>550</v>
      </c>
      <c r="E23" s="471"/>
      <c r="F23" s="471" t="s">
        <v>550</v>
      </c>
      <c r="G23" s="471" t="s">
        <v>550</v>
      </c>
      <c r="H23" s="471" t="s">
        <v>550</v>
      </c>
      <c r="I23" s="472" t="s">
        <v>550</v>
      </c>
      <c r="J23" s="473" t="s">
        <v>557</v>
      </c>
    </row>
    <row r="24" spans="1:10" ht="14.4" customHeight="1" x14ac:dyDescent="0.3">
      <c r="A24" s="469" t="s">
        <v>548</v>
      </c>
      <c r="B24" s="470" t="s">
        <v>551</v>
      </c>
      <c r="C24" s="471">
        <v>8.3178199999999993</v>
      </c>
      <c r="D24" s="471">
        <v>7.5567800000000007</v>
      </c>
      <c r="E24" s="471"/>
      <c r="F24" s="471">
        <v>5.7020999999999997</v>
      </c>
      <c r="G24" s="471">
        <v>17.501735104457502</v>
      </c>
      <c r="H24" s="471">
        <v>-11.799635104457503</v>
      </c>
      <c r="I24" s="472">
        <v>0.32580198283013301</v>
      </c>
      <c r="J24" s="473" t="s">
        <v>552</v>
      </c>
    </row>
  </sheetData>
  <mergeCells count="3">
    <mergeCell ref="F3:I3"/>
    <mergeCell ref="C4:D4"/>
    <mergeCell ref="A1:I1"/>
  </mergeCells>
  <conditionalFormatting sqref="F9 F25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4">
    <cfRule type="expression" dxfId="49" priority="5">
      <formula>$H10&gt;0</formula>
    </cfRule>
  </conditionalFormatting>
  <conditionalFormatting sqref="A10:A24">
    <cfRule type="expression" dxfId="48" priority="2">
      <formula>AND($J10&lt;&gt;"mezeraKL",$J10&lt;&gt;"")</formula>
    </cfRule>
  </conditionalFormatting>
  <conditionalFormatting sqref="I10:I24">
    <cfRule type="expression" dxfId="47" priority="6">
      <formula>$I10&gt;1</formula>
    </cfRule>
  </conditionalFormatting>
  <conditionalFormatting sqref="B10:B24">
    <cfRule type="expression" dxfId="46" priority="1">
      <formula>OR($J10="NS",$J10="SumaNS",$J10="Účet")</formula>
    </cfRule>
  </conditionalFormatting>
  <conditionalFormatting sqref="A10:D24 F10:I24">
    <cfRule type="expression" dxfId="45" priority="8">
      <formula>AND($J10&lt;&gt;"",$J10&lt;&gt;"mezeraKL")</formula>
    </cfRule>
  </conditionalFormatting>
  <conditionalFormatting sqref="B10:D24 F10:I24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3" t="s">
        <v>160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ht="14.4" customHeight="1" thickBot="1" x14ac:dyDescent="0.35">
      <c r="A2" s="235" t="s">
        <v>291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9"/>
      <c r="D3" s="380"/>
      <c r="E3" s="380"/>
      <c r="F3" s="380"/>
      <c r="G3" s="380"/>
      <c r="H3" s="380"/>
      <c r="I3" s="380"/>
      <c r="J3" s="381" t="s">
        <v>128</v>
      </c>
      <c r="K3" s="382"/>
      <c r="L3" s="98">
        <f>IF(M3&lt;&gt;0,N3/M3,0)</f>
        <v>125.38603598830976</v>
      </c>
      <c r="M3" s="98">
        <f>SUBTOTAL(9,M5:M1048576)</f>
        <v>43.5</v>
      </c>
      <c r="N3" s="99">
        <f>SUBTOTAL(9,N5:N1048576)</f>
        <v>5454.2925654914743</v>
      </c>
    </row>
    <row r="4" spans="1:14" s="208" customFormat="1" ht="14.4" customHeight="1" thickBot="1" x14ac:dyDescent="0.35">
      <c r="A4" s="474" t="s">
        <v>4</v>
      </c>
      <c r="B4" s="475" t="s">
        <v>5</v>
      </c>
      <c r="C4" s="475" t="s">
        <v>0</v>
      </c>
      <c r="D4" s="475" t="s">
        <v>6</v>
      </c>
      <c r="E4" s="475" t="s">
        <v>7</v>
      </c>
      <c r="F4" s="475" t="s">
        <v>1</v>
      </c>
      <c r="G4" s="475" t="s">
        <v>8</v>
      </c>
      <c r="H4" s="475" t="s">
        <v>9</v>
      </c>
      <c r="I4" s="475" t="s">
        <v>10</v>
      </c>
      <c r="J4" s="476" t="s">
        <v>11</v>
      </c>
      <c r="K4" s="476" t="s">
        <v>12</v>
      </c>
      <c r="L4" s="477" t="s">
        <v>142</v>
      </c>
      <c r="M4" s="477" t="s">
        <v>13</v>
      </c>
      <c r="N4" s="478" t="s">
        <v>156</v>
      </c>
    </row>
    <row r="5" spans="1:14" ht="14.4" customHeight="1" x14ac:dyDescent="0.3">
      <c r="A5" s="479" t="s">
        <v>548</v>
      </c>
      <c r="B5" s="480" t="s">
        <v>610</v>
      </c>
      <c r="C5" s="481" t="s">
        <v>558</v>
      </c>
      <c r="D5" s="482" t="s">
        <v>611</v>
      </c>
      <c r="E5" s="481" t="s">
        <v>564</v>
      </c>
      <c r="F5" s="482" t="s">
        <v>612</v>
      </c>
      <c r="G5" s="481" t="s">
        <v>565</v>
      </c>
      <c r="H5" s="481" t="s">
        <v>566</v>
      </c>
      <c r="I5" s="481" t="s">
        <v>567</v>
      </c>
      <c r="J5" s="481" t="s">
        <v>568</v>
      </c>
      <c r="K5" s="481" t="s">
        <v>569</v>
      </c>
      <c r="L5" s="483">
        <v>75.526502686121589</v>
      </c>
      <c r="M5" s="483">
        <v>1</v>
      </c>
      <c r="N5" s="484">
        <v>75.526502686121589</v>
      </c>
    </row>
    <row r="6" spans="1:14" ht="14.4" customHeight="1" x14ac:dyDescent="0.3">
      <c r="A6" s="485" t="s">
        <v>548</v>
      </c>
      <c r="B6" s="486" t="s">
        <v>610</v>
      </c>
      <c r="C6" s="487" t="s">
        <v>558</v>
      </c>
      <c r="D6" s="488" t="s">
        <v>611</v>
      </c>
      <c r="E6" s="487" t="s">
        <v>564</v>
      </c>
      <c r="F6" s="488" t="s">
        <v>612</v>
      </c>
      <c r="G6" s="487" t="s">
        <v>565</v>
      </c>
      <c r="H6" s="487" t="s">
        <v>570</v>
      </c>
      <c r="I6" s="487" t="s">
        <v>571</v>
      </c>
      <c r="J6" s="487" t="s">
        <v>572</v>
      </c>
      <c r="K6" s="487" t="s">
        <v>573</v>
      </c>
      <c r="L6" s="489">
        <v>38.35</v>
      </c>
      <c r="M6" s="489">
        <v>2</v>
      </c>
      <c r="N6" s="490">
        <v>76.7</v>
      </c>
    </row>
    <row r="7" spans="1:14" ht="14.4" customHeight="1" x14ac:dyDescent="0.3">
      <c r="A7" s="485" t="s">
        <v>548</v>
      </c>
      <c r="B7" s="486" t="s">
        <v>610</v>
      </c>
      <c r="C7" s="487" t="s">
        <v>558</v>
      </c>
      <c r="D7" s="488" t="s">
        <v>611</v>
      </c>
      <c r="E7" s="487" t="s">
        <v>564</v>
      </c>
      <c r="F7" s="488" t="s">
        <v>612</v>
      </c>
      <c r="G7" s="487" t="s">
        <v>565</v>
      </c>
      <c r="H7" s="487" t="s">
        <v>574</v>
      </c>
      <c r="I7" s="487" t="s">
        <v>575</v>
      </c>
      <c r="J7" s="487" t="s">
        <v>576</v>
      </c>
      <c r="K7" s="487" t="s">
        <v>577</v>
      </c>
      <c r="L7" s="489">
        <v>37.399999999999991</v>
      </c>
      <c r="M7" s="489">
        <v>4</v>
      </c>
      <c r="N7" s="490">
        <v>149.59999999999997</v>
      </c>
    </row>
    <row r="8" spans="1:14" ht="14.4" customHeight="1" x14ac:dyDescent="0.3">
      <c r="A8" s="485" t="s">
        <v>548</v>
      </c>
      <c r="B8" s="486" t="s">
        <v>610</v>
      </c>
      <c r="C8" s="487" t="s">
        <v>558</v>
      </c>
      <c r="D8" s="488" t="s">
        <v>611</v>
      </c>
      <c r="E8" s="487" t="s">
        <v>564</v>
      </c>
      <c r="F8" s="488" t="s">
        <v>612</v>
      </c>
      <c r="G8" s="487" t="s">
        <v>565</v>
      </c>
      <c r="H8" s="487" t="s">
        <v>578</v>
      </c>
      <c r="I8" s="487" t="s">
        <v>579</v>
      </c>
      <c r="J8" s="487" t="s">
        <v>580</v>
      </c>
      <c r="K8" s="487" t="s">
        <v>581</v>
      </c>
      <c r="L8" s="489">
        <v>537.86999999999989</v>
      </c>
      <c r="M8" s="489">
        <v>0.5</v>
      </c>
      <c r="N8" s="490">
        <v>268.93499999999995</v>
      </c>
    </row>
    <row r="9" spans="1:14" ht="14.4" customHeight="1" x14ac:dyDescent="0.3">
      <c r="A9" s="485" t="s">
        <v>548</v>
      </c>
      <c r="B9" s="486" t="s">
        <v>610</v>
      </c>
      <c r="C9" s="487" t="s">
        <v>558</v>
      </c>
      <c r="D9" s="488" t="s">
        <v>611</v>
      </c>
      <c r="E9" s="487" t="s">
        <v>564</v>
      </c>
      <c r="F9" s="488" t="s">
        <v>612</v>
      </c>
      <c r="G9" s="487" t="s">
        <v>565</v>
      </c>
      <c r="H9" s="487" t="s">
        <v>582</v>
      </c>
      <c r="I9" s="487" t="s">
        <v>583</v>
      </c>
      <c r="J9" s="487" t="s">
        <v>580</v>
      </c>
      <c r="K9" s="487" t="s">
        <v>584</v>
      </c>
      <c r="L9" s="489">
        <v>255.2</v>
      </c>
      <c r="M9" s="489">
        <v>5</v>
      </c>
      <c r="N9" s="490">
        <v>1276</v>
      </c>
    </row>
    <row r="10" spans="1:14" ht="14.4" customHeight="1" x14ac:dyDescent="0.3">
      <c r="A10" s="485" t="s">
        <v>548</v>
      </c>
      <c r="B10" s="486" t="s">
        <v>610</v>
      </c>
      <c r="C10" s="487" t="s">
        <v>558</v>
      </c>
      <c r="D10" s="488" t="s">
        <v>611</v>
      </c>
      <c r="E10" s="487" t="s">
        <v>564</v>
      </c>
      <c r="F10" s="488" t="s">
        <v>612</v>
      </c>
      <c r="G10" s="487" t="s">
        <v>565</v>
      </c>
      <c r="H10" s="487" t="s">
        <v>585</v>
      </c>
      <c r="I10" s="487" t="s">
        <v>586</v>
      </c>
      <c r="J10" s="487" t="s">
        <v>587</v>
      </c>
      <c r="K10" s="487" t="s">
        <v>588</v>
      </c>
      <c r="L10" s="489">
        <v>90.38</v>
      </c>
      <c r="M10" s="489">
        <v>2</v>
      </c>
      <c r="N10" s="490">
        <v>180.76</v>
      </c>
    </row>
    <row r="11" spans="1:14" ht="14.4" customHeight="1" x14ac:dyDescent="0.3">
      <c r="A11" s="485" t="s">
        <v>548</v>
      </c>
      <c r="B11" s="486" t="s">
        <v>610</v>
      </c>
      <c r="C11" s="487" t="s">
        <v>558</v>
      </c>
      <c r="D11" s="488" t="s">
        <v>611</v>
      </c>
      <c r="E11" s="487" t="s">
        <v>564</v>
      </c>
      <c r="F11" s="488" t="s">
        <v>612</v>
      </c>
      <c r="G11" s="487" t="s">
        <v>565</v>
      </c>
      <c r="H11" s="487" t="s">
        <v>589</v>
      </c>
      <c r="I11" s="487" t="s">
        <v>590</v>
      </c>
      <c r="J11" s="487" t="s">
        <v>587</v>
      </c>
      <c r="K11" s="487" t="s">
        <v>591</v>
      </c>
      <c r="L11" s="489">
        <v>172.84</v>
      </c>
      <c r="M11" s="489">
        <v>5</v>
      </c>
      <c r="N11" s="490">
        <v>864.2</v>
      </c>
    </row>
    <row r="12" spans="1:14" ht="14.4" customHeight="1" x14ac:dyDescent="0.3">
      <c r="A12" s="485" t="s">
        <v>548</v>
      </c>
      <c r="B12" s="486" t="s">
        <v>610</v>
      </c>
      <c r="C12" s="487" t="s">
        <v>558</v>
      </c>
      <c r="D12" s="488" t="s">
        <v>611</v>
      </c>
      <c r="E12" s="487" t="s">
        <v>564</v>
      </c>
      <c r="F12" s="488" t="s">
        <v>612</v>
      </c>
      <c r="G12" s="487" t="s">
        <v>565</v>
      </c>
      <c r="H12" s="487" t="s">
        <v>592</v>
      </c>
      <c r="I12" s="487" t="s">
        <v>593</v>
      </c>
      <c r="J12" s="487" t="s">
        <v>594</v>
      </c>
      <c r="K12" s="487"/>
      <c r="L12" s="489">
        <v>31.871333333333336</v>
      </c>
      <c r="M12" s="489">
        <v>6</v>
      </c>
      <c r="N12" s="490">
        <v>191.22800000000001</v>
      </c>
    </row>
    <row r="13" spans="1:14" ht="14.4" customHeight="1" x14ac:dyDescent="0.3">
      <c r="A13" s="485" t="s">
        <v>548</v>
      </c>
      <c r="B13" s="486" t="s">
        <v>610</v>
      </c>
      <c r="C13" s="487" t="s">
        <v>558</v>
      </c>
      <c r="D13" s="488" t="s">
        <v>611</v>
      </c>
      <c r="E13" s="487" t="s">
        <v>564</v>
      </c>
      <c r="F13" s="488" t="s">
        <v>612</v>
      </c>
      <c r="G13" s="487" t="s">
        <v>565</v>
      </c>
      <c r="H13" s="487" t="s">
        <v>595</v>
      </c>
      <c r="I13" s="487" t="s">
        <v>596</v>
      </c>
      <c r="J13" s="487" t="s">
        <v>597</v>
      </c>
      <c r="K13" s="487"/>
      <c r="L13" s="489">
        <v>48.319999999999979</v>
      </c>
      <c r="M13" s="489">
        <v>1</v>
      </c>
      <c r="N13" s="490">
        <v>48.319999999999979</v>
      </c>
    </row>
    <row r="14" spans="1:14" ht="14.4" customHeight="1" x14ac:dyDescent="0.3">
      <c r="A14" s="485" t="s">
        <v>548</v>
      </c>
      <c r="B14" s="486" t="s">
        <v>610</v>
      </c>
      <c r="C14" s="487" t="s">
        <v>558</v>
      </c>
      <c r="D14" s="488" t="s">
        <v>611</v>
      </c>
      <c r="E14" s="487" t="s">
        <v>564</v>
      </c>
      <c r="F14" s="488" t="s">
        <v>612</v>
      </c>
      <c r="G14" s="487" t="s">
        <v>565</v>
      </c>
      <c r="H14" s="487" t="s">
        <v>598</v>
      </c>
      <c r="I14" s="487" t="s">
        <v>599</v>
      </c>
      <c r="J14" s="487" t="s">
        <v>600</v>
      </c>
      <c r="K14" s="487" t="s">
        <v>601</v>
      </c>
      <c r="L14" s="489">
        <v>120.51999999999998</v>
      </c>
      <c r="M14" s="489">
        <v>10</v>
      </c>
      <c r="N14" s="490">
        <v>1205.1999999999998</v>
      </c>
    </row>
    <row r="15" spans="1:14" ht="14.4" customHeight="1" x14ac:dyDescent="0.3">
      <c r="A15" s="485" t="s">
        <v>548</v>
      </c>
      <c r="B15" s="486" t="s">
        <v>610</v>
      </c>
      <c r="C15" s="487" t="s">
        <v>558</v>
      </c>
      <c r="D15" s="488" t="s">
        <v>611</v>
      </c>
      <c r="E15" s="487" t="s">
        <v>564</v>
      </c>
      <c r="F15" s="488" t="s">
        <v>612</v>
      </c>
      <c r="G15" s="487" t="s">
        <v>565</v>
      </c>
      <c r="H15" s="487" t="s">
        <v>602</v>
      </c>
      <c r="I15" s="487" t="s">
        <v>593</v>
      </c>
      <c r="J15" s="487" t="s">
        <v>603</v>
      </c>
      <c r="K15" s="487" t="s">
        <v>604</v>
      </c>
      <c r="L15" s="489">
        <v>65.605062805353697</v>
      </c>
      <c r="M15" s="489">
        <v>1</v>
      </c>
      <c r="N15" s="490">
        <v>65.605062805353697</v>
      </c>
    </row>
    <row r="16" spans="1:14" ht="14.4" customHeight="1" x14ac:dyDescent="0.3">
      <c r="A16" s="485" t="s">
        <v>548</v>
      </c>
      <c r="B16" s="486" t="s">
        <v>610</v>
      </c>
      <c r="C16" s="487" t="s">
        <v>558</v>
      </c>
      <c r="D16" s="488" t="s">
        <v>611</v>
      </c>
      <c r="E16" s="487" t="s">
        <v>564</v>
      </c>
      <c r="F16" s="488" t="s">
        <v>612</v>
      </c>
      <c r="G16" s="487" t="s">
        <v>565</v>
      </c>
      <c r="H16" s="487" t="s">
        <v>605</v>
      </c>
      <c r="I16" s="487" t="s">
        <v>593</v>
      </c>
      <c r="J16" s="487" t="s">
        <v>606</v>
      </c>
      <c r="K16" s="487" t="s">
        <v>607</v>
      </c>
      <c r="L16" s="489">
        <v>206.98999999999995</v>
      </c>
      <c r="M16" s="489">
        <v>5</v>
      </c>
      <c r="N16" s="490">
        <v>1034.9499999999998</v>
      </c>
    </row>
    <row r="17" spans="1:14" ht="14.4" customHeight="1" thickBot="1" x14ac:dyDescent="0.35">
      <c r="A17" s="491" t="s">
        <v>548</v>
      </c>
      <c r="B17" s="492" t="s">
        <v>610</v>
      </c>
      <c r="C17" s="493" t="s">
        <v>558</v>
      </c>
      <c r="D17" s="494" t="s">
        <v>611</v>
      </c>
      <c r="E17" s="493" t="s">
        <v>564</v>
      </c>
      <c r="F17" s="494" t="s">
        <v>612</v>
      </c>
      <c r="G17" s="493" t="s">
        <v>565</v>
      </c>
      <c r="H17" s="493" t="s">
        <v>608</v>
      </c>
      <c r="I17" s="493" t="s">
        <v>593</v>
      </c>
      <c r="J17" s="493" t="s">
        <v>609</v>
      </c>
      <c r="K17" s="493"/>
      <c r="L17" s="495">
        <v>17.267999999999997</v>
      </c>
      <c r="M17" s="495">
        <v>1</v>
      </c>
      <c r="N17" s="496">
        <v>17.267999999999997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5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5" t="s">
        <v>231</v>
      </c>
      <c r="B1" s="385"/>
      <c r="C1" s="385"/>
      <c r="D1" s="385"/>
      <c r="E1" s="385"/>
      <c r="F1" s="347"/>
      <c r="G1" s="347"/>
      <c r="H1" s="347"/>
      <c r="I1" s="347"/>
      <c r="J1" s="378"/>
      <c r="K1" s="378"/>
      <c r="L1" s="378"/>
      <c r="M1" s="378"/>
      <c r="N1" s="378"/>
      <c r="O1" s="378"/>
      <c r="P1" s="378"/>
      <c r="Q1" s="378"/>
    </row>
    <row r="2" spans="1:17" ht="14.4" customHeight="1" thickBot="1" x14ac:dyDescent="0.35">
      <c r="A2" s="235" t="s">
        <v>291</v>
      </c>
      <c r="B2" s="214"/>
      <c r="C2" s="214"/>
      <c r="D2" s="214"/>
      <c r="E2" s="214"/>
    </row>
    <row r="3" spans="1:17" ht="14.4" customHeight="1" thickBot="1" x14ac:dyDescent="0.35">
      <c r="A3" s="304" t="s">
        <v>3</v>
      </c>
      <c r="B3" s="308">
        <f>SUM(B6:B1048576)</f>
        <v>77</v>
      </c>
      <c r="C3" s="309">
        <f>SUM(C6:C1048576)</f>
        <v>1</v>
      </c>
      <c r="D3" s="309">
        <f>SUM(D6:D1048576)</f>
        <v>0</v>
      </c>
      <c r="E3" s="310">
        <f>SUM(E6:E1048576)</f>
        <v>0</v>
      </c>
      <c r="F3" s="307">
        <f>IF(SUM($B3:$E3)=0,"",B3/SUM($B3:$E3))</f>
        <v>0.98717948717948723</v>
      </c>
      <c r="G3" s="305">
        <f t="shared" ref="G3:I3" si="0">IF(SUM($B3:$E3)=0,"",C3/SUM($B3:$E3))</f>
        <v>1.282051282051282E-2</v>
      </c>
      <c r="H3" s="305">
        <f t="shared" si="0"/>
        <v>0</v>
      </c>
      <c r="I3" s="306">
        <f t="shared" si="0"/>
        <v>0</v>
      </c>
      <c r="J3" s="309">
        <f>SUM(J6:J1048576)</f>
        <v>25</v>
      </c>
      <c r="K3" s="309">
        <f>SUM(K6:K1048576)</f>
        <v>1</v>
      </c>
      <c r="L3" s="309">
        <f>SUM(L6:L1048576)</f>
        <v>0</v>
      </c>
      <c r="M3" s="310">
        <f>SUM(M6:M1048576)</f>
        <v>0</v>
      </c>
      <c r="N3" s="307">
        <f>IF(SUM($J3:$M3)=0,"",J3/SUM($J3:$M3))</f>
        <v>0.96153846153846156</v>
      </c>
      <c r="O3" s="305">
        <f t="shared" ref="O3:Q3" si="1">IF(SUM($J3:$M3)=0,"",K3/SUM($J3:$M3))</f>
        <v>3.8461538461538464E-2</v>
      </c>
      <c r="P3" s="305">
        <f t="shared" si="1"/>
        <v>0</v>
      </c>
      <c r="Q3" s="306">
        <f t="shared" si="1"/>
        <v>0</v>
      </c>
    </row>
    <row r="4" spans="1:17" ht="14.4" customHeight="1" thickBot="1" x14ac:dyDescent="0.35">
      <c r="A4" s="303"/>
      <c r="B4" s="398" t="s">
        <v>233</v>
      </c>
      <c r="C4" s="399"/>
      <c r="D4" s="399"/>
      <c r="E4" s="400"/>
      <c r="F4" s="395" t="s">
        <v>238</v>
      </c>
      <c r="G4" s="396"/>
      <c r="H4" s="396"/>
      <c r="I4" s="397"/>
      <c r="J4" s="398" t="s">
        <v>239</v>
      </c>
      <c r="K4" s="399"/>
      <c r="L4" s="399"/>
      <c r="M4" s="400"/>
      <c r="N4" s="395" t="s">
        <v>240</v>
      </c>
      <c r="O4" s="396"/>
      <c r="P4" s="396"/>
      <c r="Q4" s="397"/>
    </row>
    <row r="5" spans="1:17" ht="14.4" customHeight="1" thickBot="1" x14ac:dyDescent="0.35">
      <c r="A5" s="497" t="s">
        <v>232</v>
      </c>
      <c r="B5" s="498" t="s">
        <v>234</v>
      </c>
      <c r="C5" s="498" t="s">
        <v>235</v>
      </c>
      <c r="D5" s="498" t="s">
        <v>236</v>
      </c>
      <c r="E5" s="499" t="s">
        <v>237</v>
      </c>
      <c r="F5" s="500" t="s">
        <v>234</v>
      </c>
      <c r="G5" s="501" t="s">
        <v>235</v>
      </c>
      <c r="H5" s="501" t="s">
        <v>236</v>
      </c>
      <c r="I5" s="502" t="s">
        <v>237</v>
      </c>
      <c r="J5" s="498" t="s">
        <v>234</v>
      </c>
      <c r="K5" s="498" t="s">
        <v>235</v>
      </c>
      <c r="L5" s="498" t="s">
        <v>236</v>
      </c>
      <c r="M5" s="499" t="s">
        <v>237</v>
      </c>
      <c r="N5" s="500" t="s">
        <v>234</v>
      </c>
      <c r="O5" s="501" t="s">
        <v>235</v>
      </c>
      <c r="P5" s="501" t="s">
        <v>236</v>
      </c>
      <c r="Q5" s="502" t="s">
        <v>237</v>
      </c>
    </row>
    <row r="6" spans="1:17" ht="14.4" customHeight="1" x14ac:dyDescent="0.3">
      <c r="A6" s="507" t="s">
        <v>613</v>
      </c>
      <c r="B6" s="511"/>
      <c r="C6" s="483"/>
      <c r="D6" s="483"/>
      <c r="E6" s="484"/>
      <c r="F6" s="509"/>
      <c r="G6" s="503"/>
      <c r="H6" s="503"/>
      <c r="I6" s="513"/>
      <c r="J6" s="511"/>
      <c r="K6" s="483"/>
      <c r="L6" s="483"/>
      <c r="M6" s="484"/>
      <c r="N6" s="509"/>
      <c r="O6" s="503"/>
      <c r="P6" s="503"/>
      <c r="Q6" s="504"/>
    </row>
    <row r="7" spans="1:17" ht="14.4" customHeight="1" thickBot="1" x14ac:dyDescent="0.35">
      <c r="A7" s="508" t="s">
        <v>614</v>
      </c>
      <c r="B7" s="512">
        <v>77</v>
      </c>
      <c r="C7" s="495">
        <v>1</v>
      </c>
      <c r="D7" s="495"/>
      <c r="E7" s="496"/>
      <c r="F7" s="510">
        <v>0.98717948717948723</v>
      </c>
      <c r="G7" s="505">
        <v>1.282051282051282E-2</v>
      </c>
      <c r="H7" s="505">
        <v>0</v>
      </c>
      <c r="I7" s="514">
        <v>0</v>
      </c>
      <c r="J7" s="512">
        <v>25</v>
      </c>
      <c r="K7" s="495">
        <v>1</v>
      </c>
      <c r="L7" s="495"/>
      <c r="M7" s="496"/>
      <c r="N7" s="510">
        <v>0.96153846153846156</v>
      </c>
      <c r="O7" s="505">
        <v>3.8461538461538464E-2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2017-03-31T13:17:22Z</dcterms:modified>
</cp:coreProperties>
</file>