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Materiál Žádanky" sheetId="402" r:id="rId9"/>
    <sheet name="MŽ Detail" sheetId="403" r:id="rId10"/>
    <sheet name="ZV Vykáz.-A" sheetId="344" r:id="rId11"/>
    <sheet name="ZV Vykáz.-A Detail" sheetId="345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8" hidden="1">'Materiál Žádanky'!$A$3:$G$3</definedName>
    <definedName name="_xlnm._FilterDatabase" localSheetId="9" hidden="1">'MŽ Detail'!$A$4:$K$4</definedName>
    <definedName name="_xlnm._FilterDatabase" localSheetId="11" hidden="1">'ZV Vykáz.-A Detail'!$A$5:$P$5</definedName>
    <definedName name="_xlnm._FilterDatabase" localSheetId="13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6" i="414" s="1"/>
  <c r="A17" i="414"/>
  <c r="A16" i="414"/>
  <c r="A11" i="414"/>
  <c r="A7" i="414"/>
  <c r="A18" i="414"/>
  <c r="A15" i="414"/>
  <c r="A12" i="414"/>
  <c r="A14" i="414"/>
  <c r="A4" i="414"/>
  <c r="C12" i="414"/>
  <c r="D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7" i="414" l="1"/>
  <c r="E16" i="414"/>
  <c r="E11" i="414"/>
  <c r="E7" i="414"/>
  <c r="D4" i="414"/>
  <c r="C4" i="414"/>
  <c r="E4" i="414" l="1"/>
  <c r="D15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G5" i="339" l="1"/>
  <c r="G6" i="339"/>
  <c r="G7" i="339"/>
  <c r="G8" i="339"/>
  <c r="G9" i="339"/>
  <c r="A11" i="383"/>
  <c r="A4" i="383"/>
  <c r="A20" i="383"/>
  <c r="A19" i="383"/>
  <c r="A18" i="383"/>
  <c r="A17" i="383"/>
  <c r="A14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5" i="414"/>
  <c r="D14" i="414"/>
  <c r="E18" i="414" l="1"/>
  <c r="E15" i="414"/>
  <c r="G11" i="339"/>
  <c r="C6" i="340"/>
  <c r="C4" i="340" s="1"/>
  <c r="B4" i="340"/>
  <c r="F13" i="339"/>
  <c r="F15" i="339" s="1"/>
  <c r="G12" i="339"/>
  <c r="C14" i="414"/>
  <c r="B13" i="340" l="1"/>
  <c r="B12" i="340"/>
  <c r="D6" i="340"/>
  <c r="E14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<sst xmlns="http://schemas.openxmlformats.org/spreadsheetml/2006/main" count="890" uniqueCount="370">
  <si>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</si>
  <si>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</si>
  <si>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</si>
  <si>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</si>
  <si>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</si>
  <si>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</si>
  <si>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</si>
  <si>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</si>
  <si>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</si>
  <si>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</si>
  <si>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</si>
  <si>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</si>
  <si>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</si>
  <si>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</si>
  <si>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</si>
  <si>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</si>
  <si>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</si>
  <si>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</si>
  <si>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</si>
  <si>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</si>
  <si>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</si>
  <si>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</si>
  <si>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</si>
  <si>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</si>
  <si>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</si>
  <si>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</si>
  <si>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</si>
  <si>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</si>
  <si>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</si>
  <si>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</si>
  <si>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</si>
  <si>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</si>
  <si>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</si>
  <si>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</si>
  <si>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</si>
  <si>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</si>
  <si>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</si>
  <si>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</si>
  <si>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</si>
  <si>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</si>
  <si>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</si>
  <si>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</si>
  <si>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</si>
  <si>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</si>
  <si>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</si>
  <si>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</si>
  <si>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</si>
  <si>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</si>
  <si>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</si>
  <si>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</si>
  <si>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</si>
  <si>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</si>
  <si>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</si>
  <si>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</si>
  <si>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</si>
  <si>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</si>
  <si>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</si>
  <si>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</si>
  <si>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</si>
  <si>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</si>
  <si>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</si>
  <si>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</si>
  <si>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</si>
  <si>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</si>
  <si>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</si>
  <si>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</si>
  <si>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</si>
  <si>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</si>
  <si>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</si>
  <si>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</si>
  <si>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</si>
  <si>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</si>
  <si>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</si>
  <si>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</si>
  <si>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</si>
  <si>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</si>
  <si>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</si>
  <si>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</si>
  <si>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</si>
  <si>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</si>
  <si>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</si>
  <si>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</si>
  <si>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</si>
  <si>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</si>
  <si>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</si>
  <si>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</si>
  <si>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</si>
  <si>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</si>
  <si>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</si>
  <si>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</si>
  <si>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</si>
  <si>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</si>
  <si>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</si>
  <si>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</si>
  <si>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</si>
  <si>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</si>
  <si>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</si>
  <si>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</si>
  <si>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</si>
  <si>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</si>
  <si>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</si>
  <si>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</si>
  <si>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</si>
  <si>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</si>
  <si>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</si>
  <si>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</si>
  <si>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</si>
  <si>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</si>
  <si>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</si>
  <si>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</si>
  <si>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</si>
  <si>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</si>
  <si>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</si>
  <si>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</si>
  <si>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</si>
  <si>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</si>
  <si>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</si>
  <si>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</si>
  <si>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</si>
  <si>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</si>
  <si>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</si>
  <si>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</si>
  <si>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</si>
  <si>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</si>
  <si>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</si>
  <si>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</si>
  <si>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</si>
  <si>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</si>
  <si>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</si>
  <si>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</si>
  <si>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</si>
  <si>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</si>
  <si>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</si>
  <si>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</si>
  <si>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</si>
  <si>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</si>
  <si>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</si>
  <si>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</si>
  <si>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</si>
  <si>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</si>
  <si>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</si>
  <si>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</si>
  <si>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</si>
  <si>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</si>
  <si>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</si>
  <si>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</si>
  <si>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</si>
  <si>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</si>
  <si>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</si>
  <si>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</si>
  <si>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</si>
  <si>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</si>
  <si>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</si>
  <si>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</si>
  <si>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</si>
  <si>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klinické logopedie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</si>
  <si>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</si>
  <si>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</si>
  <si>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</si>
  <si>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</si>
  <si>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</si>
  <si>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</si>
  <si>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</si>
  <si>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</si>
  <si>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</si>
  <si>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50115050     obvazový materiál (sk.Z_502)</t>
  </si>
  <si>
    <t>50115060     ostatní ZPr - mimo níže uvedené (sk.Z_503)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</si>
  <si>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</si>
  <si>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</si>
  <si>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</si>
  <si>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</si>
  <si>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</si>
  <si>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</si>
  <si>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</si>
  <si>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</si>
  <si>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</si>
  <si>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</si>
  <si>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</si>
  <si>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</si>
  <si>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</si>
  <si>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</si>
  <si>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</si>
  <si>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</si>
  <si>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</si>
  <si>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</si>
  <si>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</si>
  <si>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</si>
  <si>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</si>
  <si>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</si>
  <si>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</si>
  <si>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</si>
  <si>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</si>
  <si>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</si>
  <si>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</si>
  <si>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</si>
  <si>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</si>
  <si>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</si>
  <si>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</si>
  <si>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</si>
  <si>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</si>
  <si>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</si>
  <si>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</si>
  <si>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</si>
  <si>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</si>
  <si>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</si>
  <si>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</si>
  <si>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</si>
  <si>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</si>
  <si>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</si>
  <si>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</si>
  <si>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</si>
  <si>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</si>
  <si>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</si>
  <si>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</si>
  <si>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</si>
  <si>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</si>
  <si>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</si>
  <si>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</si>
  <si>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</si>
  <si>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</si>
  <si>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</si>
  <si>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</si>
  <si>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</si>
  <si>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</si>
  <si>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</si>
  <si>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</si>
  <si>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</si>
  <si>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</si>
  <si>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</si>
  <si>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55802     DDHM - provozní</t>
  </si>
  <si>
    <t>55802002     DDHM - ostatní provozní technika (sk.V_35)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</si>
  <si>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</si>
  <si>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</si>
  <si>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</si>
  <si>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</si>
  <si>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</si>
  <si>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</si>
  <si>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</si>
  <si>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</si>
  <si>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</si>
  <si>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</si>
  <si>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</si>
  <si>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</si>
  <si>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</si>
  <si>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</si>
  <si>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</si>
  <si>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</si>
  <si>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</si>
  <si>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</si>
  <si>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</si>
  <si>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</si>
  <si>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</si>
  <si>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</si>
  <si>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64804125     čerp. FRM - opravy budov OSB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</si>
  <si>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</si>
  <si>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</si>
  <si>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</si>
  <si>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</si>
  <si>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</si>
  <si>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</si>
  <si>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</si>
  <si>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</si>
  <si>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</si>
  <si>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</si>
  <si>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</si>
  <si>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</si>
  <si>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</si>
  <si>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</si>
  <si>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</si>
  <si>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</si>
  <si>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</si>
  <si>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36</t>
  </si>
  <si>
    <t/>
  </si>
  <si>
    <t>Oddělení klinické logopedie</t>
  </si>
  <si>
    <t>50113001</t>
  </si>
  <si>
    <t>Lékárna - léčiva</t>
  </si>
  <si>
    <t>SumaKL</t>
  </si>
  <si>
    <t>3621</t>
  </si>
  <si>
    <t>Oddělení klinické logopedie, ambulance</t>
  </si>
  <si>
    <t>SumaNS</t>
  </si>
  <si>
    <t>mezeraNS</t>
  </si>
  <si>
    <t>O</t>
  </si>
  <si>
    <t>142770</t>
  </si>
  <si>
    <t>42770</t>
  </si>
  <si>
    <t>PARALEN EXTRA PROTI BOLESTI</t>
  </si>
  <si>
    <t>POR TBL FLM 12</t>
  </si>
  <si>
    <t>145310</t>
  </si>
  <si>
    <t>45310</t>
  </si>
  <si>
    <t>ANACID</t>
  </si>
  <si>
    <t>SUS 12X5ML(SACKY)</t>
  </si>
  <si>
    <t>300813</t>
  </si>
  <si>
    <t>813</t>
  </si>
  <si>
    <t>OBINADLO HYDROFILNI PLETENE STE</t>
  </si>
  <si>
    <t>RILNI 8X 5</t>
  </si>
  <si>
    <t>500565</t>
  </si>
  <si>
    <t>0</t>
  </si>
  <si>
    <t>Spofaplast Náplast kusová text.166</t>
  </si>
  <si>
    <t>76x51mm/3ks</t>
  </si>
  <si>
    <t>500568</t>
  </si>
  <si>
    <t>Spofaplast Náplast kusová text.156</t>
  </si>
  <si>
    <t>72x19mm/5ks</t>
  </si>
  <si>
    <t>159622</t>
  </si>
  <si>
    <t>59622</t>
  </si>
  <si>
    <t>AJATIN PROFAR.TINKT.+MECH.ROZP.</t>
  </si>
  <si>
    <t>TCT 1X25ML+ROZPR.</t>
  </si>
  <si>
    <t>204732</t>
  </si>
  <si>
    <t>4732</t>
  </si>
  <si>
    <t>NÁPLAST OMNIFILM 2,5cmX5m</t>
  </si>
  <si>
    <t>57338</t>
  </si>
  <si>
    <t>CARBO MEDICINALIS</t>
  </si>
  <si>
    <t>POR TBL NOB 20X300MG</t>
  </si>
  <si>
    <t>200365</t>
  </si>
  <si>
    <t>365</t>
  </si>
  <si>
    <t>GÁZA HYDROFILNÍ SKLÁDANÁ STERILNÍ</t>
  </si>
  <si>
    <t>10X5CM,48 VRSTEV,5KS</t>
  </si>
  <si>
    <t>50115060</t>
  </si>
  <si>
    <t>503 SZM ostatní zdravotnický (112 02 100)</t>
  </si>
  <si>
    <t>ZA728</t>
  </si>
  <si>
    <t>Lopatka lékařská nesterilní 16-0001</t>
  </si>
  <si>
    <t xml:space="preserve">903 - Pracoviště klinické logopedie                     </t>
  </si>
  <si>
    <t>903</t>
  </si>
  <si>
    <t>V</t>
  </si>
  <si>
    <t xml:space="preserve">09543  </t>
  </si>
  <si>
    <t>REGULAČNÍ POPLATEK ZA NÁVŠTĚVU -- POPLATEK UHRAZEN</t>
  </si>
  <si>
    <t xml:space="preserve">72015  </t>
  </si>
  <si>
    <t xml:space="preserve">KOMPLEXNÍ VYŠETŘENÍ KLINICKÝM LOGOPEDEM           </t>
  </si>
  <si>
    <t xml:space="preserve">72019  </t>
  </si>
  <si>
    <t>LOGOPEDICKÁ DIAGNOSTIKA DOPLŇUJÍCÍ KOMPLEXNÍ A KON</t>
  </si>
  <si>
    <t xml:space="preserve">72213  </t>
  </si>
  <si>
    <t>LOGOPEDICKÁ TERAPIE ZVLÁŠTĚ NÁROČNÁ  U DĚTÍ, DOROS</t>
  </si>
  <si>
    <t xml:space="preserve">72016  </t>
  </si>
  <si>
    <t xml:space="preserve">CÍLENÉ VYŠETŘENÍ KLINICKÝM LOGOPEDEM              </t>
  </si>
  <si>
    <t xml:space="preserve">72215  </t>
  </si>
  <si>
    <t>LOGOPEDICKÁ TERAPIE STŘEDNĚ NÁROČNÁ PROVÁDĚNÁ KLIN</t>
  </si>
  <si>
    <t xml:space="preserve">72211  </t>
  </si>
  <si>
    <t>LOGOPEDICKÁ TERAPIE VAD A PORUCH ŘEČI PROVÁDĚNÁ KL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</si>
  <si>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</si>
  <si>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</si>
  <si>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</si>
  <si>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</si>
  <si>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</si>
  <si>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</si>
  <si>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</si>
  <si>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13 - OTOLARYNGOLOGICKÁ KLINIKA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</si>
  <si>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</si>
  <si>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</si>
  <si>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21 - ONKOLOGICKÁ KLINIKA                                                             </t>
  </si>
  <si>
    <t xml:space="preserve">26 - ODDĚLENÍ REHABILITACE                                                           </t>
  </si>
  <si>
    <t xml:space="preserve">30 - ODDĚLENÍ GERIATRIE      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</si>
  <si>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</si>
  <si>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</si>
  <si>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</si>
  <si>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</si>
  <si>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 xml:space="preserve">72017  </t>
  </si>
  <si>
    <t xml:space="preserve">KONTROLNÍ VYŠETŘENÍ KLINICKÝM LOGOPEDEM           </t>
  </si>
  <si>
    <t>02</t>
  </si>
  <si>
    <t>03</t>
  </si>
  <si>
    <t>05</t>
  </si>
  <si>
    <t>06</t>
  </si>
  <si>
    <t>10</t>
  </si>
  <si>
    <t>11</t>
  </si>
  <si>
    <t>13</t>
  </si>
  <si>
    <t>16</t>
  </si>
  <si>
    <t>17</t>
  </si>
  <si>
    <t>21</t>
  </si>
  <si>
    <t>26</t>
  </si>
  <si>
    <t>30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</si>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</sst>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46">
    <xf numFmtId="0" fontId="0" fillId="0" borderId="0" xfId="0"/>
    <xf numFmtId="0" fontId="30" fillId="2" borderId="16" xfId="80" applyFont="1" applyFill="1" applyBorder="1"/>
    <xf numFmtId="0" fontId="31" fillId="2" borderId="17" xfId="80" applyFont="1" applyFill="1" applyBorder="1"/>
    <xf numFmtId="3" fontId="31" fillId="2" borderId="18" xfId="80" applyNumberFormat="1" applyFont="1" applyFill="1" applyBorder="1"/>
    <xf numFmtId="10" fontId="31" fillId="2" borderId="19" xfId="80" applyNumberFormat="1" applyFont="1" applyFill="1" applyBorder="1"/>
    <xf numFmtId="0" fontId="31" fillId="4" borderId="17" xfId="80" applyFont="1" applyFill="1" applyBorder="1"/>
    <xf numFmtId="3" fontId="31" fillId="4" borderId="18" xfId="80" applyNumberFormat="1" applyFont="1" applyFill="1" applyBorder="1"/>
    <xf numFmtId="10" fontId="31" fillId="4" borderId="19" xfId="80" applyNumberFormat="1" applyFont="1" applyFill="1" applyBorder="1"/>
    <xf numFmtId="172" fontId="31" fillId="3" borderId="18" xfId="80" applyNumberFormat="1" applyFont="1" applyFill="1" applyBorder="1"/>
    <xf numFmtId="10" fontId="31" fillId="3" borderId="19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80" applyNumberFormat="1" applyFont="1" applyFill="1" applyBorder="1"/>
    <xf numFmtId="10" fontId="30" fillId="5" borderId="24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2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8" xfId="80" applyNumberFormat="1" applyFont="1" applyFill="1" applyBorder="1"/>
    <xf numFmtId="3" fontId="30" fillId="5" borderId="24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6" xfId="80" applyNumberFormat="1" applyFont="1" applyFill="1" applyBorder="1"/>
    <xf numFmtId="3" fontId="31" fillId="2" borderId="19" xfId="80" applyNumberFormat="1" applyFont="1" applyFill="1" applyBorder="1"/>
    <xf numFmtId="3" fontId="31" fillId="4" borderId="26" xfId="80" applyNumberFormat="1" applyFont="1" applyFill="1" applyBorder="1"/>
    <xf numFmtId="3" fontId="31" fillId="4" borderId="19" xfId="80" applyNumberFormat="1" applyFont="1" applyFill="1" applyBorder="1"/>
    <xf numFmtId="172" fontId="31" fillId="3" borderId="26" xfId="80" applyNumberFormat="1" applyFont="1" applyFill="1" applyBorder="1"/>
    <xf numFmtId="172" fontId="31" fillId="3" borderId="19" xfId="80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24" xfId="80" applyFont="1" applyFill="1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5" xfId="0" applyFont="1" applyFill="1" applyBorder="1" applyAlignment="1"/>
    <xf numFmtId="0" fontId="42" fillId="0" borderId="0" xfId="0" applyFont="1" applyFill="1" applyBorder="1" applyAlignment="1"/>
    <xf numFmtId="0" fontId="34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7" fillId="0" borderId="0" xfId="80" applyFill="1"/>
    <xf numFmtId="0" fontId="8" fillId="0" borderId="35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1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5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37" xfId="0" applyFont="1" applyFill="1" applyBorder="1" applyAlignment="1"/>
    <xf numFmtId="165" fontId="3" fillId="0" borderId="51" xfId="53" applyNumberFormat="1" applyFont="1" applyFill="1" applyBorder="1"/>
    <xf numFmtId="9" fontId="3" fillId="0" borderId="51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4" fillId="0" borderId="0" xfId="0" applyFont="1" applyFill="1" applyBorder="1" applyAlignment="1"/>
    <xf numFmtId="0" fontId="34" fillId="0" borderId="29" xfId="0" applyFont="1" applyFill="1" applyBorder="1" applyAlignment="1"/>
    <xf numFmtId="0" fontId="34" fillId="0" borderId="30" xfId="0" applyFont="1" applyFill="1" applyBorder="1" applyAlignment="1"/>
    <xf numFmtId="0" fontId="34" fillId="0" borderId="46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49" xfId="53" applyFont="1" applyFill="1" applyBorder="1" applyAlignment="1">
      <alignment horizontal="right"/>
    </xf>
    <xf numFmtId="0" fontId="28" fillId="3" borderId="7" xfId="1" applyFill="1" applyBorder="1"/>
    <xf numFmtId="0" fontId="34" fillId="0" borderId="24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4" xfId="1" applyFill="1" applyBorder="1"/>
    <xf numFmtId="0" fontId="34" fillId="5" borderId="21" xfId="0" applyFont="1" applyFill="1" applyBorder="1"/>
    <xf numFmtId="0" fontId="34" fillId="5" borderId="35" xfId="0" applyFont="1" applyFill="1" applyBorder="1"/>
    <xf numFmtId="0" fontId="28" fillId="2" borderId="3" xfId="1" applyFill="1" applyBorder="1"/>
    <xf numFmtId="0" fontId="34" fillId="5" borderId="37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8" xfId="53" applyNumberFormat="1" applyFont="1" applyFill="1" applyBorder="1"/>
    <xf numFmtId="3" fontId="33" fillId="0" borderId="24" xfId="53" applyNumberFormat="1" applyFont="1" applyFill="1" applyBorder="1"/>
    <xf numFmtId="0" fontId="0" fillId="0" borderId="0" xfId="0" applyBorder="1" applyAlignment="1"/>
    <xf numFmtId="165" fontId="33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7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4" fillId="0" borderId="37" xfId="0" applyNumberFormat="1" applyFont="1" applyFill="1" applyBorder="1" applyAlignment="1"/>
    <xf numFmtId="3" fontId="3" fillId="0" borderId="50" xfId="53" applyNumberFormat="1" applyFont="1" applyFill="1" applyBorder="1"/>
    <xf numFmtId="3" fontId="3" fillId="0" borderId="51" xfId="53" applyNumberFormat="1" applyFont="1" applyFill="1" applyBorder="1"/>
    <xf numFmtId="3" fontId="3" fillId="0" borderId="52" xfId="53" applyNumberFormat="1" applyFont="1" applyFill="1" applyBorder="1"/>
    <xf numFmtId="9" fontId="44" fillId="0" borderId="37" xfId="0" applyNumberFormat="1" applyFont="1" applyFill="1" applyBorder="1" applyAlignment="1"/>
    <xf numFmtId="0" fontId="33" fillId="2" borderId="37" xfId="0" applyNumberFormat="1" applyFont="1" applyFill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40" xfId="0" applyNumberFormat="1" applyFont="1" applyFill="1" applyBorder="1"/>
    <xf numFmtId="3" fontId="27" fillId="2" borderId="41" xfId="0" applyNumberFormat="1" applyFont="1" applyFill="1" applyBorder="1"/>
    <xf numFmtId="9" fontId="27" fillId="2" borderId="45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7" fillId="2" borderId="42" xfId="0" applyFont="1" applyFill="1" applyBorder="1" applyAlignment="1"/>
    <xf numFmtId="0" fontId="27" fillId="2" borderId="33" xfId="0" applyFont="1" applyFill="1" applyBorder="1" applyAlignment="1">
      <alignment horizontal="left" indent="2"/>
    </xf>
    <xf numFmtId="0" fontId="27" fillId="4" borderId="34" xfId="0" applyFont="1" applyFill="1" applyBorder="1" applyAlignment="1">
      <alignment horizontal="left" indent="2"/>
    </xf>
    <xf numFmtId="0" fontId="27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7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8" fillId="2" borderId="16" xfId="1" applyFill="1" applyBorder="1"/>
    <xf numFmtId="0" fontId="28" fillId="0" borderId="0" xfId="1" applyFill="1"/>
    <xf numFmtId="0" fontId="28" fillId="4" borderId="32" xfId="1" applyFill="1" applyBorder="1"/>
    <xf numFmtId="0" fontId="28" fillId="4" borderId="16" xfId="1" applyFill="1" applyBorder="1"/>
    <xf numFmtId="0" fontId="28" fillId="2" borderId="33" xfId="1" applyFill="1" applyBorder="1" applyAlignment="1">
      <alignment horizontal="left" indent="2"/>
    </xf>
    <xf numFmtId="0" fontId="28" fillId="2" borderId="33" xfId="1" applyFill="1" applyBorder="1" applyAlignment="1">
      <alignment horizontal="left" indent="4"/>
    </xf>
    <xf numFmtId="0" fontId="28" fillId="4" borderId="33" xfId="1" applyFill="1" applyBorder="1" applyAlignment="1">
      <alignment horizontal="left" indent="2"/>
    </xf>
    <xf numFmtId="0" fontId="51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52" fillId="3" borderId="17" xfId="1" applyFont="1" applyFill="1" applyBorder="1"/>
    <xf numFmtId="0" fontId="52" fillId="2" borderId="33" xfId="1" applyFont="1" applyFill="1" applyBorder="1" applyAlignment="1"/>
    <xf numFmtId="0" fontId="52" fillId="4" borderId="17" xfId="1" applyFont="1" applyFill="1" applyBorder="1" applyAlignment="1">
      <alignment horizontal="left"/>
    </xf>
    <xf numFmtId="0" fontId="52" fillId="2" borderId="17" xfId="1" applyFont="1" applyFill="1" applyBorder="1" applyAlignment="1"/>
    <xf numFmtId="0" fontId="52" fillId="4" borderId="42" xfId="1" applyFont="1" applyFill="1" applyBorder="1" applyAlignment="1">
      <alignment horizontal="left"/>
    </xf>
    <xf numFmtId="0" fontId="52" fillId="4" borderId="33" xfId="1" applyFont="1" applyFill="1" applyBorder="1" applyAlignment="1">
      <alignment horizontal="left"/>
    </xf>
    <xf numFmtId="0" fontId="27" fillId="2" borderId="25" xfId="0" applyFont="1" applyFill="1" applyBorder="1" applyAlignment="1">
      <alignment horizontal="right"/>
    </xf>
    <xf numFmtId="170" fontId="27" fillId="0" borderId="18" xfId="0" applyNumberFormat="1" applyFont="1" applyFill="1" applyBorder="1" applyAlignment="1"/>
    <xf numFmtId="170" fontId="27" fillId="0" borderId="26" xfId="0" applyNumberFormat="1" applyFont="1" applyFill="1" applyBorder="1" applyAlignment="1"/>
    <xf numFmtId="9" fontId="27" fillId="0" borderId="39" xfId="0" applyNumberFormat="1" applyFont="1" applyFill="1" applyBorder="1" applyAlignment="1"/>
    <xf numFmtId="9" fontId="27" fillId="0" borderId="19" xfId="0" applyNumberFormat="1" applyFont="1" applyFill="1" applyBorder="1" applyAlignment="1"/>
    <xf numFmtId="170" fontId="27" fillId="0" borderId="27" xfId="0" applyNumberFormat="1" applyFont="1" applyFill="1" applyBorder="1" applyAlignment="1"/>
    <xf numFmtId="0" fontId="41" fillId="3" borderId="25" xfId="0" applyFont="1" applyFill="1" applyBorder="1" applyAlignment="1"/>
    <xf numFmtId="0" fontId="0" fillId="0" borderId="36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5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3" xfId="53" applyNumberFormat="1" applyFont="1" applyFill="1" applyBorder="1" applyAlignment="1">
      <alignment horizontal="right"/>
    </xf>
    <xf numFmtId="165" fontId="32" fillId="2" borderId="28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7" fillId="2" borderId="45" xfId="0" applyFont="1" applyFill="1" applyBorder="1" applyAlignment="1">
      <alignment vertical="center"/>
    </xf>
    <xf numFmtId="3" fontId="33" fillId="2" borderId="47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8" xfId="26" applyNumberFormat="1" applyFont="1" applyFill="1" applyBorder="1" applyAlignment="1">
      <alignment horizontal="center"/>
    </xf>
    <xf numFmtId="3" fontId="33" fillId="2" borderId="38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0" fontId="33" fillId="2" borderId="47" xfId="0" quotePrefix="1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9" fontId="49" fillId="2" borderId="38" xfId="0" applyNumberFormat="1" applyFont="1" applyFill="1" applyBorder="1" applyAlignment="1">
      <alignment horizontal="center" vertical="top"/>
    </xf>
    <xf numFmtId="0" fontId="33" fillId="2" borderId="47" xfId="0" quotePrefix="1" applyNumberFormat="1" applyFont="1" applyFill="1" applyBorder="1" applyAlignment="1">
      <alignment horizontal="center"/>
    </xf>
    <xf numFmtId="0" fontId="33" fillId="2" borderId="38" xfId="0" applyNumberFormat="1" applyFont="1" applyFill="1" applyBorder="1" applyAlignment="1">
      <alignment horizontal="center"/>
    </xf>
    <xf numFmtId="0" fontId="49" fillId="2" borderId="38" xfId="0" applyNumberFormat="1" applyFont="1" applyFill="1" applyBorder="1" applyAlignment="1">
      <alignment horizontal="center" vertical="top"/>
    </xf>
    <xf numFmtId="0" fontId="53" fillId="0" borderId="0" xfId="1" applyFont="1" applyFill="1"/>
    <xf numFmtId="3" fontId="35" fillId="7" borderId="54" xfId="0" applyNumberFormat="1" applyFont="1" applyFill="1" applyBorder="1" applyAlignment="1">
      <alignment horizontal="right" vertical="top"/>
    </xf>
    <xf numFmtId="3" fontId="35" fillId="7" borderId="55" xfId="0" applyNumberFormat="1" applyFont="1" applyFill="1" applyBorder="1" applyAlignment="1">
      <alignment horizontal="right" vertical="top"/>
    </xf>
    <xf numFmtId="174" fontId="35" fillId="7" borderId="56" xfId="0" applyNumberFormat="1" applyFont="1" applyFill="1" applyBorder="1" applyAlignment="1">
      <alignment horizontal="right" vertical="top"/>
    </xf>
    <xf numFmtId="3" fontId="35" fillId="0" borderId="54" xfId="0" applyNumberFormat="1" applyFont="1" applyBorder="1" applyAlignment="1">
      <alignment horizontal="right" vertical="top"/>
    </xf>
    <xf numFmtId="174" fontId="35" fillId="7" borderId="57" xfId="0" applyNumberFormat="1" applyFont="1" applyFill="1" applyBorder="1" applyAlignment="1">
      <alignment horizontal="right" vertical="top"/>
    </xf>
    <xf numFmtId="3" fontId="37" fillId="7" borderId="59" xfId="0" applyNumberFormat="1" applyFont="1" applyFill="1" applyBorder="1" applyAlignment="1">
      <alignment horizontal="right" vertical="top"/>
    </xf>
    <xf numFmtId="3" fontId="37" fillId="7" borderId="60" xfId="0" applyNumberFormat="1" applyFont="1" applyFill="1" applyBorder="1" applyAlignment="1">
      <alignment horizontal="right" vertical="top"/>
    </xf>
    <xf numFmtId="0" fontId="37" fillId="7" borderId="61" xfId="0" applyFont="1" applyFill="1" applyBorder="1" applyAlignment="1">
      <alignment horizontal="right" vertical="top"/>
    </xf>
    <xf numFmtId="3" fontId="37" fillId="0" borderId="59" xfId="0" applyNumberFormat="1" applyFont="1" applyBorder="1" applyAlignment="1">
      <alignment horizontal="right" vertical="top"/>
    </xf>
    <xf numFmtId="0" fontId="37" fillId="7" borderId="62" xfId="0" applyFont="1" applyFill="1" applyBorder="1" applyAlignment="1">
      <alignment horizontal="right" vertical="top"/>
    </xf>
    <xf numFmtId="0" fontId="35" fillId="7" borderId="56" xfId="0" applyFont="1" applyFill="1" applyBorder="1" applyAlignment="1">
      <alignment horizontal="right" vertical="top"/>
    </xf>
    <xf numFmtId="0" fontId="35" fillId="7" borderId="57" xfId="0" applyFont="1" applyFill="1" applyBorder="1" applyAlignment="1">
      <alignment horizontal="right" vertical="top"/>
    </xf>
    <xf numFmtId="174" fontId="37" fillId="7" borderId="61" xfId="0" applyNumberFormat="1" applyFont="1" applyFill="1" applyBorder="1" applyAlignment="1">
      <alignment horizontal="right" vertical="top"/>
    </xf>
    <xf numFmtId="174" fontId="37" fillId="7" borderId="62" xfId="0" applyNumberFormat="1" applyFont="1" applyFill="1" applyBorder="1" applyAlignment="1">
      <alignment horizontal="right" vertical="top"/>
    </xf>
    <xf numFmtId="3" fontId="37" fillId="0" borderId="63" xfId="0" applyNumberFormat="1" applyFont="1" applyBorder="1" applyAlignment="1">
      <alignment horizontal="right" vertical="top"/>
    </xf>
    <xf numFmtId="3" fontId="37" fillId="0" borderId="64" xfId="0" applyNumberFormat="1" applyFont="1" applyBorder="1" applyAlignment="1">
      <alignment horizontal="right" vertical="top"/>
    </xf>
    <xf numFmtId="3" fontId="37" fillId="0" borderId="65" xfId="0" applyNumberFormat="1" applyFont="1" applyBorder="1" applyAlignment="1">
      <alignment horizontal="right" vertical="top"/>
    </xf>
    <xf numFmtId="174" fontId="37" fillId="7" borderId="66" xfId="0" applyNumberFormat="1" applyFont="1" applyFill="1" applyBorder="1" applyAlignment="1">
      <alignment horizontal="right" vertical="top"/>
    </xf>
    <xf numFmtId="0" fontId="39" fillId="8" borderId="53" xfId="0" applyFont="1" applyFill="1" applyBorder="1" applyAlignment="1">
      <alignment vertical="top"/>
    </xf>
    <xf numFmtId="0" fontId="39" fillId="8" borderId="53" xfId="0" applyFont="1" applyFill="1" applyBorder="1" applyAlignment="1">
      <alignment vertical="top" indent="2"/>
    </xf>
    <xf numFmtId="0" fontId="39" fillId="8" borderId="53" xfId="0" applyFont="1" applyFill="1" applyBorder="1" applyAlignment="1">
      <alignment vertical="top" indent="4"/>
    </xf>
    <xf numFmtId="0" fontId="40" fillId="8" borderId="58" xfId="0" applyFont="1" applyFill="1" applyBorder="1" applyAlignment="1">
      <alignment vertical="top" indent="6"/>
    </xf>
    <xf numFmtId="0" fontId="39" fillId="8" borderId="53" xfId="0" applyFont="1" applyFill="1" applyBorder="1" applyAlignment="1">
      <alignment vertical="top" indent="8"/>
    </xf>
    <xf numFmtId="0" fontId="40" fillId="8" borderId="58" xfId="0" applyFont="1" applyFill="1" applyBorder="1" applyAlignment="1">
      <alignment vertical="top" indent="2"/>
    </xf>
    <xf numFmtId="0" fontId="40" fillId="8" borderId="58" xfId="0" applyFont="1" applyFill="1" applyBorder="1" applyAlignment="1">
      <alignment vertical="top" indent="4"/>
    </xf>
    <xf numFmtId="0" fontId="39" fillId="8" borderId="53" xfId="0" applyFont="1" applyFill="1" applyBorder="1" applyAlignment="1">
      <alignment vertical="top" indent="6"/>
    </xf>
    <xf numFmtId="0" fontId="34" fillId="8" borderId="53" xfId="0" applyFont="1" applyFill="1" applyBorder="1"/>
    <xf numFmtId="0" fontId="40" fillId="8" borderId="17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40" xfId="53" applyNumberFormat="1" applyFont="1" applyFill="1" applyBorder="1" applyAlignment="1">
      <alignment horizontal="left"/>
    </xf>
    <xf numFmtId="165" fontId="33" fillId="2" borderId="41" xfId="53" applyNumberFormat="1" applyFont="1" applyFill="1" applyBorder="1" applyAlignment="1">
      <alignment horizontal="left"/>
    </xf>
    <xf numFmtId="165" fontId="33" fillId="2" borderId="43" xfId="53" applyNumberFormat="1" applyFont="1" applyFill="1" applyBorder="1" applyAlignment="1">
      <alignment horizontal="left"/>
    </xf>
    <xf numFmtId="3" fontId="33" fillId="2" borderId="43" xfId="53" applyNumberFormat="1" applyFont="1" applyFill="1" applyBorder="1" applyAlignment="1">
      <alignment horizontal="left"/>
    </xf>
    <xf numFmtId="3" fontId="33" fillId="2" borderId="48" xfId="53" applyNumberFormat="1" applyFont="1" applyFill="1" applyBorder="1" applyAlignment="1">
      <alignment horizontal="left"/>
    </xf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0" fillId="0" borderId="18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19" xfId="0" applyNumberFormat="1" applyFill="1" applyBorder="1"/>
    <xf numFmtId="0" fontId="0" fillId="2" borderId="48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170" fontId="0" fillId="0" borderId="26" xfId="0" applyNumberFormat="1" applyFill="1" applyBorder="1"/>
    <xf numFmtId="9" fontId="0" fillId="0" borderId="26" xfId="0" applyNumberFormat="1" applyFill="1" applyBorder="1"/>
    <xf numFmtId="9" fontId="0" fillId="0" borderId="19" xfId="0" applyNumberFormat="1" applyFill="1" applyBorder="1"/>
    <xf numFmtId="0" fontId="27" fillId="0" borderId="18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3" fillId="2" borderId="30" xfId="0" applyFont="1" applyFill="1" applyBorder="1" applyAlignment="1">
      <alignment horizontal="center" vertical="top"/>
    </xf>
    <xf numFmtId="49" fontId="33" fillId="2" borderId="30" xfId="0" applyNumberFormat="1" applyFont="1" applyFill="1" applyBorder="1" applyAlignment="1">
      <alignment horizontal="center" vertical="top"/>
    </xf>
    <xf numFmtId="0" fontId="33" fillId="2" borderId="30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9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9" fontId="0" fillId="0" borderId="28" xfId="0" applyNumberFormat="1" applyFill="1" applyBorder="1"/>
    <xf numFmtId="9" fontId="0" fillId="0" borderId="8" xfId="0" applyNumberFormat="1" applyFill="1" applyBorder="1"/>
    <xf numFmtId="9" fontId="0" fillId="0" borderId="22" xfId="0" applyNumberFormat="1" applyFill="1" applyBorder="1"/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9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7" fillId="0" borderId="23" xfId="0" applyFont="1" applyFill="1" applyBorder="1"/>
    <xf numFmtId="0" fontId="27" fillId="0" borderId="7" xfId="0" applyFont="1" applyFill="1" applyBorder="1"/>
    <xf numFmtId="0" fontId="27" fillId="0" borderId="20" xfId="0" applyFont="1" applyFill="1" applyBorder="1"/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9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0.3827352403416639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655872"/>
        <c:axId val="11446581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0.28515732647814906</c:v>
                </c:pt>
                <c:pt idx="1">
                  <c:v>0.28515732647814906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81216"/>
        <c:axId val="1144683520"/>
      </c:scatterChart>
      <c:catAx>
        <c:axId val="114465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465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658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44655872"/>
        <c:crosses val="autoZero"/>
        <c:crossBetween val="between"/>
      </c:valAx>
      <c:valAx>
        <c:axId val="1144681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44683520"/>
        <c:crosses val="max"/>
        <c:crossBetween val="midCat"/>
      </c:valAx>
      <c:valAx>
        <c:axId val="1144683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446812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200" t="s">
        <v>117</v>
      </c>
      <c r="B1" s="201"/>
      <c r="C1" s="55"/>
    </row>
    <row r="2" spans="1:3" ht="14.4" customHeight="1" thickBot="1" x14ac:dyDescent="0.35">
      <c r="A2" s="251" t="s">
        <v>155</v>
      </c>
      <c r="B2" s="57"/>
    </row>
    <row r="3" spans="1:3" ht="14.4" customHeight="1" thickBot="1" x14ac:dyDescent="0.35">
      <c r="A3" s="196" t="s">
        <v>143</v>
      </c>
      <c r="B3" s="197"/>
      <c r="C3" s="55"/>
    </row>
    <row r="4" spans="1:3" ht="14.4" customHeight="1" x14ac:dyDescent="0.3">
      <c r="A4" s="97" t="str">
        <f t="shared" ref="A4:A8" si="0">HYPERLINK("#'"&amp;C4&amp;"'!A1",C4)</f>
        <v>Motivace</v>
      </c>
      <c r="B4" s="98" t="s">
        <v>127</v>
      </c>
      <c r="C4" s="55" t="s">
        <v>128</v>
      </c>
    </row>
    <row r="5" spans="1:3" ht="14.4" customHeight="1" x14ac:dyDescent="0.3">
      <c r="A5" s="99" t="str">
        <f t="shared" si="0"/>
        <v>HI</v>
      </c>
      <c r="B5" s="100" t="s">
        <v>138</v>
      </c>
      <c r="C5" s="58" t="s">
        <v>120</v>
      </c>
    </row>
    <row r="6" spans="1:3" ht="14.4" customHeight="1" x14ac:dyDescent="0.3">
      <c r="A6" s="101" t="str">
        <f t="shared" si="0"/>
        <v>HI Graf</v>
      </c>
      <c r="B6" s="102" t="s">
        <v>114</v>
      </c>
      <c r="C6" s="58" t="s">
        <v>121</v>
      </c>
    </row>
    <row r="7" spans="1:3" ht="14.4" customHeight="1" x14ac:dyDescent="0.3">
      <c r="A7" s="101" t="str">
        <f t="shared" si="0"/>
        <v>Man Tab</v>
      </c>
      <c r="B7" s="102" t="s">
        <v>157</v>
      </c>
      <c r="C7" s="58" t="s">
        <v>122</v>
      </c>
    </row>
    <row r="8" spans="1:3" ht="14.4" customHeight="1" thickBot="1" x14ac:dyDescent="0.35">
      <c r="A8" s="103" t="str">
        <f t="shared" si="0"/>
        <v>HV</v>
      </c>
      <c r="B8" s="104" t="s">
        <v>64</v>
      </c>
      <c r="C8" s="58" t="s">
        <v>75</v>
      </c>
    </row>
    <row r="9" spans="1:3" ht="14.4" customHeight="1" thickBot="1" x14ac:dyDescent="0.35">
      <c r="A9" s="105"/>
      <c r="B9" s="105"/>
    </row>
    <row r="10" spans="1:3" ht="14.4" customHeight="1" thickBot="1" x14ac:dyDescent="0.35">
      <c r="A10" s="198" t="s">
        <v>118</v>
      </c>
      <c r="B10" s="197"/>
      <c r="C10" s="55"/>
    </row>
    <row r="11" spans="1:3" ht="14.4" customHeight="1" x14ac:dyDescent="0.3">
      <c r="A11" s="106" t="str">
        <f t="shared" ref="A11:A14" si="1">HYPERLINK("#'"&amp;C11&amp;"'!A1",C11)</f>
        <v>Léky Žádanky</v>
      </c>
      <c r="B11" s="100" t="s">
        <v>140</v>
      </c>
      <c r="C11" s="58" t="s">
        <v>123</v>
      </c>
    </row>
    <row r="12" spans="1:3" ht="14.4" customHeight="1" x14ac:dyDescent="0.3">
      <c r="A12" s="101" t="str">
        <f t="shared" si="1"/>
        <v>LŽ Detail</v>
      </c>
      <c r="B12" s="102" t="s">
        <v>139</v>
      </c>
      <c r="C12" s="58" t="s">
        <v>124</v>
      </c>
    </row>
    <row r="13" spans="1:3" ht="14.4" customHeight="1" x14ac:dyDescent="0.3">
      <c r="A13" s="106" t="str">
        <f t="shared" si="1"/>
        <v>Materiál Žádanky</v>
      </c>
      <c r="B13" s="102" t="s">
        <v>141</v>
      </c>
      <c r="C13" s="58" t="s">
        <v>125</v>
      </c>
    </row>
    <row r="14" spans="1:3" ht="14.4" customHeight="1" thickBot="1" x14ac:dyDescent="0.35">
      <c r="A14" s="101" t="str">
        <f t="shared" si="1"/>
        <v>MŽ Detail</v>
      </c>
      <c r="B14" s="102" t="s">
        <v>142</v>
      </c>
      <c r="C14" s="58" t="s">
        <v>126</v>
      </c>
    </row>
    <row r="15" spans="1:3" ht="14.4" customHeight="1" thickBot="1" x14ac:dyDescent="0.35">
      <c r="A15" s="107"/>
      <c r="B15" s="107"/>
    </row>
    <row r="16" spans="1:3" ht="14.4" customHeight="1" thickBot="1" x14ac:dyDescent="0.35">
      <c r="A16" s="199" t="s">
        <v>119</v>
      </c>
      <c r="B16" s="197"/>
      <c r="C16" s="55"/>
    </row>
    <row r="17" spans="1:3" ht="14.4" customHeight="1" x14ac:dyDescent="0.3">
      <c r="A17" s="108" t="str">
        <f t="shared" ref="A17:A20" si="2">HYPERLINK("#'"&amp;C17&amp;"'!A1",C17)</f>
        <v>ZV Vykáz.-A</v>
      </c>
      <c r="B17" s="100" t="s">
        <v>133</v>
      </c>
      <c r="C17" s="58" t="s">
        <v>129</v>
      </c>
    </row>
    <row r="18" spans="1:3" ht="14.4" customHeight="1" x14ac:dyDescent="0.3">
      <c r="A18" s="101" t="str">
        <f t="shared" si="2"/>
        <v>ZV Vykáz.-A Detail</v>
      </c>
      <c r="B18" s="102" t="s">
        <v>134</v>
      </c>
      <c r="C18" s="58" t="s">
        <v>130</v>
      </c>
    </row>
    <row r="19" spans="1:3" ht="14.4" customHeight="1" x14ac:dyDescent="0.3">
      <c r="A19" s="101" t="str">
        <f t="shared" si="2"/>
        <v>ZV Vykáz.-H</v>
      </c>
      <c r="B19" s="102" t="s">
        <v>135</v>
      </c>
      <c r="C19" s="58" t="s">
        <v>131</v>
      </c>
    </row>
    <row r="20" spans="1:3" ht="14.4" customHeight="1" thickBot="1" x14ac:dyDescent="0.35">
      <c r="A20" s="101" t="str">
        <f t="shared" si="2"/>
        <v>ZV Vykáz.-H Detail</v>
      </c>
      <c r="B20" s="102" t="s">
        <v>136</v>
      </c>
      <c r="C20" s="58" t="s">
        <v>132</v>
      </c>
    </row>
    <row r="21" spans="1:3" ht="14.4" customHeight="1" x14ac:dyDescent="0.3">
      <c r="A21" s="59"/>
      <c r="B21" s="59"/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234" t="s">
        <v>142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4.4" customHeight="1" thickBot="1" x14ac:dyDescent="0.35">
      <c r="A2" s="251" t="s">
        <v>155</v>
      </c>
      <c r="B2" s="78"/>
      <c r="C2" s="118"/>
      <c r="D2" s="118"/>
      <c r="E2" s="118"/>
      <c r="F2" s="118"/>
      <c r="G2" s="118"/>
      <c r="H2" s="118"/>
      <c r="I2" s="119"/>
      <c r="J2" s="119"/>
      <c r="K2" s="119"/>
    </row>
    <row r="3" spans="1:11" ht="14.4" customHeight="1" thickBot="1" x14ac:dyDescent="0.35">
      <c r="A3" s="78"/>
      <c r="B3" s="78"/>
      <c r="C3" s="230"/>
      <c r="D3" s="231"/>
      <c r="E3" s="231"/>
      <c r="F3" s="231"/>
      <c r="G3" s="231"/>
      <c r="H3" s="123" t="s">
        <v>137</v>
      </c>
      <c r="I3" s="120">
        <f>IF(J3&lt;&gt;0,K3/J3,0)</f>
        <v>0.2</v>
      </c>
      <c r="J3" s="120">
        <f>SUBTOTAL(9,J5:J1048576)</f>
        <v>200</v>
      </c>
      <c r="K3" s="121">
        <f>SUBTOTAL(9,K5:K1048576)</f>
        <v>40</v>
      </c>
    </row>
    <row r="4" spans="1:11" s="79" customFormat="1" ht="14.4" customHeight="1" thickBot="1" x14ac:dyDescent="0.35">
      <c r="A4" s="284" t="s">
        <v>7</v>
      </c>
      <c r="B4" s="285" t="s">
        <v>8</v>
      </c>
      <c r="C4" s="285" t="s">
        <v>0</v>
      </c>
      <c r="D4" s="285" t="s">
        <v>9</v>
      </c>
      <c r="E4" s="285" t="s">
        <v>10</v>
      </c>
      <c r="F4" s="285" t="s">
        <v>2</v>
      </c>
      <c r="G4" s="285" t="s">
        <v>78</v>
      </c>
      <c r="H4" s="286" t="s">
        <v>14</v>
      </c>
      <c r="I4" s="287" t="s">
        <v>146</v>
      </c>
      <c r="J4" s="287" t="s">
        <v>16</v>
      </c>
      <c r="K4" s="288" t="s">
        <v>154</v>
      </c>
    </row>
    <row r="5" spans="1:11" ht="14.4" customHeight="1" thickBot="1" x14ac:dyDescent="0.35">
      <c r="A5" s="307" t="s">
        <v>271</v>
      </c>
      <c r="B5" s="308" t="s">
        <v>273</v>
      </c>
      <c r="C5" s="309" t="s">
        <v>277</v>
      </c>
      <c r="D5" s="310" t="s">
        <v>278</v>
      </c>
      <c r="E5" s="309" t="s">
        <v>315</v>
      </c>
      <c r="F5" s="310" t="s">
        <v>316</v>
      </c>
      <c r="G5" s="309" t="s">
        <v>317</v>
      </c>
      <c r="H5" s="309" t="s">
        <v>318</v>
      </c>
      <c r="I5" s="311">
        <v>0.2</v>
      </c>
      <c r="J5" s="311">
        <v>200</v>
      </c>
      <c r="K5" s="312">
        <v>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5.4414062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35" t="s">
        <v>133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14.4" customHeight="1" thickBot="1" x14ac:dyDescent="0.35">
      <c r="A2" s="251" t="s">
        <v>155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4.4" customHeight="1" thickBot="1" x14ac:dyDescent="0.35">
      <c r="A3" s="190" t="s">
        <v>137</v>
      </c>
      <c r="B3" s="191">
        <f>SUBTOTAL(9,B6:B1048576)</f>
        <v>679140</v>
      </c>
      <c r="C3" s="192">
        <f t="shared" ref="C3:R3" si="0">SUBTOTAL(9,C6:C1048576)</f>
        <v>1</v>
      </c>
      <c r="D3" s="192">
        <f t="shared" si="0"/>
        <v>806933</v>
      </c>
      <c r="E3" s="192">
        <f t="shared" si="0"/>
        <v>1.1881688606178402</v>
      </c>
      <c r="F3" s="192">
        <f t="shared" si="0"/>
        <v>679286</v>
      </c>
      <c r="G3" s="194">
        <f>IF(B3&lt;&gt;0,F3/B3,"")</f>
        <v>1.0002149777659981</v>
      </c>
      <c r="H3" s="195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3" t="str">
        <f>IF(H3&lt;&gt;0,L3/H3,"")</f>
        <v/>
      </c>
      <c r="N3" s="191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4" t="str">
        <f>IF(N3&lt;&gt;0,R3/N3,"")</f>
        <v/>
      </c>
    </row>
    <row r="4" spans="1:19" ht="14.4" customHeight="1" x14ac:dyDescent="0.3">
      <c r="A4" s="236" t="s">
        <v>106</v>
      </c>
      <c r="B4" s="237" t="s">
        <v>107</v>
      </c>
      <c r="C4" s="238"/>
      <c r="D4" s="238"/>
      <c r="E4" s="238"/>
      <c r="F4" s="238"/>
      <c r="G4" s="239"/>
      <c r="H4" s="237" t="s">
        <v>108</v>
      </c>
      <c r="I4" s="238"/>
      <c r="J4" s="238"/>
      <c r="K4" s="238"/>
      <c r="L4" s="238"/>
      <c r="M4" s="239"/>
      <c r="N4" s="237" t="s">
        <v>109</v>
      </c>
      <c r="O4" s="238"/>
      <c r="P4" s="238"/>
      <c r="Q4" s="238"/>
      <c r="R4" s="238"/>
      <c r="S4" s="239"/>
    </row>
    <row r="5" spans="1:19" ht="14.4" customHeight="1" thickBot="1" x14ac:dyDescent="0.35">
      <c r="A5" s="313"/>
      <c r="B5" s="314">
        <v>2011</v>
      </c>
      <c r="C5" s="315"/>
      <c r="D5" s="315">
        <v>2012</v>
      </c>
      <c r="E5" s="315"/>
      <c r="F5" s="315">
        <v>2013</v>
      </c>
      <c r="G5" s="316" t="s">
        <v>5</v>
      </c>
      <c r="H5" s="314">
        <v>2011</v>
      </c>
      <c r="I5" s="315"/>
      <c r="J5" s="315">
        <v>2012</v>
      </c>
      <c r="K5" s="315"/>
      <c r="L5" s="315">
        <v>2013</v>
      </c>
      <c r="M5" s="316" t="s">
        <v>5</v>
      </c>
      <c r="N5" s="314">
        <v>2011</v>
      </c>
      <c r="O5" s="315"/>
      <c r="P5" s="315">
        <v>2012</v>
      </c>
      <c r="Q5" s="315"/>
      <c r="R5" s="315">
        <v>2013</v>
      </c>
      <c r="S5" s="316" t="s">
        <v>5</v>
      </c>
    </row>
    <row r="6" spans="1:19" ht="14.4" customHeight="1" thickBot="1" x14ac:dyDescent="0.35">
      <c r="A6" s="320" t="s">
        <v>319</v>
      </c>
      <c r="B6" s="317">
        <v>679140</v>
      </c>
      <c r="C6" s="308">
        <v>1</v>
      </c>
      <c r="D6" s="317">
        <v>806933</v>
      </c>
      <c r="E6" s="308">
        <v>1.1881688606178402</v>
      </c>
      <c r="F6" s="317">
        <v>679286</v>
      </c>
      <c r="G6" s="318">
        <v>1.0002149777659981</v>
      </c>
      <c r="H6" s="317"/>
      <c r="I6" s="308"/>
      <c r="J6" s="317"/>
      <c r="K6" s="308"/>
      <c r="L6" s="317"/>
      <c r="M6" s="318"/>
      <c r="N6" s="317"/>
      <c r="O6" s="308"/>
      <c r="P6" s="317"/>
      <c r="Q6" s="308"/>
      <c r="R6" s="317"/>
      <c r="S6" s="319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84" customWidth="1"/>
    <col min="7" max="8" width="9.33203125" style="60" hidden="1" customWidth="1"/>
    <col min="9" max="10" width="11.109375" style="84" customWidth="1"/>
    <col min="11" max="12" width="9.33203125" style="60" hidden="1" customWidth="1"/>
    <col min="13" max="14" width="11.109375" style="84" customWidth="1"/>
    <col min="15" max="15" width="11.109375" style="81" customWidth="1"/>
    <col min="16" max="16" width="11.109375" style="84" customWidth="1"/>
    <col min="17" max="16384" width="8.88671875" style="60"/>
  </cols>
  <sheetData>
    <row r="1" spans="1:16" ht="18.600000000000001" customHeight="1" thickBot="1" x14ac:dyDescent="0.4">
      <c r="A1" s="200" t="s">
        <v>134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ht="14.4" customHeight="1" thickBot="1" x14ac:dyDescent="0.4">
      <c r="A2" s="251" t="s">
        <v>155</v>
      </c>
      <c r="B2" s="85"/>
      <c r="C2" s="85"/>
      <c r="D2" s="85"/>
      <c r="E2" s="134"/>
      <c r="F2" s="134"/>
      <c r="G2" s="85"/>
      <c r="H2" s="85"/>
      <c r="I2" s="134"/>
      <c r="J2" s="134"/>
      <c r="K2" s="85"/>
      <c r="L2" s="85"/>
      <c r="M2" s="134"/>
      <c r="N2" s="134"/>
      <c r="O2" s="138"/>
      <c r="P2" s="134"/>
    </row>
    <row r="3" spans="1:16" ht="14.4" customHeight="1" thickBot="1" x14ac:dyDescent="0.35">
      <c r="D3" s="96" t="s">
        <v>137</v>
      </c>
      <c r="E3" s="135">
        <f t="shared" ref="E3:N3" si="0">SUBTOTAL(9,E6:E1048576)</f>
        <v>1582</v>
      </c>
      <c r="F3" s="136">
        <f t="shared" si="0"/>
        <v>679140</v>
      </c>
      <c r="G3" s="86"/>
      <c r="H3" s="86"/>
      <c r="I3" s="136">
        <f t="shared" si="0"/>
        <v>1820</v>
      </c>
      <c r="J3" s="136">
        <f t="shared" si="0"/>
        <v>806933</v>
      </c>
      <c r="K3" s="86"/>
      <c r="L3" s="86"/>
      <c r="M3" s="136">
        <f t="shared" si="0"/>
        <v>1522</v>
      </c>
      <c r="N3" s="136">
        <f t="shared" si="0"/>
        <v>679286</v>
      </c>
      <c r="O3" s="87">
        <f>IF(F3=0,0,N3/F3)</f>
        <v>1.0002149777659981</v>
      </c>
      <c r="P3" s="137">
        <f>IF(M3=0,0,N3/M3)</f>
        <v>446.31143232588698</v>
      </c>
    </row>
    <row r="4" spans="1:16" ht="14.4" customHeight="1" x14ac:dyDescent="0.3">
      <c r="A4" s="241" t="s">
        <v>102</v>
      </c>
      <c r="B4" s="242" t="s">
        <v>103</v>
      </c>
      <c r="C4" s="243" t="s">
        <v>104</v>
      </c>
      <c r="D4" s="244" t="s">
        <v>77</v>
      </c>
      <c r="E4" s="245">
        <v>2011</v>
      </c>
      <c r="F4" s="246"/>
      <c r="G4" s="132"/>
      <c r="H4" s="132"/>
      <c r="I4" s="245">
        <v>2012</v>
      </c>
      <c r="J4" s="246"/>
      <c r="K4" s="132"/>
      <c r="L4" s="132"/>
      <c r="M4" s="245">
        <v>2013</v>
      </c>
      <c r="N4" s="246"/>
      <c r="O4" s="247" t="s">
        <v>5</v>
      </c>
      <c r="P4" s="240" t="s">
        <v>105</v>
      </c>
    </row>
    <row r="5" spans="1:16" ht="14.4" customHeight="1" thickBot="1" x14ac:dyDescent="0.35">
      <c r="A5" s="321"/>
      <c r="B5" s="322"/>
      <c r="C5" s="323"/>
      <c r="D5" s="324"/>
      <c r="E5" s="325" t="s">
        <v>79</v>
      </c>
      <c r="F5" s="326" t="s">
        <v>17</v>
      </c>
      <c r="G5" s="327"/>
      <c r="H5" s="327"/>
      <c r="I5" s="325" t="s">
        <v>79</v>
      </c>
      <c r="J5" s="326" t="s">
        <v>17</v>
      </c>
      <c r="K5" s="327"/>
      <c r="L5" s="327"/>
      <c r="M5" s="325" t="s">
        <v>79</v>
      </c>
      <c r="N5" s="326" t="s">
        <v>17</v>
      </c>
      <c r="O5" s="328"/>
      <c r="P5" s="329"/>
    </row>
    <row r="6" spans="1:16" ht="14.4" customHeight="1" x14ac:dyDescent="0.3">
      <c r="A6" s="289" t="s">
        <v>320</v>
      </c>
      <c r="B6" s="290" t="s">
        <v>321</v>
      </c>
      <c r="C6" s="290" t="s">
        <v>322</v>
      </c>
      <c r="D6" s="290" t="s">
        <v>323</v>
      </c>
      <c r="E6" s="293">
        <v>31</v>
      </c>
      <c r="F6" s="293">
        <v>0</v>
      </c>
      <c r="G6" s="290"/>
      <c r="H6" s="290">
        <v>0</v>
      </c>
      <c r="I6" s="293">
        <v>43</v>
      </c>
      <c r="J6" s="293">
        <v>0</v>
      </c>
      <c r="K6" s="290"/>
      <c r="L6" s="290">
        <v>0</v>
      </c>
      <c r="M6" s="293">
        <v>38</v>
      </c>
      <c r="N6" s="293">
        <v>0</v>
      </c>
      <c r="O6" s="330"/>
      <c r="P6" s="294">
        <v>0</v>
      </c>
    </row>
    <row r="7" spans="1:16" ht="14.4" customHeight="1" x14ac:dyDescent="0.3">
      <c r="A7" s="295" t="s">
        <v>320</v>
      </c>
      <c r="B7" s="296" t="s">
        <v>321</v>
      </c>
      <c r="C7" s="296" t="s">
        <v>324</v>
      </c>
      <c r="D7" s="296" t="s">
        <v>325</v>
      </c>
      <c r="E7" s="299">
        <v>30</v>
      </c>
      <c r="F7" s="299">
        <v>10230</v>
      </c>
      <c r="G7" s="296">
        <v>1</v>
      </c>
      <c r="H7" s="296">
        <v>341</v>
      </c>
      <c r="I7" s="299">
        <v>52</v>
      </c>
      <c r="J7" s="299">
        <v>17836</v>
      </c>
      <c r="K7" s="296">
        <v>1.7434995112414466</v>
      </c>
      <c r="L7" s="296">
        <v>343</v>
      </c>
      <c r="M7" s="299">
        <v>40</v>
      </c>
      <c r="N7" s="299">
        <v>13800</v>
      </c>
      <c r="O7" s="331">
        <v>1.3489736070381231</v>
      </c>
      <c r="P7" s="300">
        <v>345</v>
      </c>
    </row>
    <row r="8" spans="1:16" ht="14.4" customHeight="1" x14ac:dyDescent="0.3">
      <c r="A8" s="295" t="s">
        <v>320</v>
      </c>
      <c r="B8" s="296" t="s">
        <v>321</v>
      </c>
      <c r="C8" s="296" t="s">
        <v>326</v>
      </c>
      <c r="D8" s="296" t="s">
        <v>327</v>
      </c>
      <c r="E8" s="299">
        <v>1</v>
      </c>
      <c r="F8" s="299">
        <v>437</v>
      </c>
      <c r="G8" s="296">
        <v>1</v>
      </c>
      <c r="H8" s="296">
        <v>437</v>
      </c>
      <c r="I8" s="299"/>
      <c r="J8" s="299"/>
      <c r="K8" s="296"/>
      <c r="L8" s="296"/>
      <c r="M8" s="299"/>
      <c r="N8" s="299"/>
      <c r="O8" s="331"/>
      <c r="P8" s="300"/>
    </row>
    <row r="9" spans="1:16" ht="14.4" customHeight="1" x14ac:dyDescent="0.3">
      <c r="A9" s="295" t="s">
        <v>320</v>
      </c>
      <c r="B9" s="296" t="s">
        <v>321</v>
      </c>
      <c r="C9" s="296" t="s">
        <v>328</v>
      </c>
      <c r="D9" s="296" t="s">
        <v>329</v>
      </c>
      <c r="E9" s="299">
        <v>799</v>
      </c>
      <c r="F9" s="299">
        <v>405892</v>
      </c>
      <c r="G9" s="296">
        <v>1</v>
      </c>
      <c r="H9" s="296">
        <v>508</v>
      </c>
      <c r="I9" s="299">
        <v>1069</v>
      </c>
      <c r="J9" s="299">
        <v>545190</v>
      </c>
      <c r="K9" s="296">
        <v>1.3431898140392025</v>
      </c>
      <c r="L9" s="296">
        <v>510</v>
      </c>
      <c r="M9" s="299">
        <v>919</v>
      </c>
      <c r="N9" s="299">
        <v>470528</v>
      </c>
      <c r="O9" s="331">
        <v>1.1592443310043066</v>
      </c>
      <c r="P9" s="300">
        <v>512</v>
      </c>
    </row>
    <row r="10" spans="1:16" ht="14.4" customHeight="1" x14ac:dyDescent="0.3">
      <c r="A10" s="295" t="s">
        <v>320</v>
      </c>
      <c r="B10" s="296" t="s">
        <v>321</v>
      </c>
      <c r="C10" s="296" t="s">
        <v>330</v>
      </c>
      <c r="D10" s="296" t="s">
        <v>331</v>
      </c>
      <c r="E10" s="299">
        <v>2</v>
      </c>
      <c r="F10" s="299">
        <v>514</v>
      </c>
      <c r="G10" s="296">
        <v>1</v>
      </c>
      <c r="H10" s="296">
        <v>257</v>
      </c>
      <c r="I10" s="299">
        <v>4</v>
      </c>
      <c r="J10" s="299">
        <v>1036</v>
      </c>
      <c r="K10" s="296">
        <v>2.0155642023346303</v>
      </c>
      <c r="L10" s="296">
        <v>259</v>
      </c>
      <c r="M10" s="299">
        <v>2</v>
      </c>
      <c r="N10" s="299">
        <v>522</v>
      </c>
      <c r="O10" s="331">
        <v>1.0155642023346303</v>
      </c>
      <c r="P10" s="300">
        <v>261</v>
      </c>
    </row>
    <row r="11" spans="1:16" ht="14.4" customHeight="1" x14ac:dyDescent="0.3">
      <c r="A11" s="295" t="s">
        <v>320</v>
      </c>
      <c r="B11" s="296" t="s">
        <v>321</v>
      </c>
      <c r="C11" s="296" t="s">
        <v>332</v>
      </c>
      <c r="D11" s="296" t="s">
        <v>333</v>
      </c>
      <c r="E11" s="299">
        <v>568</v>
      </c>
      <c r="F11" s="299">
        <v>222656</v>
      </c>
      <c r="G11" s="296">
        <v>1</v>
      </c>
      <c r="H11" s="296">
        <v>392</v>
      </c>
      <c r="I11" s="299">
        <v>545</v>
      </c>
      <c r="J11" s="299">
        <v>214730</v>
      </c>
      <c r="K11" s="296">
        <v>0.96440248634665138</v>
      </c>
      <c r="L11" s="296">
        <v>394</v>
      </c>
      <c r="M11" s="299">
        <v>427</v>
      </c>
      <c r="N11" s="299">
        <v>169092</v>
      </c>
      <c r="O11" s="331">
        <v>0.75943158953722334</v>
      </c>
      <c r="P11" s="300">
        <v>396</v>
      </c>
    </row>
    <row r="12" spans="1:16" ht="14.4" customHeight="1" thickBot="1" x14ac:dyDescent="0.35">
      <c r="A12" s="301" t="s">
        <v>320</v>
      </c>
      <c r="B12" s="302" t="s">
        <v>321</v>
      </c>
      <c r="C12" s="302" t="s">
        <v>334</v>
      </c>
      <c r="D12" s="302" t="s">
        <v>335</v>
      </c>
      <c r="E12" s="305">
        <v>151</v>
      </c>
      <c r="F12" s="305">
        <v>39411</v>
      </c>
      <c r="G12" s="302">
        <v>1</v>
      </c>
      <c r="H12" s="302">
        <v>261</v>
      </c>
      <c r="I12" s="305">
        <v>107</v>
      </c>
      <c r="J12" s="305">
        <v>28141</v>
      </c>
      <c r="K12" s="302">
        <v>0.71403922762680472</v>
      </c>
      <c r="L12" s="302">
        <v>263</v>
      </c>
      <c r="M12" s="305">
        <v>96</v>
      </c>
      <c r="N12" s="305">
        <v>25344</v>
      </c>
      <c r="O12" s="332">
        <v>0.64306919387988126</v>
      </c>
      <c r="P12" s="306">
        <v>264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0.10937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212" t="s">
        <v>135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14.4" customHeight="1" thickBot="1" x14ac:dyDescent="0.35">
      <c r="A2" s="251" t="s">
        <v>155</v>
      </c>
      <c r="B2" s="124"/>
      <c r="C2" s="88"/>
      <c r="D2" s="124"/>
      <c r="E2" s="88"/>
      <c r="F2" s="124"/>
      <c r="G2" s="113"/>
      <c r="H2" s="124"/>
      <c r="I2" s="88"/>
      <c r="J2" s="124"/>
      <c r="K2" s="88"/>
      <c r="L2" s="124"/>
      <c r="M2" s="113"/>
      <c r="N2" s="124"/>
      <c r="O2" s="88"/>
      <c r="P2" s="124"/>
      <c r="Q2" s="88"/>
      <c r="R2" s="124"/>
      <c r="S2" s="113"/>
    </row>
    <row r="3" spans="1:19" ht="14.4" customHeight="1" thickBot="1" x14ac:dyDescent="0.35">
      <c r="A3" s="190" t="s">
        <v>137</v>
      </c>
      <c r="B3" s="191">
        <f>SUBTOTAL(9,B6:B1048576)</f>
        <v>792361</v>
      </c>
      <c r="C3" s="192">
        <f t="shared" ref="C3:R3" si="0">SUBTOTAL(9,C6:C1048576)</f>
        <v>11</v>
      </c>
      <c r="D3" s="192">
        <f t="shared" si="0"/>
        <v>603846</v>
      </c>
      <c r="E3" s="192">
        <f t="shared" si="0"/>
        <v>8.5253585680055473</v>
      </c>
      <c r="F3" s="192">
        <f t="shared" si="0"/>
        <v>670926</v>
      </c>
      <c r="G3" s="193">
        <f>IF(B3&lt;&gt;0,F3/B3,"")</f>
        <v>0.84674283565193142</v>
      </c>
      <c r="H3" s="191">
        <f t="shared" si="0"/>
        <v>0</v>
      </c>
      <c r="I3" s="192">
        <f t="shared" si="0"/>
        <v>0</v>
      </c>
      <c r="J3" s="192">
        <f t="shared" si="0"/>
        <v>0</v>
      </c>
      <c r="K3" s="192">
        <f t="shared" si="0"/>
        <v>0</v>
      </c>
      <c r="L3" s="192">
        <f t="shared" si="0"/>
        <v>0</v>
      </c>
      <c r="M3" s="194" t="str">
        <f>IF(H3&lt;&gt;0,L3/H3,"")</f>
        <v/>
      </c>
      <c r="N3" s="195">
        <f t="shared" si="0"/>
        <v>0</v>
      </c>
      <c r="O3" s="192">
        <f t="shared" si="0"/>
        <v>0</v>
      </c>
      <c r="P3" s="192">
        <f t="shared" si="0"/>
        <v>0</v>
      </c>
      <c r="Q3" s="192">
        <f t="shared" si="0"/>
        <v>0</v>
      </c>
      <c r="R3" s="192">
        <f t="shared" si="0"/>
        <v>0</v>
      </c>
      <c r="S3" s="194" t="str">
        <f>IF(N3&lt;&gt;0,R3/N3,"")</f>
        <v/>
      </c>
    </row>
    <row r="4" spans="1:19" ht="14.4" customHeight="1" x14ac:dyDescent="0.3">
      <c r="A4" s="236" t="s">
        <v>115</v>
      </c>
      <c r="B4" s="237" t="s">
        <v>107</v>
      </c>
      <c r="C4" s="238"/>
      <c r="D4" s="238"/>
      <c r="E4" s="238"/>
      <c r="F4" s="238"/>
      <c r="G4" s="239"/>
      <c r="H4" s="237" t="s">
        <v>108</v>
      </c>
      <c r="I4" s="238"/>
      <c r="J4" s="238"/>
      <c r="K4" s="238"/>
      <c r="L4" s="238"/>
      <c r="M4" s="239"/>
      <c r="N4" s="237" t="s">
        <v>109</v>
      </c>
      <c r="O4" s="238"/>
      <c r="P4" s="238"/>
      <c r="Q4" s="238"/>
      <c r="R4" s="238"/>
      <c r="S4" s="239"/>
    </row>
    <row r="5" spans="1:19" ht="14.4" customHeight="1" thickBot="1" x14ac:dyDescent="0.35">
      <c r="A5" s="313"/>
      <c r="B5" s="314">
        <v>2011</v>
      </c>
      <c r="C5" s="315"/>
      <c r="D5" s="315">
        <v>2012</v>
      </c>
      <c r="E5" s="315"/>
      <c r="F5" s="315">
        <v>2013</v>
      </c>
      <c r="G5" s="316" t="s">
        <v>5</v>
      </c>
      <c r="H5" s="314">
        <v>2011</v>
      </c>
      <c r="I5" s="315"/>
      <c r="J5" s="315">
        <v>2012</v>
      </c>
      <c r="K5" s="315"/>
      <c r="L5" s="315">
        <v>2013</v>
      </c>
      <c r="M5" s="316" t="s">
        <v>5</v>
      </c>
      <c r="N5" s="314">
        <v>2011</v>
      </c>
      <c r="O5" s="315"/>
      <c r="P5" s="315">
        <v>2012</v>
      </c>
      <c r="Q5" s="315"/>
      <c r="R5" s="315">
        <v>2013</v>
      </c>
      <c r="S5" s="316" t="s">
        <v>5</v>
      </c>
    </row>
    <row r="6" spans="1:19" ht="14.4" customHeight="1" x14ac:dyDescent="0.3">
      <c r="A6" s="339" t="s">
        <v>336</v>
      </c>
      <c r="B6" s="333">
        <v>10804</v>
      </c>
      <c r="C6" s="290">
        <v>1</v>
      </c>
      <c r="D6" s="333"/>
      <c r="E6" s="290"/>
      <c r="F6" s="333">
        <v>3929</v>
      </c>
      <c r="G6" s="330">
        <v>0.36366160681229176</v>
      </c>
      <c r="H6" s="333"/>
      <c r="I6" s="290"/>
      <c r="J6" s="333"/>
      <c r="K6" s="290"/>
      <c r="L6" s="333"/>
      <c r="M6" s="330"/>
      <c r="N6" s="333"/>
      <c r="O6" s="290"/>
      <c r="P6" s="333"/>
      <c r="Q6" s="290"/>
      <c r="R6" s="333"/>
      <c r="S6" s="334"/>
    </row>
    <row r="7" spans="1:19" ht="14.4" customHeight="1" x14ac:dyDescent="0.3">
      <c r="A7" s="340" t="s">
        <v>337</v>
      </c>
      <c r="B7" s="335">
        <v>2032</v>
      </c>
      <c r="C7" s="296">
        <v>1</v>
      </c>
      <c r="D7" s="335">
        <v>1530</v>
      </c>
      <c r="E7" s="296">
        <v>0.75295275590551181</v>
      </c>
      <c r="F7" s="335">
        <v>1285</v>
      </c>
      <c r="G7" s="331">
        <v>0.63238188976377951</v>
      </c>
      <c r="H7" s="335"/>
      <c r="I7" s="296"/>
      <c r="J7" s="335"/>
      <c r="K7" s="296"/>
      <c r="L7" s="335"/>
      <c r="M7" s="331"/>
      <c r="N7" s="335"/>
      <c r="O7" s="296"/>
      <c r="P7" s="335"/>
      <c r="Q7" s="296"/>
      <c r="R7" s="335"/>
      <c r="S7" s="336"/>
    </row>
    <row r="8" spans="1:19" ht="14.4" customHeight="1" x14ac:dyDescent="0.3">
      <c r="A8" s="340" t="s">
        <v>338</v>
      </c>
      <c r="B8" s="335">
        <v>12199</v>
      </c>
      <c r="C8" s="296">
        <v>1</v>
      </c>
      <c r="D8" s="335">
        <v>2550</v>
      </c>
      <c r="E8" s="296">
        <v>0.20903352733830641</v>
      </c>
      <c r="F8" s="335"/>
      <c r="G8" s="331"/>
      <c r="H8" s="335"/>
      <c r="I8" s="296"/>
      <c r="J8" s="335"/>
      <c r="K8" s="296"/>
      <c r="L8" s="335"/>
      <c r="M8" s="331"/>
      <c r="N8" s="335"/>
      <c r="O8" s="296"/>
      <c r="P8" s="335"/>
      <c r="Q8" s="296"/>
      <c r="R8" s="335"/>
      <c r="S8" s="336"/>
    </row>
    <row r="9" spans="1:19" ht="14.4" customHeight="1" x14ac:dyDescent="0.3">
      <c r="A9" s="340" t="s">
        <v>339</v>
      </c>
      <c r="B9" s="335">
        <v>508</v>
      </c>
      <c r="C9" s="296">
        <v>1</v>
      </c>
      <c r="D9" s="335"/>
      <c r="E9" s="296"/>
      <c r="F9" s="335"/>
      <c r="G9" s="331"/>
      <c r="H9" s="335"/>
      <c r="I9" s="296"/>
      <c r="J9" s="335"/>
      <c r="K9" s="296"/>
      <c r="L9" s="335"/>
      <c r="M9" s="331"/>
      <c r="N9" s="335"/>
      <c r="O9" s="296"/>
      <c r="P9" s="335"/>
      <c r="Q9" s="296"/>
      <c r="R9" s="335"/>
      <c r="S9" s="336"/>
    </row>
    <row r="10" spans="1:19" ht="14.4" customHeight="1" x14ac:dyDescent="0.3">
      <c r="A10" s="340" t="s">
        <v>340</v>
      </c>
      <c r="B10" s="335">
        <v>508</v>
      </c>
      <c r="C10" s="296">
        <v>1</v>
      </c>
      <c r="D10" s="335">
        <v>2550</v>
      </c>
      <c r="E10" s="296">
        <v>5.0196850393700787</v>
      </c>
      <c r="F10" s="335">
        <v>9180</v>
      </c>
      <c r="G10" s="331">
        <v>18.070866141732285</v>
      </c>
      <c r="H10" s="335"/>
      <c r="I10" s="296"/>
      <c r="J10" s="335"/>
      <c r="K10" s="296"/>
      <c r="L10" s="335"/>
      <c r="M10" s="331"/>
      <c r="N10" s="335"/>
      <c r="O10" s="296"/>
      <c r="P10" s="335"/>
      <c r="Q10" s="296"/>
      <c r="R10" s="335"/>
      <c r="S10" s="336"/>
    </row>
    <row r="11" spans="1:19" ht="14.4" customHeight="1" x14ac:dyDescent="0.3">
      <c r="A11" s="340" t="s">
        <v>341</v>
      </c>
      <c r="B11" s="335">
        <v>6437</v>
      </c>
      <c r="C11" s="296">
        <v>1</v>
      </c>
      <c r="D11" s="335"/>
      <c r="E11" s="296"/>
      <c r="F11" s="335">
        <v>6028</v>
      </c>
      <c r="G11" s="331">
        <v>0.93646108435606645</v>
      </c>
      <c r="H11" s="335"/>
      <c r="I11" s="296"/>
      <c r="J11" s="335"/>
      <c r="K11" s="296"/>
      <c r="L11" s="335"/>
      <c r="M11" s="331"/>
      <c r="N11" s="335"/>
      <c r="O11" s="296"/>
      <c r="P11" s="335"/>
      <c r="Q11" s="296"/>
      <c r="R11" s="335"/>
      <c r="S11" s="336"/>
    </row>
    <row r="12" spans="1:19" ht="14.4" customHeight="1" x14ac:dyDescent="0.3">
      <c r="A12" s="340" t="s">
        <v>342</v>
      </c>
      <c r="B12" s="335"/>
      <c r="C12" s="296"/>
      <c r="D12" s="335"/>
      <c r="E12" s="296"/>
      <c r="F12" s="335">
        <v>1024</v>
      </c>
      <c r="G12" s="331"/>
      <c r="H12" s="335"/>
      <c r="I12" s="296"/>
      <c r="J12" s="335"/>
      <c r="K12" s="296"/>
      <c r="L12" s="335"/>
      <c r="M12" s="331"/>
      <c r="N12" s="335"/>
      <c r="O12" s="296"/>
      <c r="P12" s="335"/>
      <c r="Q12" s="296"/>
      <c r="R12" s="335"/>
      <c r="S12" s="336"/>
    </row>
    <row r="13" spans="1:19" ht="14.4" customHeight="1" x14ac:dyDescent="0.3">
      <c r="A13" s="340" t="s">
        <v>343</v>
      </c>
      <c r="B13" s="335">
        <v>15748</v>
      </c>
      <c r="C13" s="296">
        <v>1</v>
      </c>
      <c r="D13" s="335"/>
      <c r="E13" s="296"/>
      <c r="F13" s="335"/>
      <c r="G13" s="331"/>
      <c r="H13" s="335"/>
      <c r="I13" s="296"/>
      <c r="J13" s="335"/>
      <c r="K13" s="296"/>
      <c r="L13" s="335"/>
      <c r="M13" s="331"/>
      <c r="N13" s="335"/>
      <c r="O13" s="296"/>
      <c r="P13" s="335"/>
      <c r="Q13" s="296"/>
      <c r="R13" s="335"/>
      <c r="S13" s="336"/>
    </row>
    <row r="14" spans="1:19" ht="14.4" customHeight="1" x14ac:dyDescent="0.3">
      <c r="A14" s="340" t="s">
        <v>344</v>
      </c>
      <c r="B14" s="335"/>
      <c r="C14" s="296"/>
      <c r="D14" s="335">
        <v>1789</v>
      </c>
      <c r="E14" s="296"/>
      <c r="F14" s="335"/>
      <c r="G14" s="331"/>
      <c r="H14" s="335"/>
      <c r="I14" s="296"/>
      <c r="J14" s="335"/>
      <c r="K14" s="296"/>
      <c r="L14" s="335"/>
      <c r="M14" s="331"/>
      <c r="N14" s="335"/>
      <c r="O14" s="296"/>
      <c r="P14" s="335"/>
      <c r="Q14" s="296"/>
      <c r="R14" s="335"/>
      <c r="S14" s="336"/>
    </row>
    <row r="15" spans="1:19" ht="14.4" customHeight="1" x14ac:dyDescent="0.3">
      <c r="A15" s="340" t="s">
        <v>345</v>
      </c>
      <c r="B15" s="335">
        <v>321457</v>
      </c>
      <c r="C15" s="296">
        <v>1</v>
      </c>
      <c r="D15" s="335">
        <v>242267</v>
      </c>
      <c r="E15" s="296">
        <v>0.75365289914358691</v>
      </c>
      <c r="F15" s="335">
        <v>239483</v>
      </c>
      <c r="G15" s="331">
        <v>0.74499233178932178</v>
      </c>
      <c r="H15" s="335"/>
      <c r="I15" s="296"/>
      <c r="J15" s="335"/>
      <c r="K15" s="296"/>
      <c r="L15" s="335"/>
      <c r="M15" s="331"/>
      <c r="N15" s="335"/>
      <c r="O15" s="296"/>
      <c r="P15" s="335"/>
      <c r="Q15" s="296"/>
      <c r="R15" s="335"/>
      <c r="S15" s="336"/>
    </row>
    <row r="16" spans="1:19" ht="14.4" customHeight="1" x14ac:dyDescent="0.3">
      <c r="A16" s="340" t="s">
        <v>346</v>
      </c>
      <c r="B16" s="335"/>
      <c r="C16" s="296"/>
      <c r="D16" s="335">
        <v>10292</v>
      </c>
      <c r="E16" s="296"/>
      <c r="F16" s="335"/>
      <c r="G16" s="331"/>
      <c r="H16" s="335"/>
      <c r="I16" s="296"/>
      <c r="J16" s="335"/>
      <c r="K16" s="296"/>
      <c r="L16" s="335"/>
      <c r="M16" s="331"/>
      <c r="N16" s="335"/>
      <c r="O16" s="296"/>
      <c r="P16" s="335"/>
      <c r="Q16" s="296"/>
      <c r="R16" s="335"/>
      <c r="S16" s="336"/>
    </row>
    <row r="17" spans="1:19" ht="14.4" customHeight="1" x14ac:dyDescent="0.3">
      <c r="A17" s="340" t="s">
        <v>347</v>
      </c>
      <c r="B17" s="335">
        <v>272526</v>
      </c>
      <c r="C17" s="296">
        <v>1</v>
      </c>
      <c r="D17" s="335">
        <v>166792</v>
      </c>
      <c r="E17" s="296">
        <v>0.61202233915296156</v>
      </c>
      <c r="F17" s="335">
        <v>164373</v>
      </c>
      <c r="G17" s="331">
        <v>0.60314612183791638</v>
      </c>
      <c r="H17" s="335"/>
      <c r="I17" s="296"/>
      <c r="J17" s="335"/>
      <c r="K17" s="296"/>
      <c r="L17" s="335"/>
      <c r="M17" s="331"/>
      <c r="N17" s="335"/>
      <c r="O17" s="296"/>
      <c r="P17" s="335"/>
      <c r="Q17" s="296"/>
      <c r="R17" s="335"/>
      <c r="S17" s="336"/>
    </row>
    <row r="18" spans="1:19" ht="14.4" customHeight="1" x14ac:dyDescent="0.3">
      <c r="A18" s="340" t="s">
        <v>348</v>
      </c>
      <c r="B18" s="335">
        <v>146580</v>
      </c>
      <c r="C18" s="296">
        <v>1</v>
      </c>
      <c r="D18" s="335">
        <v>172673</v>
      </c>
      <c r="E18" s="296">
        <v>1.1780120070951017</v>
      </c>
      <c r="F18" s="335">
        <v>236575</v>
      </c>
      <c r="G18" s="331">
        <v>1.6139650702687951</v>
      </c>
      <c r="H18" s="335"/>
      <c r="I18" s="296"/>
      <c r="J18" s="335"/>
      <c r="K18" s="296"/>
      <c r="L18" s="335"/>
      <c r="M18" s="331"/>
      <c r="N18" s="335"/>
      <c r="O18" s="296"/>
      <c r="P18" s="335"/>
      <c r="Q18" s="296"/>
      <c r="R18" s="335"/>
      <c r="S18" s="336"/>
    </row>
    <row r="19" spans="1:19" ht="14.4" customHeight="1" x14ac:dyDescent="0.3">
      <c r="A19" s="340" t="s">
        <v>349</v>
      </c>
      <c r="B19" s="335"/>
      <c r="C19" s="296"/>
      <c r="D19" s="335"/>
      <c r="E19" s="296"/>
      <c r="F19" s="335">
        <v>9049</v>
      </c>
      <c r="G19" s="331"/>
      <c r="H19" s="335"/>
      <c r="I19" s="296"/>
      <c r="J19" s="335"/>
      <c r="K19" s="296"/>
      <c r="L19" s="335"/>
      <c r="M19" s="331"/>
      <c r="N19" s="335"/>
      <c r="O19" s="296"/>
      <c r="P19" s="335"/>
      <c r="Q19" s="296"/>
      <c r="R19" s="335"/>
      <c r="S19" s="336"/>
    </row>
    <row r="20" spans="1:19" ht="14.4" customHeight="1" x14ac:dyDescent="0.3">
      <c r="A20" s="340" t="s">
        <v>350</v>
      </c>
      <c r="B20" s="335">
        <v>3562</v>
      </c>
      <c r="C20" s="296">
        <v>1</v>
      </c>
      <c r="D20" s="335"/>
      <c r="E20" s="296"/>
      <c r="F20" s="335"/>
      <c r="G20" s="331"/>
      <c r="H20" s="335"/>
      <c r="I20" s="296"/>
      <c r="J20" s="335"/>
      <c r="K20" s="296"/>
      <c r="L20" s="335"/>
      <c r="M20" s="331"/>
      <c r="N20" s="335"/>
      <c r="O20" s="296"/>
      <c r="P20" s="335"/>
      <c r="Q20" s="296"/>
      <c r="R20" s="335"/>
      <c r="S20" s="336"/>
    </row>
    <row r="21" spans="1:19" ht="14.4" customHeight="1" thickBot="1" x14ac:dyDescent="0.35">
      <c r="A21" s="341" t="s">
        <v>351</v>
      </c>
      <c r="B21" s="337"/>
      <c r="C21" s="302"/>
      <c r="D21" s="337">
        <v>3403</v>
      </c>
      <c r="E21" s="302"/>
      <c r="F21" s="337"/>
      <c r="G21" s="332"/>
      <c r="H21" s="337"/>
      <c r="I21" s="302"/>
      <c r="J21" s="337"/>
      <c r="K21" s="302"/>
      <c r="L21" s="337"/>
      <c r="M21" s="332"/>
      <c r="N21" s="337"/>
      <c r="O21" s="302"/>
      <c r="P21" s="337"/>
      <c r="Q21" s="302"/>
      <c r="R21" s="337"/>
      <c r="S21" s="33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84" customWidth="1"/>
    <col min="8" max="9" width="9.33203125" style="84" hidden="1" customWidth="1"/>
    <col min="10" max="11" width="11.109375" style="84" customWidth="1"/>
    <col min="12" max="13" width="9.33203125" style="84" hidden="1" customWidth="1"/>
    <col min="14" max="15" width="11.109375" style="84" customWidth="1"/>
    <col min="16" max="16" width="11.109375" style="81" customWidth="1"/>
    <col min="17" max="17" width="11.109375" style="84" customWidth="1"/>
    <col min="18" max="16384" width="8.88671875" style="60"/>
  </cols>
  <sheetData>
    <row r="1" spans="1:17" ht="18.600000000000001" customHeight="1" thickBot="1" x14ac:dyDescent="0.4">
      <c r="A1" s="200" t="s">
        <v>136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ht="14.4" customHeight="1" thickBot="1" x14ac:dyDescent="0.4">
      <c r="A2" s="251" t="s">
        <v>155</v>
      </c>
      <c r="B2" s="85"/>
      <c r="C2" s="85"/>
      <c r="D2" s="85"/>
      <c r="E2" s="85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8"/>
      <c r="Q2" s="134"/>
    </row>
    <row r="3" spans="1:17" ht="14.4" customHeight="1" thickBot="1" x14ac:dyDescent="0.35">
      <c r="E3" s="96" t="s">
        <v>137</v>
      </c>
      <c r="F3" s="135">
        <f t="shared" ref="F3:O3" si="0">SUBTOTAL(9,F6:F1048576)</f>
        <v>1613</v>
      </c>
      <c r="G3" s="136">
        <f t="shared" si="0"/>
        <v>792361</v>
      </c>
      <c r="H3" s="136"/>
      <c r="I3" s="136"/>
      <c r="J3" s="136">
        <f t="shared" si="0"/>
        <v>1230</v>
      </c>
      <c r="K3" s="136">
        <f t="shared" si="0"/>
        <v>603846</v>
      </c>
      <c r="L3" s="136"/>
      <c r="M3" s="136"/>
      <c r="N3" s="136">
        <f t="shared" si="0"/>
        <v>1345</v>
      </c>
      <c r="O3" s="136">
        <f t="shared" si="0"/>
        <v>670926</v>
      </c>
      <c r="P3" s="87">
        <f>IF(G3=0,0,O3/G3)</f>
        <v>0.84674283565193142</v>
      </c>
      <c r="Q3" s="137">
        <f>IF(N3=0,0,O3/N3)</f>
        <v>498.82973977695167</v>
      </c>
    </row>
    <row r="4" spans="1:17" ht="14.4" customHeight="1" x14ac:dyDescent="0.3">
      <c r="A4" s="242" t="s">
        <v>76</v>
      </c>
      <c r="B4" s="241" t="s">
        <v>102</v>
      </c>
      <c r="C4" s="242" t="s">
        <v>103</v>
      </c>
      <c r="D4" s="243" t="s">
        <v>104</v>
      </c>
      <c r="E4" s="244" t="s">
        <v>77</v>
      </c>
      <c r="F4" s="248">
        <v>2011</v>
      </c>
      <c r="G4" s="249"/>
      <c r="H4" s="139"/>
      <c r="I4" s="139"/>
      <c r="J4" s="248">
        <v>2012</v>
      </c>
      <c r="K4" s="249"/>
      <c r="L4" s="139"/>
      <c r="M4" s="139"/>
      <c r="N4" s="248">
        <v>2013</v>
      </c>
      <c r="O4" s="249"/>
      <c r="P4" s="250" t="s">
        <v>5</v>
      </c>
      <c r="Q4" s="240" t="s">
        <v>105</v>
      </c>
    </row>
    <row r="5" spans="1:17" ht="14.4" customHeight="1" thickBot="1" x14ac:dyDescent="0.35">
      <c r="A5" s="322"/>
      <c r="B5" s="321"/>
      <c r="C5" s="322"/>
      <c r="D5" s="323"/>
      <c r="E5" s="324"/>
      <c r="F5" s="342" t="s">
        <v>79</v>
      </c>
      <c r="G5" s="343" t="s">
        <v>17</v>
      </c>
      <c r="H5" s="344"/>
      <c r="I5" s="344"/>
      <c r="J5" s="342" t="s">
        <v>79</v>
      </c>
      <c r="K5" s="343" t="s">
        <v>17</v>
      </c>
      <c r="L5" s="344"/>
      <c r="M5" s="344"/>
      <c r="N5" s="342" t="s">
        <v>79</v>
      </c>
      <c r="O5" s="343" t="s">
        <v>17</v>
      </c>
      <c r="P5" s="345"/>
      <c r="Q5" s="329"/>
    </row>
    <row r="6" spans="1:17" ht="14.4" customHeight="1" x14ac:dyDescent="0.3">
      <c r="A6" s="289" t="s">
        <v>352</v>
      </c>
      <c r="B6" s="290" t="s">
        <v>320</v>
      </c>
      <c r="C6" s="290" t="s">
        <v>321</v>
      </c>
      <c r="D6" s="290" t="s">
        <v>324</v>
      </c>
      <c r="E6" s="290" t="s">
        <v>325</v>
      </c>
      <c r="F6" s="293">
        <v>3</v>
      </c>
      <c r="G6" s="293">
        <v>1023</v>
      </c>
      <c r="H6" s="293">
        <v>1</v>
      </c>
      <c r="I6" s="293">
        <v>341</v>
      </c>
      <c r="J6" s="293"/>
      <c r="K6" s="293"/>
      <c r="L6" s="293"/>
      <c r="M6" s="293"/>
      <c r="N6" s="293">
        <v>1</v>
      </c>
      <c r="O6" s="293">
        <v>345</v>
      </c>
      <c r="P6" s="330">
        <v>0.33724340175953077</v>
      </c>
      <c r="Q6" s="294">
        <v>345</v>
      </c>
    </row>
    <row r="7" spans="1:17" ht="14.4" customHeight="1" x14ac:dyDescent="0.3">
      <c r="A7" s="295" t="s">
        <v>352</v>
      </c>
      <c r="B7" s="296" t="s">
        <v>320</v>
      </c>
      <c r="C7" s="296" t="s">
        <v>321</v>
      </c>
      <c r="D7" s="296" t="s">
        <v>328</v>
      </c>
      <c r="E7" s="296" t="s">
        <v>329</v>
      </c>
      <c r="F7" s="299">
        <v>19</v>
      </c>
      <c r="G7" s="299">
        <v>9652</v>
      </c>
      <c r="H7" s="299">
        <v>1</v>
      </c>
      <c r="I7" s="299">
        <v>508</v>
      </c>
      <c r="J7" s="299"/>
      <c r="K7" s="299"/>
      <c r="L7" s="299"/>
      <c r="M7" s="299"/>
      <c r="N7" s="299">
        <v>7</v>
      </c>
      <c r="O7" s="299">
        <v>3584</v>
      </c>
      <c r="P7" s="331">
        <v>0.37132200580190633</v>
      </c>
      <c r="Q7" s="300">
        <v>512</v>
      </c>
    </row>
    <row r="8" spans="1:17" ht="14.4" customHeight="1" x14ac:dyDescent="0.3">
      <c r="A8" s="295" t="s">
        <v>352</v>
      </c>
      <c r="B8" s="296" t="s">
        <v>320</v>
      </c>
      <c r="C8" s="296" t="s">
        <v>321</v>
      </c>
      <c r="D8" s="296" t="s">
        <v>353</v>
      </c>
      <c r="E8" s="296" t="s">
        <v>354</v>
      </c>
      <c r="F8" s="299">
        <v>1</v>
      </c>
      <c r="G8" s="299">
        <v>129</v>
      </c>
      <c r="H8" s="299">
        <v>1</v>
      </c>
      <c r="I8" s="299">
        <v>129</v>
      </c>
      <c r="J8" s="299"/>
      <c r="K8" s="299"/>
      <c r="L8" s="299"/>
      <c r="M8" s="299"/>
      <c r="N8" s="299"/>
      <c r="O8" s="299"/>
      <c r="P8" s="331"/>
      <c r="Q8" s="300"/>
    </row>
    <row r="9" spans="1:17" ht="14.4" customHeight="1" x14ac:dyDescent="0.3">
      <c r="A9" s="295" t="s">
        <v>355</v>
      </c>
      <c r="B9" s="296" t="s">
        <v>320</v>
      </c>
      <c r="C9" s="296" t="s">
        <v>321</v>
      </c>
      <c r="D9" s="296" t="s">
        <v>328</v>
      </c>
      <c r="E9" s="296" t="s">
        <v>329</v>
      </c>
      <c r="F9" s="299">
        <v>4</v>
      </c>
      <c r="G9" s="299">
        <v>2032</v>
      </c>
      <c r="H9" s="299">
        <v>1</v>
      </c>
      <c r="I9" s="299">
        <v>508</v>
      </c>
      <c r="J9" s="299">
        <v>3</v>
      </c>
      <c r="K9" s="299">
        <v>1530</v>
      </c>
      <c r="L9" s="299">
        <v>0.75295275590551181</v>
      </c>
      <c r="M9" s="299">
        <v>510</v>
      </c>
      <c r="N9" s="299">
        <v>2</v>
      </c>
      <c r="O9" s="299">
        <v>1024</v>
      </c>
      <c r="P9" s="331">
        <v>0.50393700787401574</v>
      </c>
      <c r="Q9" s="300">
        <v>512</v>
      </c>
    </row>
    <row r="10" spans="1:17" ht="14.4" customHeight="1" x14ac:dyDescent="0.3">
      <c r="A10" s="295" t="s">
        <v>355</v>
      </c>
      <c r="B10" s="296" t="s">
        <v>320</v>
      </c>
      <c r="C10" s="296" t="s">
        <v>321</v>
      </c>
      <c r="D10" s="296" t="s">
        <v>330</v>
      </c>
      <c r="E10" s="296" t="s">
        <v>331</v>
      </c>
      <c r="F10" s="299"/>
      <c r="G10" s="299"/>
      <c r="H10" s="299"/>
      <c r="I10" s="299"/>
      <c r="J10" s="299"/>
      <c r="K10" s="299"/>
      <c r="L10" s="299"/>
      <c r="M10" s="299"/>
      <c r="N10" s="299">
        <v>1</v>
      </c>
      <c r="O10" s="299">
        <v>261</v>
      </c>
      <c r="P10" s="331"/>
      <c r="Q10" s="300">
        <v>261</v>
      </c>
    </row>
    <row r="11" spans="1:17" ht="14.4" customHeight="1" x14ac:dyDescent="0.3">
      <c r="A11" s="295" t="s">
        <v>356</v>
      </c>
      <c r="B11" s="296" t="s">
        <v>320</v>
      </c>
      <c r="C11" s="296" t="s">
        <v>321</v>
      </c>
      <c r="D11" s="296" t="s">
        <v>324</v>
      </c>
      <c r="E11" s="296" t="s">
        <v>325</v>
      </c>
      <c r="F11" s="299">
        <v>3</v>
      </c>
      <c r="G11" s="299">
        <v>1023</v>
      </c>
      <c r="H11" s="299">
        <v>1</v>
      </c>
      <c r="I11" s="299">
        <v>341</v>
      </c>
      <c r="J11" s="299"/>
      <c r="K11" s="299"/>
      <c r="L11" s="299"/>
      <c r="M11" s="299"/>
      <c r="N11" s="299"/>
      <c r="O11" s="299"/>
      <c r="P11" s="331"/>
      <c r="Q11" s="300"/>
    </row>
    <row r="12" spans="1:17" ht="14.4" customHeight="1" x14ac:dyDescent="0.3">
      <c r="A12" s="295" t="s">
        <v>356</v>
      </c>
      <c r="B12" s="296" t="s">
        <v>320</v>
      </c>
      <c r="C12" s="296" t="s">
        <v>321</v>
      </c>
      <c r="D12" s="296" t="s">
        <v>328</v>
      </c>
      <c r="E12" s="296" t="s">
        <v>329</v>
      </c>
      <c r="F12" s="299">
        <v>22</v>
      </c>
      <c r="G12" s="299">
        <v>11176</v>
      </c>
      <c r="H12" s="299">
        <v>1</v>
      </c>
      <c r="I12" s="299">
        <v>508</v>
      </c>
      <c r="J12" s="299">
        <v>5</v>
      </c>
      <c r="K12" s="299">
        <v>2550</v>
      </c>
      <c r="L12" s="299">
        <v>0.22816750178954903</v>
      </c>
      <c r="M12" s="299">
        <v>510</v>
      </c>
      <c r="N12" s="299"/>
      <c r="O12" s="299"/>
      <c r="P12" s="331"/>
      <c r="Q12" s="300"/>
    </row>
    <row r="13" spans="1:17" ht="14.4" customHeight="1" x14ac:dyDescent="0.3">
      <c r="A13" s="295" t="s">
        <v>357</v>
      </c>
      <c r="B13" s="296" t="s">
        <v>320</v>
      </c>
      <c r="C13" s="296" t="s">
        <v>321</v>
      </c>
      <c r="D13" s="296" t="s">
        <v>328</v>
      </c>
      <c r="E13" s="296" t="s">
        <v>329</v>
      </c>
      <c r="F13" s="299">
        <v>1</v>
      </c>
      <c r="G13" s="299">
        <v>508</v>
      </c>
      <c r="H13" s="299">
        <v>1</v>
      </c>
      <c r="I13" s="299">
        <v>508</v>
      </c>
      <c r="J13" s="299"/>
      <c r="K13" s="299"/>
      <c r="L13" s="299"/>
      <c r="M13" s="299"/>
      <c r="N13" s="299"/>
      <c r="O13" s="299"/>
      <c r="P13" s="331"/>
      <c r="Q13" s="300"/>
    </row>
    <row r="14" spans="1:17" ht="14.4" customHeight="1" x14ac:dyDescent="0.3">
      <c r="A14" s="295" t="s">
        <v>358</v>
      </c>
      <c r="B14" s="296" t="s">
        <v>320</v>
      </c>
      <c r="C14" s="296" t="s">
        <v>321</v>
      </c>
      <c r="D14" s="296" t="s">
        <v>324</v>
      </c>
      <c r="E14" s="296" t="s">
        <v>325</v>
      </c>
      <c r="F14" s="299">
        <v>0</v>
      </c>
      <c r="G14" s="299">
        <v>0</v>
      </c>
      <c r="H14" s="299"/>
      <c r="I14" s="299"/>
      <c r="J14" s="299"/>
      <c r="K14" s="299"/>
      <c r="L14" s="299"/>
      <c r="M14" s="299"/>
      <c r="N14" s="299">
        <v>1</v>
      </c>
      <c r="O14" s="299">
        <v>345</v>
      </c>
      <c r="P14" s="331"/>
      <c r="Q14" s="300">
        <v>345</v>
      </c>
    </row>
    <row r="15" spans="1:17" ht="14.4" customHeight="1" x14ac:dyDescent="0.3">
      <c r="A15" s="295" t="s">
        <v>358</v>
      </c>
      <c r="B15" s="296" t="s">
        <v>320</v>
      </c>
      <c r="C15" s="296" t="s">
        <v>321</v>
      </c>
      <c r="D15" s="296" t="s">
        <v>328</v>
      </c>
      <c r="E15" s="296" t="s">
        <v>329</v>
      </c>
      <c r="F15" s="299">
        <v>1</v>
      </c>
      <c r="G15" s="299">
        <v>508</v>
      </c>
      <c r="H15" s="299">
        <v>1</v>
      </c>
      <c r="I15" s="299">
        <v>508</v>
      </c>
      <c r="J15" s="299">
        <v>5</v>
      </c>
      <c r="K15" s="299">
        <v>2550</v>
      </c>
      <c r="L15" s="299">
        <v>5.0196850393700787</v>
      </c>
      <c r="M15" s="299">
        <v>510</v>
      </c>
      <c r="N15" s="299">
        <v>17</v>
      </c>
      <c r="O15" s="299">
        <v>8704</v>
      </c>
      <c r="P15" s="331">
        <v>17.133858267716537</v>
      </c>
      <c r="Q15" s="300">
        <v>512</v>
      </c>
    </row>
    <row r="16" spans="1:17" ht="14.4" customHeight="1" x14ac:dyDescent="0.3">
      <c r="A16" s="295" t="s">
        <v>358</v>
      </c>
      <c r="B16" s="296" t="s">
        <v>320</v>
      </c>
      <c r="C16" s="296" t="s">
        <v>321</v>
      </c>
      <c r="D16" s="296" t="s">
        <v>353</v>
      </c>
      <c r="E16" s="296" t="s">
        <v>354</v>
      </c>
      <c r="F16" s="299"/>
      <c r="G16" s="299"/>
      <c r="H16" s="299"/>
      <c r="I16" s="299"/>
      <c r="J16" s="299"/>
      <c r="K16" s="299"/>
      <c r="L16" s="299"/>
      <c r="M16" s="299"/>
      <c r="N16" s="299">
        <v>1</v>
      </c>
      <c r="O16" s="299">
        <v>131</v>
      </c>
      <c r="P16" s="331"/>
      <c r="Q16" s="300">
        <v>131</v>
      </c>
    </row>
    <row r="17" spans="1:17" ht="14.4" customHeight="1" x14ac:dyDescent="0.3">
      <c r="A17" s="295" t="s">
        <v>359</v>
      </c>
      <c r="B17" s="296" t="s">
        <v>320</v>
      </c>
      <c r="C17" s="296" t="s">
        <v>321</v>
      </c>
      <c r="D17" s="296" t="s">
        <v>324</v>
      </c>
      <c r="E17" s="296" t="s">
        <v>325</v>
      </c>
      <c r="F17" s="299">
        <v>1</v>
      </c>
      <c r="G17" s="299">
        <v>341</v>
      </c>
      <c r="H17" s="299">
        <v>1</v>
      </c>
      <c r="I17" s="299">
        <v>341</v>
      </c>
      <c r="J17" s="299"/>
      <c r="K17" s="299"/>
      <c r="L17" s="299"/>
      <c r="M17" s="299"/>
      <c r="N17" s="299"/>
      <c r="O17" s="299"/>
      <c r="P17" s="331"/>
      <c r="Q17" s="300"/>
    </row>
    <row r="18" spans="1:17" ht="14.4" customHeight="1" x14ac:dyDescent="0.3">
      <c r="A18" s="295" t="s">
        <v>359</v>
      </c>
      <c r="B18" s="296" t="s">
        <v>320</v>
      </c>
      <c r="C18" s="296" t="s">
        <v>321</v>
      </c>
      <c r="D18" s="296" t="s">
        <v>328</v>
      </c>
      <c r="E18" s="296" t="s">
        <v>329</v>
      </c>
      <c r="F18" s="299">
        <v>12</v>
      </c>
      <c r="G18" s="299">
        <v>6096</v>
      </c>
      <c r="H18" s="299">
        <v>1</v>
      </c>
      <c r="I18" s="299">
        <v>508</v>
      </c>
      <c r="J18" s="299"/>
      <c r="K18" s="299"/>
      <c r="L18" s="299"/>
      <c r="M18" s="299"/>
      <c r="N18" s="299">
        <v>11</v>
      </c>
      <c r="O18" s="299">
        <v>5632</v>
      </c>
      <c r="P18" s="331">
        <v>0.92388451443569553</v>
      </c>
      <c r="Q18" s="300">
        <v>512</v>
      </c>
    </row>
    <row r="19" spans="1:17" ht="14.4" customHeight="1" x14ac:dyDescent="0.3">
      <c r="A19" s="295" t="s">
        <v>359</v>
      </c>
      <c r="B19" s="296" t="s">
        <v>320</v>
      </c>
      <c r="C19" s="296" t="s">
        <v>321</v>
      </c>
      <c r="D19" s="296" t="s">
        <v>332</v>
      </c>
      <c r="E19" s="296" t="s">
        <v>333</v>
      </c>
      <c r="F19" s="299"/>
      <c r="G19" s="299"/>
      <c r="H19" s="299"/>
      <c r="I19" s="299"/>
      <c r="J19" s="299"/>
      <c r="K19" s="299"/>
      <c r="L19" s="299"/>
      <c r="M19" s="299"/>
      <c r="N19" s="299">
        <v>1</v>
      </c>
      <c r="O19" s="299">
        <v>396</v>
      </c>
      <c r="P19" s="331"/>
      <c r="Q19" s="300">
        <v>396</v>
      </c>
    </row>
    <row r="20" spans="1:17" ht="14.4" customHeight="1" x14ac:dyDescent="0.3">
      <c r="A20" s="295" t="s">
        <v>360</v>
      </c>
      <c r="B20" s="296" t="s">
        <v>320</v>
      </c>
      <c r="C20" s="296" t="s">
        <v>321</v>
      </c>
      <c r="D20" s="296" t="s">
        <v>328</v>
      </c>
      <c r="E20" s="296" t="s">
        <v>329</v>
      </c>
      <c r="F20" s="299"/>
      <c r="G20" s="299"/>
      <c r="H20" s="299"/>
      <c r="I20" s="299"/>
      <c r="J20" s="299"/>
      <c r="K20" s="299"/>
      <c r="L20" s="299"/>
      <c r="M20" s="299"/>
      <c r="N20" s="299">
        <v>2</v>
      </c>
      <c r="O20" s="299">
        <v>1024</v>
      </c>
      <c r="P20" s="331"/>
      <c r="Q20" s="300">
        <v>512</v>
      </c>
    </row>
    <row r="21" spans="1:17" ht="14.4" customHeight="1" x14ac:dyDescent="0.3">
      <c r="A21" s="295" t="s">
        <v>361</v>
      </c>
      <c r="B21" s="296" t="s">
        <v>320</v>
      </c>
      <c r="C21" s="296" t="s">
        <v>321</v>
      </c>
      <c r="D21" s="296" t="s">
        <v>328</v>
      </c>
      <c r="E21" s="296" t="s">
        <v>329</v>
      </c>
      <c r="F21" s="299">
        <v>31</v>
      </c>
      <c r="G21" s="299">
        <v>15748</v>
      </c>
      <c r="H21" s="299">
        <v>1</v>
      </c>
      <c r="I21" s="299">
        <v>508</v>
      </c>
      <c r="J21" s="299"/>
      <c r="K21" s="299"/>
      <c r="L21" s="299"/>
      <c r="M21" s="299"/>
      <c r="N21" s="299"/>
      <c r="O21" s="299"/>
      <c r="P21" s="331"/>
      <c r="Q21" s="300"/>
    </row>
    <row r="22" spans="1:17" ht="14.4" customHeight="1" x14ac:dyDescent="0.3">
      <c r="A22" s="295" t="s">
        <v>362</v>
      </c>
      <c r="B22" s="296" t="s">
        <v>320</v>
      </c>
      <c r="C22" s="296" t="s">
        <v>321</v>
      </c>
      <c r="D22" s="296" t="s">
        <v>328</v>
      </c>
      <c r="E22" s="296" t="s">
        <v>329</v>
      </c>
      <c r="F22" s="299"/>
      <c r="G22" s="299"/>
      <c r="H22" s="299"/>
      <c r="I22" s="299"/>
      <c r="J22" s="299">
        <v>3</v>
      </c>
      <c r="K22" s="299">
        <v>1530</v>
      </c>
      <c r="L22" s="299"/>
      <c r="M22" s="299">
        <v>510</v>
      </c>
      <c r="N22" s="299"/>
      <c r="O22" s="299"/>
      <c r="P22" s="331"/>
      <c r="Q22" s="300"/>
    </row>
    <row r="23" spans="1:17" ht="14.4" customHeight="1" x14ac:dyDescent="0.3">
      <c r="A23" s="295" t="s">
        <v>362</v>
      </c>
      <c r="B23" s="296" t="s">
        <v>320</v>
      </c>
      <c r="C23" s="296" t="s">
        <v>321</v>
      </c>
      <c r="D23" s="296" t="s">
        <v>330</v>
      </c>
      <c r="E23" s="296" t="s">
        <v>331</v>
      </c>
      <c r="F23" s="299"/>
      <c r="G23" s="299"/>
      <c r="H23" s="299"/>
      <c r="I23" s="299"/>
      <c r="J23" s="299">
        <v>1</v>
      </c>
      <c r="K23" s="299">
        <v>259</v>
      </c>
      <c r="L23" s="299"/>
      <c r="M23" s="299">
        <v>259</v>
      </c>
      <c r="N23" s="299"/>
      <c r="O23" s="299"/>
      <c r="P23" s="331"/>
      <c r="Q23" s="300"/>
    </row>
    <row r="24" spans="1:17" ht="14.4" customHeight="1" x14ac:dyDescent="0.3">
      <c r="A24" s="295" t="s">
        <v>363</v>
      </c>
      <c r="B24" s="296" t="s">
        <v>320</v>
      </c>
      <c r="C24" s="296" t="s">
        <v>321</v>
      </c>
      <c r="D24" s="296" t="s">
        <v>324</v>
      </c>
      <c r="E24" s="296" t="s">
        <v>325</v>
      </c>
      <c r="F24" s="299">
        <v>71</v>
      </c>
      <c r="G24" s="299">
        <v>24211</v>
      </c>
      <c r="H24" s="299">
        <v>1</v>
      </c>
      <c r="I24" s="299">
        <v>341</v>
      </c>
      <c r="J24" s="299">
        <v>63</v>
      </c>
      <c r="K24" s="299">
        <v>21609</v>
      </c>
      <c r="L24" s="299">
        <v>0.89252818966585434</v>
      </c>
      <c r="M24" s="299">
        <v>343</v>
      </c>
      <c r="N24" s="299">
        <v>46</v>
      </c>
      <c r="O24" s="299">
        <v>15870</v>
      </c>
      <c r="P24" s="331">
        <v>0.65548717525091904</v>
      </c>
      <c r="Q24" s="300">
        <v>345</v>
      </c>
    </row>
    <row r="25" spans="1:17" ht="14.4" customHeight="1" x14ac:dyDescent="0.3">
      <c r="A25" s="295" t="s">
        <v>363</v>
      </c>
      <c r="B25" s="296" t="s">
        <v>320</v>
      </c>
      <c r="C25" s="296" t="s">
        <v>321</v>
      </c>
      <c r="D25" s="296" t="s">
        <v>328</v>
      </c>
      <c r="E25" s="296" t="s">
        <v>329</v>
      </c>
      <c r="F25" s="299">
        <v>574</v>
      </c>
      <c r="G25" s="299">
        <v>291592</v>
      </c>
      <c r="H25" s="299">
        <v>1</v>
      </c>
      <c r="I25" s="299">
        <v>508</v>
      </c>
      <c r="J25" s="299">
        <v>422</v>
      </c>
      <c r="K25" s="299">
        <v>215220</v>
      </c>
      <c r="L25" s="299">
        <v>0.73808609289692451</v>
      </c>
      <c r="M25" s="299">
        <v>510</v>
      </c>
      <c r="N25" s="299">
        <v>424</v>
      </c>
      <c r="O25" s="299">
        <v>217088</v>
      </c>
      <c r="P25" s="331">
        <v>0.74449230431561908</v>
      </c>
      <c r="Q25" s="300">
        <v>512</v>
      </c>
    </row>
    <row r="26" spans="1:17" ht="14.4" customHeight="1" x14ac:dyDescent="0.3">
      <c r="A26" s="295" t="s">
        <v>363</v>
      </c>
      <c r="B26" s="296" t="s">
        <v>320</v>
      </c>
      <c r="C26" s="296" t="s">
        <v>321</v>
      </c>
      <c r="D26" s="296" t="s">
        <v>330</v>
      </c>
      <c r="E26" s="296" t="s">
        <v>331</v>
      </c>
      <c r="F26" s="299">
        <v>22</v>
      </c>
      <c r="G26" s="299">
        <v>5654</v>
      </c>
      <c r="H26" s="299">
        <v>1</v>
      </c>
      <c r="I26" s="299">
        <v>257</v>
      </c>
      <c r="J26" s="299">
        <v>20</v>
      </c>
      <c r="K26" s="299">
        <v>5180</v>
      </c>
      <c r="L26" s="299">
        <v>0.91616554651574111</v>
      </c>
      <c r="M26" s="299">
        <v>259</v>
      </c>
      <c r="N26" s="299">
        <v>25</v>
      </c>
      <c r="O26" s="299">
        <v>6525</v>
      </c>
      <c r="P26" s="331">
        <v>1.1540502299257163</v>
      </c>
      <c r="Q26" s="300">
        <v>261</v>
      </c>
    </row>
    <row r="27" spans="1:17" ht="14.4" customHeight="1" x14ac:dyDescent="0.3">
      <c r="A27" s="295" t="s">
        <v>363</v>
      </c>
      <c r="B27" s="296" t="s">
        <v>320</v>
      </c>
      <c r="C27" s="296" t="s">
        <v>321</v>
      </c>
      <c r="D27" s="296" t="s">
        <v>353</v>
      </c>
      <c r="E27" s="296" t="s">
        <v>354</v>
      </c>
      <c r="F27" s="299"/>
      <c r="G27" s="299"/>
      <c r="H27" s="299"/>
      <c r="I27" s="299"/>
      <c r="J27" s="299">
        <v>2</v>
      </c>
      <c r="K27" s="299">
        <v>258</v>
      </c>
      <c r="L27" s="299"/>
      <c r="M27" s="299">
        <v>129</v>
      </c>
      <c r="N27" s="299"/>
      <c r="O27" s="299"/>
      <c r="P27" s="331"/>
      <c r="Q27" s="300"/>
    </row>
    <row r="28" spans="1:17" ht="14.4" customHeight="1" x14ac:dyDescent="0.3">
      <c r="A28" s="295" t="s">
        <v>364</v>
      </c>
      <c r="B28" s="296" t="s">
        <v>320</v>
      </c>
      <c r="C28" s="296" t="s">
        <v>321</v>
      </c>
      <c r="D28" s="296" t="s">
        <v>324</v>
      </c>
      <c r="E28" s="296" t="s">
        <v>325</v>
      </c>
      <c r="F28" s="299"/>
      <c r="G28" s="299"/>
      <c r="H28" s="299"/>
      <c r="I28" s="299"/>
      <c r="J28" s="299">
        <v>1</v>
      </c>
      <c r="K28" s="299">
        <v>343</v>
      </c>
      <c r="L28" s="299"/>
      <c r="M28" s="299">
        <v>343</v>
      </c>
      <c r="N28" s="299"/>
      <c r="O28" s="299"/>
      <c r="P28" s="331"/>
      <c r="Q28" s="300"/>
    </row>
    <row r="29" spans="1:17" ht="14.4" customHeight="1" x14ac:dyDescent="0.3">
      <c r="A29" s="295" t="s">
        <v>364</v>
      </c>
      <c r="B29" s="296" t="s">
        <v>320</v>
      </c>
      <c r="C29" s="296" t="s">
        <v>321</v>
      </c>
      <c r="D29" s="296" t="s">
        <v>328</v>
      </c>
      <c r="E29" s="296" t="s">
        <v>329</v>
      </c>
      <c r="F29" s="299"/>
      <c r="G29" s="299"/>
      <c r="H29" s="299"/>
      <c r="I29" s="299"/>
      <c r="J29" s="299">
        <v>19</v>
      </c>
      <c r="K29" s="299">
        <v>9690</v>
      </c>
      <c r="L29" s="299"/>
      <c r="M29" s="299">
        <v>510</v>
      </c>
      <c r="N29" s="299"/>
      <c r="O29" s="299"/>
      <c r="P29" s="331"/>
      <c r="Q29" s="300"/>
    </row>
    <row r="30" spans="1:17" ht="14.4" customHeight="1" x14ac:dyDescent="0.3">
      <c r="A30" s="295" t="s">
        <v>364</v>
      </c>
      <c r="B30" s="296" t="s">
        <v>320</v>
      </c>
      <c r="C30" s="296" t="s">
        <v>321</v>
      </c>
      <c r="D30" s="296" t="s">
        <v>330</v>
      </c>
      <c r="E30" s="296" t="s">
        <v>331</v>
      </c>
      <c r="F30" s="299"/>
      <c r="G30" s="299"/>
      <c r="H30" s="299"/>
      <c r="I30" s="299"/>
      <c r="J30" s="299">
        <v>1</v>
      </c>
      <c r="K30" s="299">
        <v>259</v>
      </c>
      <c r="L30" s="299"/>
      <c r="M30" s="299">
        <v>259</v>
      </c>
      <c r="N30" s="299"/>
      <c r="O30" s="299"/>
      <c r="P30" s="331"/>
      <c r="Q30" s="300"/>
    </row>
    <row r="31" spans="1:17" ht="14.4" customHeight="1" x14ac:dyDescent="0.3">
      <c r="A31" s="295" t="s">
        <v>365</v>
      </c>
      <c r="B31" s="296" t="s">
        <v>320</v>
      </c>
      <c r="C31" s="296" t="s">
        <v>321</v>
      </c>
      <c r="D31" s="296" t="s">
        <v>324</v>
      </c>
      <c r="E31" s="296" t="s">
        <v>325</v>
      </c>
      <c r="F31" s="299">
        <v>11</v>
      </c>
      <c r="G31" s="299">
        <v>3751</v>
      </c>
      <c r="H31" s="299">
        <v>1</v>
      </c>
      <c r="I31" s="299">
        <v>341</v>
      </c>
      <c r="J31" s="299">
        <v>13</v>
      </c>
      <c r="K31" s="299">
        <v>4459</v>
      </c>
      <c r="L31" s="299">
        <v>1.188749666755532</v>
      </c>
      <c r="M31" s="299">
        <v>343</v>
      </c>
      <c r="N31" s="299">
        <v>3</v>
      </c>
      <c r="O31" s="299">
        <v>1035</v>
      </c>
      <c r="P31" s="331">
        <v>0.27592641962143427</v>
      </c>
      <c r="Q31" s="300">
        <v>345</v>
      </c>
    </row>
    <row r="32" spans="1:17" ht="14.4" customHeight="1" x14ac:dyDescent="0.3">
      <c r="A32" s="295" t="s">
        <v>365</v>
      </c>
      <c r="B32" s="296" t="s">
        <v>320</v>
      </c>
      <c r="C32" s="296" t="s">
        <v>321</v>
      </c>
      <c r="D32" s="296" t="s">
        <v>328</v>
      </c>
      <c r="E32" s="296" t="s">
        <v>329</v>
      </c>
      <c r="F32" s="299">
        <v>522</v>
      </c>
      <c r="G32" s="299">
        <v>265176</v>
      </c>
      <c r="H32" s="299">
        <v>1</v>
      </c>
      <c r="I32" s="299">
        <v>508</v>
      </c>
      <c r="J32" s="299">
        <v>315</v>
      </c>
      <c r="K32" s="299">
        <v>160650</v>
      </c>
      <c r="L32" s="299">
        <v>0.60582405647569915</v>
      </c>
      <c r="M32" s="299">
        <v>510</v>
      </c>
      <c r="N32" s="299">
        <v>318</v>
      </c>
      <c r="O32" s="299">
        <v>162816</v>
      </c>
      <c r="P32" s="331">
        <v>0.6139922164901801</v>
      </c>
      <c r="Q32" s="300">
        <v>512</v>
      </c>
    </row>
    <row r="33" spans="1:17" ht="14.4" customHeight="1" x14ac:dyDescent="0.3">
      <c r="A33" s="295" t="s">
        <v>365</v>
      </c>
      <c r="B33" s="296" t="s">
        <v>320</v>
      </c>
      <c r="C33" s="296" t="s">
        <v>321</v>
      </c>
      <c r="D33" s="296" t="s">
        <v>330</v>
      </c>
      <c r="E33" s="296" t="s">
        <v>331</v>
      </c>
      <c r="F33" s="299">
        <v>13</v>
      </c>
      <c r="G33" s="299">
        <v>3341</v>
      </c>
      <c r="H33" s="299">
        <v>1</v>
      </c>
      <c r="I33" s="299">
        <v>257</v>
      </c>
      <c r="J33" s="299">
        <v>6</v>
      </c>
      <c r="K33" s="299">
        <v>1554</v>
      </c>
      <c r="L33" s="299">
        <v>0.46513020053876086</v>
      </c>
      <c r="M33" s="299">
        <v>259</v>
      </c>
      <c r="N33" s="299">
        <v>2</v>
      </c>
      <c r="O33" s="299">
        <v>522</v>
      </c>
      <c r="P33" s="331">
        <v>0.15624064651302005</v>
      </c>
      <c r="Q33" s="300">
        <v>261</v>
      </c>
    </row>
    <row r="34" spans="1:17" ht="14.4" customHeight="1" x14ac:dyDescent="0.3">
      <c r="A34" s="295" t="s">
        <v>365</v>
      </c>
      <c r="B34" s="296" t="s">
        <v>320</v>
      </c>
      <c r="C34" s="296" t="s">
        <v>321</v>
      </c>
      <c r="D34" s="296" t="s">
        <v>353</v>
      </c>
      <c r="E34" s="296" t="s">
        <v>354</v>
      </c>
      <c r="F34" s="299">
        <v>2</v>
      </c>
      <c r="G34" s="299">
        <v>258</v>
      </c>
      <c r="H34" s="299">
        <v>1</v>
      </c>
      <c r="I34" s="299">
        <v>129</v>
      </c>
      <c r="J34" s="299">
        <v>1</v>
      </c>
      <c r="K34" s="299">
        <v>129</v>
      </c>
      <c r="L34" s="299">
        <v>0.5</v>
      </c>
      <c r="M34" s="299">
        <v>129</v>
      </c>
      <c r="N34" s="299"/>
      <c r="O34" s="299"/>
      <c r="P34" s="331"/>
      <c r="Q34" s="300"/>
    </row>
    <row r="35" spans="1:17" ht="14.4" customHeight="1" x14ac:dyDescent="0.3">
      <c r="A35" s="295" t="s">
        <v>366</v>
      </c>
      <c r="B35" s="296" t="s">
        <v>320</v>
      </c>
      <c r="C35" s="296" t="s">
        <v>321</v>
      </c>
      <c r="D35" s="296" t="s">
        <v>324</v>
      </c>
      <c r="E35" s="296" t="s">
        <v>325</v>
      </c>
      <c r="F35" s="299">
        <v>3</v>
      </c>
      <c r="G35" s="299">
        <v>1023</v>
      </c>
      <c r="H35" s="299">
        <v>1</v>
      </c>
      <c r="I35" s="299">
        <v>341</v>
      </c>
      <c r="J35" s="299">
        <v>6</v>
      </c>
      <c r="K35" s="299">
        <v>2058</v>
      </c>
      <c r="L35" s="299">
        <v>2.0117302052785924</v>
      </c>
      <c r="M35" s="299">
        <v>343</v>
      </c>
      <c r="N35" s="299">
        <v>3</v>
      </c>
      <c r="O35" s="299">
        <v>1035</v>
      </c>
      <c r="P35" s="331">
        <v>1.0117302052785924</v>
      </c>
      <c r="Q35" s="300">
        <v>345</v>
      </c>
    </row>
    <row r="36" spans="1:17" ht="14.4" customHeight="1" x14ac:dyDescent="0.3">
      <c r="A36" s="295" t="s">
        <v>366</v>
      </c>
      <c r="B36" s="296" t="s">
        <v>320</v>
      </c>
      <c r="C36" s="296" t="s">
        <v>321</v>
      </c>
      <c r="D36" s="296" t="s">
        <v>328</v>
      </c>
      <c r="E36" s="296" t="s">
        <v>329</v>
      </c>
      <c r="F36" s="299">
        <v>284</v>
      </c>
      <c r="G36" s="299">
        <v>144272</v>
      </c>
      <c r="H36" s="299">
        <v>1</v>
      </c>
      <c r="I36" s="299">
        <v>508</v>
      </c>
      <c r="J36" s="299">
        <v>332</v>
      </c>
      <c r="K36" s="299">
        <v>169320</v>
      </c>
      <c r="L36" s="299">
        <v>1.1736165021625817</v>
      </c>
      <c r="M36" s="299">
        <v>510</v>
      </c>
      <c r="N36" s="299">
        <v>458</v>
      </c>
      <c r="O36" s="299">
        <v>234496</v>
      </c>
      <c r="P36" s="331">
        <v>1.6253742930021071</v>
      </c>
      <c r="Q36" s="300">
        <v>512</v>
      </c>
    </row>
    <row r="37" spans="1:17" ht="14.4" customHeight="1" x14ac:dyDescent="0.3">
      <c r="A37" s="295" t="s">
        <v>366</v>
      </c>
      <c r="B37" s="296" t="s">
        <v>320</v>
      </c>
      <c r="C37" s="296" t="s">
        <v>321</v>
      </c>
      <c r="D37" s="296" t="s">
        <v>330</v>
      </c>
      <c r="E37" s="296" t="s">
        <v>331</v>
      </c>
      <c r="F37" s="299">
        <v>5</v>
      </c>
      <c r="G37" s="299">
        <v>1285</v>
      </c>
      <c r="H37" s="299">
        <v>1</v>
      </c>
      <c r="I37" s="299">
        <v>257</v>
      </c>
      <c r="J37" s="299">
        <v>5</v>
      </c>
      <c r="K37" s="299">
        <v>1295</v>
      </c>
      <c r="L37" s="299">
        <v>1.0077821011673151</v>
      </c>
      <c r="M37" s="299">
        <v>259</v>
      </c>
      <c r="N37" s="299">
        <v>4</v>
      </c>
      <c r="O37" s="299">
        <v>1044</v>
      </c>
      <c r="P37" s="331">
        <v>0.81245136186770428</v>
      </c>
      <c r="Q37" s="300">
        <v>261</v>
      </c>
    </row>
    <row r="38" spans="1:17" ht="14.4" customHeight="1" x14ac:dyDescent="0.3">
      <c r="A38" s="295" t="s">
        <v>367</v>
      </c>
      <c r="B38" s="296" t="s">
        <v>320</v>
      </c>
      <c r="C38" s="296" t="s">
        <v>321</v>
      </c>
      <c r="D38" s="296" t="s">
        <v>324</v>
      </c>
      <c r="E38" s="296" t="s">
        <v>325</v>
      </c>
      <c r="F38" s="299"/>
      <c r="G38" s="299"/>
      <c r="H38" s="299"/>
      <c r="I38" s="299"/>
      <c r="J38" s="299"/>
      <c r="K38" s="299"/>
      <c r="L38" s="299"/>
      <c r="M38" s="299"/>
      <c r="N38" s="299">
        <v>1</v>
      </c>
      <c r="O38" s="299">
        <v>345</v>
      </c>
      <c r="P38" s="331"/>
      <c r="Q38" s="300">
        <v>345</v>
      </c>
    </row>
    <row r="39" spans="1:17" ht="14.4" customHeight="1" x14ac:dyDescent="0.3">
      <c r="A39" s="295" t="s">
        <v>367</v>
      </c>
      <c r="B39" s="296" t="s">
        <v>320</v>
      </c>
      <c r="C39" s="296" t="s">
        <v>321</v>
      </c>
      <c r="D39" s="296" t="s">
        <v>328</v>
      </c>
      <c r="E39" s="296" t="s">
        <v>329</v>
      </c>
      <c r="F39" s="299"/>
      <c r="G39" s="299"/>
      <c r="H39" s="299"/>
      <c r="I39" s="299"/>
      <c r="J39" s="299"/>
      <c r="K39" s="299"/>
      <c r="L39" s="299"/>
      <c r="M39" s="299"/>
      <c r="N39" s="299">
        <v>17</v>
      </c>
      <c r="O39" s="299">
        <v>8704</v>
      </c>
      <c r="P39" s="331"/>
      <c r="Q39" s="300">
        <v>512</v>
      </c>
    </row>
    <row r="40" spans="1:17" ht="14.4" customHeight="1" x14ac:dyDescent="0.3">
      <c r="A40" s="295" t="s">
        <v>368</v>
      </c>
      <c r="B40" s="296" t="s">
        <v>320</v>
      </c>
      <c r="C40" s="296" t="s">
        <v>321</v>
      </c>
      <c r="D40" s="296" t="s">
        <v>324</v>
      </c>
      <c r="E40" s="296" t="s">
        <v>325</v>
      </c>
      <c r="F40" s="299">
        <v>0</v>
      </c>
      <c r="G40" s="299">
        <v>0</v>
      </c>
      <c r="H40" s="299"/>
      <c r="I40" s="299"/>
      <c r="J40" s="299"/>
      <c r="K40" s="299"/>
      <c r="L40" s="299"/>
      <c r="M40" s="299"/>
      <c r="N40" s="299"/>
      <c r="O40" s="299"/>
      <c r="P40" s="331"/>
      <c r="Q40" s="300"/>
    </row>
    <row r="41" spans="1:17" ht="14.4" customHeight="1" x14ac:dyDescent="0.3">
      <c r="A41" s="295" t="s">
        <v>368</v>
      </c>
      <c r="B41" s="296" t="s">
        <v>320</v>
      </c>
      <c r="C41" s="296" t="s">
        <v>321</v>
      </c>
      <c r="D41" s="296" t="s">
        <v>328</v>
      </c>
      <c r="E41" s="296" t="s">
        <v>329</v>
      </c>
      <c r="F41" s="299">
        <v>6</v>
      </c>
      <c r="G41" s="299">
        <v>3048</v>
      </c>
      <c r="H41" s="299">
        <v>1</v>
      </c>
      <c r="I41" s="299">
        <v>508</v>
      </c>
      <c r="J41" s="299"/>
      <c r="K41" s="299"/>
      <c r="L41" s="299"/>
      <c r="M41" s="299"/>
      <c r="N41" s="299"/>
      <c r="O41" s="299"/>
      <c r="P41" s="331"/>
      <c r="Q41" s="300"/>
    </row>
    <row r="42" spans="1:17" ht="14.4" customHeight="1" x14ac:dyDescent="0.3">
      <c r="A42" s="295" t="s">
        <v>368</v>
      </c>
      <c r="B42" s="296" t="s">
        <v>320</v>
      </c>
      <c r="C42" s="296" t="s">
        <v>321</v>
      </c>
      <c r="D42" s="296" t="s">
        <v>330</v>
      </c>
      <c r="E42" s="296" t="s">
        <v>331</v>
      </c>
      <c r="F42" s="299">
        <v>2</v>
      </c>
      <c r="G42" s="299">
        <v>514</v>
      </c>
      <c r="H42" s="299">
        <v>1</v>
      </c>
      <c r="I42" s="299">
        <v>257</v>
      </c>
      <c r="J42" s="299"/>
      <c r="K42" s="299"/>
      <c r="L42" s="299"/>
      <c r="M42" s="299"/>
      <c r="N42" s="299"/>
      <c r="O42" s="299"/>
      <c r="P42" s="331"/>
      <c r="Q42" s="300"/>
    </row>
    <row r="43" spans="1:17" ht="14.4" customHeight="1" x14ac:dyDescent="0.3">
      <c r="A43" s="295" t="s">
        <v>369</v>
      </c>
      <c r="B43" s="296" t="s">
        <v>320</v>
      </c>
      <c r="C43" s="296" t="s">
        <v>321</v>
      </c>
      <c r="D43" s="296" t="s">
        <v>324</v>
      </c>
      <c r="E43" s="296" t="s">
        <v>325</v>
      </c>
      <c r="F43" s="299"/>
      <c r="G43" s="299"/>
      <c r="H43" s="299"/>
      <c r="I43" s="299"/>
      <c r="J43" s="299">
        <v>1</v>
      </c>
      <c r="K43" s="299">
        <v>343</v>
      </c>
      <c r="L43" s="299"/>
      <c r="M43" s="299">
        <v>343</v>
      </c>
      <c r="N43" s="299"/>
      <c r="O43" s="299"/>
      <c r="P43" s="331"/>
      <c r="Q43" s="300"/>
    </row>
    <row r="44" spans="1:17" ht="14.4" customHeight="1" thickBot="1" x14ac:dyDescent="0.35">
      <c r="A44" s="301" t="s">
        <v>369</v>
      </c>
      <c r="B44" s="302" t="s">
        <v>320</v>
      </c>
      <c r="C44" s="302" t="s">
        <v>321</v>
      </c>
      <c r="D44" s="302" t="s">
        <v>328</v>
      </c>
      <c r="E44" s="302" t="s">
        <v>329</v>
      </c>
      <c r="F44" s="305"/>
      <c r="G44" s="305"/>
      <c r="H44" s="305"/>
      <c r="I44" s="305"/>
      <c r="J44" s="305">
        <v>6</v>
      </c>
      <c r="K44" s="305">
        <v>3060</v>
      </c>
      <c r="L44" s="305"/>
      <c r="M44" s="305">
        <v>510</v>
      </c>
      <c r="N44" s="305"/>
      <c r="O44" s="305"/>
      <c r="P44" s="332"/>
      <c r="Q44" s="30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40" customWidth="1"/>
    <col min="5" max="5" width="11" style="141" customWidth="1"/>
  </cols>
  <sheetData>
    <row r="1" spans="1:7" ht="18.600000000000001" thickBot="1" x14ac:dyDescent="0.4">
      <c r="A1" s="200" t="s">
        <v>127</v>
      </c>
      <c r="B1" s="201"/>
      <c r="C1" s="202"/>
      <c r="D1" s="202"/>
      <c r="E1" s="202"/>
      <c r="F1" s="90"/>
      <c r="G1" s="90"/>
    </row>
    <row r="2" spans="1:7" ht="14.4" customHeight="1" thickBot="1" x14ac:dyDescent="0.35">
      <c r="A2" s="251" t="s">
        <v>155</v>
      </c>
      <c r="B2" s="122"/>
    </row>
    <row r="3" spans="1:7" ht="14.4" customHeight="1" thickBot="1" x14ac:dyDescent="0.35">
      <c r="A3" s="142"/>
      <c r="C3" s="143" t="s">
        <v>116</v>
      </c>
      <c r="D3" s="144" t="s">
        <v>80</v>
      </c>
      <c r="E3" s="145" t="s">
        <v>82</v>
      </c>
    </row>
    <row r="4" spans="1:7" ht="14.4" customHeight="1" thickBot="1" x14ac:dyDescent="0.35">
      <c r="A4" s="187" t="str">
        <f>HYPERLINK("#HI!A1","NÁKLADY CELKEM (v tisících Kč)")</f>
        <v>NÁKLADY CELKEM (v tisících Kč)</v>
      </c>
      <c r="B4" s="156"/>
      <c r="C4" s="166">
        <f ca="1">IF(ISERROR(VLOOKUP("Náklady celkem",INDIRECT("HI!$A:$G"),6,0)),0,VLOOKUP("Náklady celkem",INDIRECT("HI!$A:$G"),6,0))</f>
        <v>2334</v>
      </c>
      <c r="D4" s="166">
        <f ca="1">IF(ISERROR(VLOOKUP("Náklady celkem",INDIRECT("HI!$A:$G"),4,0)),0,VLOOKUP("Náklady celkem",INDIRECT("HI!$A:$G"),4,0))</f>
        <v>2579.1523200000001</v>
      </c>
      <c r="E4" s="159">
        <f ca="1">IF(C4=0,0,D4/C4)</f>
        <v>1.1050352699228791</v>
      </c>
    </row>
    <row r="5" spans="1:7" ht="14.4" customHeight="1" x14ac:dyDescent="0.3">
      <c r="A5" s="152" t="s">
        <v>147</v>
      </c>
      <c r="B5" s="147"/>
      <c r="C5" s="167"/>
      <c r="D5" s="167"/>
      <c r="E5" s="160"/>
    </row>
    <row r="6" spans="1:7" ht="14.4" customHeight="1" x14ac:dyDescent="0.3">
      <c r="A6" s="182" t="s">
        <v>152</v>
      </c>
      <c r="B6" s="148"/>
      <c r="C6" s="158"/>
      <c r="D6" s="158"/>
      <c r="E6" s="160"/>
    </row>
    <row r="7" spans="1:7" ht="14.4" customHeight="1" x14ac:dyDescent="0.3">
      <c r="A7" s="18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8" t="s">
        <v>120</v>
      </c>
      <c r="C7" s="158">
        <f>IF(ISERROR(HI!F5),"",HI!F5)</f>
        <v>-9.8813129168249309E-324</v>
      </c>
      <c r="D7" s="158">
        <f>IF(ISERROR(HI!D5),"",HI!D5)</f>
        <v>0.47911999999999999</v>
      </c>
      <c r="E7" s="160" t="e">
        <f t="shared" ref="E7:E11" si="0">IF(C7=0,0,D7/C7)</f>
        <v>#DIV/0!</v>
      </c>
    </row>
    <row r="8" spans="1:7" ht="14.4" customHeight="1" x14ac:dyDescent="0.3">
      <c r="A8" s="153" t="s">
        <v>148</v>
      </c>
      <c r="B8" s="148"/>
      <c r="C8" s="158"/>
      <c r="D8" s="158"/>
      <c r="E8" s="160"/>
    </row>
    <row r="9" spans="1:7" ht="14.4" customHeight="1" x14ac:dyDescent="0.3">
      <c r="A9" s="153" t="s">
        <v>149</v>
      </c>
      <c r="B9" s="148"/>
      <c r="C9" s="158"/>
      <c r="D9" s="158"/>
      <c r="E9" s="160"/>
    </row>
    <row r="10" spans="1:7" ht="14.4" customHeight="1" x14ac:dyDescent="0.3">
      <c r="A10" s="183" t="s">
        <v>153</v>
      </c>
      <c r="B10" s="148"/>
      <c r="C10" s="167"/>
      <c r="D10" s="167"/>
      <c r="E10" s="160"/>
    </row>
    <row r="11" spans="1:7" ht="14.4" customHeight="1" x14ac:dyDescent="0.3">
      <c r="A11" s="1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8" t="s">
        <v>120</v>
      </c>
      <c r="C11" s="158">
        <f>IF(ISERROR(HI!F6),"",HI!F6)</f>
        <v>0</v>
      </c>
      <c r="D11" s="158">
        <f>IF(ISERROR(HI!D6),"",HI!D6)</f>
        <v>0.04</v>
      </c>
      <c r="E11" s="160">
        <f t="shared" si="0"/>
        <v>0</v>
      </c>
    </row>
    <row r="12" spans="1:7" ht="14.4" customHeight="1" thickBot="1" x14ac:dyDescent="0.35">
      <c r="A12" s="185" t="str">
        <f>HYPERLINK("#HI!A1","Osobní náklady")</f>
        <v>Osobní náklady</v>
      </c>
      <c r="B12" s="148"/>
      <c r="C12" s="167">
        <f ca="1">IF(ISERROR(VLOOKUP("Osobní náklady (Kč)",INDIRECT("HI!$A:$G"),6,0)),0,VLOOKUP("Osobní náklady (Kč)",INDIRECT("HI!$A:$G"),6,0))</f>
        <v>2145</v>
      </c>
      <c r="D12" s="167">
        <f ca="1">IF(ISERROR(VLOOKUP("Osobní náklady (Kč)",INDIRECT("HI!$A:$G"),4,0)),0,VLOOKUP("Osobní náklady (Kč)",INDIRECT("HI!$A:$G"),4,0))</f>
        <v>2362.8350399999999</v>
      </c>
      <c r="E12" s="160">
        <f t="shared" ref="E12" ca="1" si="1">IF(C12=0,0,D12/C12)</f>
        <v>1.1015547972027973</v>
      </c>
    </row>
    <row r="13" spans="1:7" ht="14.4" customHeight="1" thickBot="1" x14ac:dyDescent="0.35">
      <c r="A13" s="172"/>
      <c r="B13" s="173"/>
      <c r="C13" s="174"/>
      <c r="D13" s="174"/>
      <c r="E13" s="162"/>
    </row>
    <row r="14" spans="1:7" ht="14.4" customHeight="1" thickBot="1" x14ac:dyDescent="0.35">
      <c r="A14" s="186" t="str">
        <f>HYPERLINK("#HI!A1","VÝNOSY CELKEM (v tisících; ""Ambulace-body"" + ""Hospitalizace-casemix""*29500)")</f>
        <v>VÝNOSY CELKEM (v tisících; "Ambulace-body" + "Hospitalizace-casemix"*29500)</v>
      </c>
      <c r="B14" s="150"/>
      <c r="C14" s="170">
        <f ca="1">IF(ISERROR(VLOOKUP("Výnosy celkem",INDIRECT("HI!$A:$G"),6,0)),0,VLOOKUP("Výnosy celkem",INDIRECT("HI!$A:$G"),6,0))</f>
        <v>665.55719999999997</v>
      </c>
      <c r="D14" s="170">
        <f ca="1">IF(ISERROR(VLOOKUP("Výnosy celkem",INDIRECT("HI!$A:$G"),4,0)),0,VLOOKUP("Výnosy celkem",INDIRECT("HI!$A:$G"),4,0))</f>
        <v>679.28599999999994</v>
      </c>
      <c r="E14" s="163">
        <f t="shared" ref="E14:E17" ca="1" si="2">IF(C14=0,0,D14/C14)</f>
        <v>1.0206275283326511</v>
      </c>
    </row>
    <row r="15" spans="1:7" ht="14.4" customHeight="1" x14ac:dyDescent="0.3">
      <c r="A15" s="188" t="str">
        <f>HYPERLINK("#HI!A1","Ambulance (body)")</f>
        <v>Ambulance (body)</v>
      </c>
      <c r="B15" s="147"/>
      <c r="C15" s="167">
        <f ca="1">IF(ISERROR(VLOOKUP("Ambulance (body)",INDIRECT("HI!$A:$G"),6,0)),0,VLOOKUP("Ambulance (body)",INDIRECT("HI!$A:$G"),6,0))</f>
        <v>665.55719999999997</v>
      </c>
      <c r="D15" s="167">
        <f ca="1">IF(ISERROR(VLOOKUP("Ambulance (body)",INDIRECT("HI!$A:$G"),4,0)),0,VLOOKUP("Ambulance (body)",INDIRECT("HI!$A:$G"),4,0))</f>
        <v>679.28599999999994</v>
      </c>
      <c r="E15" s="160">
        <f t="shared" ca="1" si="2"/>
        <v>1.0206275283326511</v>
      </c>
    </row>
    <row r="16" spans="1:7" ht="14.4" customHeight="1" x14ac:dyDescent="0.3">
      <c r="A16" s="181" t="str">
        <f>HYPERLINK("#'ZV Vykáz.-A'!A1","Zdravotní výkony vykázané u ambulantních pacientů (min. 100 %)")</f>
        <v>Zdravotní výkony vykázané u ambulantních pacientů (min. 100 %)</v>
      </c>
      <c r="B16" t="s">
        <v>129</v>
      </c>
      <c r="C16" s="157">
        <v>1</v>
      </c>
      <c r="D16" s="157">
        <f>IF(ISERROR(VLOOKUP("Celkem:",'ZV Vykáz.-A'!$A:$S,7,0)),"",VLOOKUP("Celkem:",'ZV Vykáz.-A'!$A:$S,7,0))</f>
        <v>1.0002149777659981</v>
      </c>
      <c r="E16" s="160">
        <f t="shared" si="2"/>
        <v>1.0002149777659981</v>
      </c>
    </row>
    <row r="17" spans="1:5" ht="14.4" customHeight="1" x14ac:dyDescent="0.3">
      <c r="A17" s="181" t="str">
        <f>HYPERLINK("#'ZV Vykáz.-H'!A1","Zdravotní výkony vykázané u hospitalizovaných pacientů (max. 85 %)")</f>
        <v>Zdravotní výkony vykázané u hospitalizovaných pacientů (max. 85 %)</v>
      </c>
      <c r="B17" t="s">
        <v>131</v>
      </c>
      <c r="C17" s="157">
        <v>0.85</v>
      </c>
      <c r="D17" s="157">
        <f>IF(ISERROR(VLOOKUP("Celkem:",'ZV Vykáz.-H'!$A:$S,7,0)),"",VLOOKUP("Celkem:",'ZV Vykáz.-H'!$A:$S,7,0))</f>
        <v>0.84674283565193142</v>
      </c>
      <c r="E17" s="160">
        <f t="shared" si="2"/>
        <v>0.99616804194344877</v>
      </c>
    </row>
    <row r="18" spans="1:5" ht="14.4" customHeight="1" x14ac:dyDescent="0.3">
      <c r="A18" s="189" t="str">
        <f>HYPERLINK("#HI!A1","Hospitalizace (casemix * 29500)")</f>
        <v>Hospitalizace (casemix * 29500)</v>
      </c>
      <c r="B18" s="148"/>
      <c r="C18" s="167">
        <f ca="1">IF(ISERROR(VLOOKUP("Hospitalizace (casemix * 29500)",INDIRECT("HI!$A:$G"),6,0)),0,VLOOKUP("Hospitalizace (casemix * 29500)",INDIRECT("HI!$A:$G"),6,0))</f>
        <v>0</v>
      </c>
      <c r="D18" s="167">
        <f ca="1">IF(ISERROR(VLOOKUP("Hospitalizace (casemix * 29500)",INDIRECT("HI!$A:$G"),4,0)),0,VLOOKUP("Hospitalizace (casemix * 29500)",INDIRECT("HI!$A:$G"),4,0))</f>
        <v>0</v>
      </c>
      <c r="E18" s="160">
        <f t="shared" ref="E18" ca="1" si="3">IF(C18=0,0,D18/C18)</f>
        <v>0</v>
      </c>
    </row>
    <row r="19" spans="1:5" ht="14.4" customHeight="1" thickBot="1" x14ac:dyDescent="0.35">
      <c r="A19" s="154" t="s">
        <v>150</v>
      </c>
      <c r="B19" s="149"/>
      <c r="C19" s="168"/>
      <c r="D19" s="168"/>
      <c r="E19" s="161"/>
    </row>
    <row r="20" spans="1:5" ht="14.4" customHeight="1" thickBot="1" x14ac:dyDescent="0.35">
      <c r="A20" s="146"/>
      <c r="B20" s="114"/>
      <c r="C20" s="169"/>
      <c r="D20" s="169"/>
      <c r="E20" s="164"/>
    </row>
    <row r="21" spans="1:5" ht="14.4" customHeight="1" thickBot="1" x14ac:dyDescent="0.35">
      <c r="A21" s="155" t="s">
        <v>151</v>
      </c>
      <c r="B21" s="151"/>
      <c r="C21" s="171"/>
      <c r="D21" s="171"/>
      <c r="E21" s="165"/>
    </row>
  </sheetData>
  <mergeCells count="1">
    <mergeCell ref="A1:E1"/>
  </mergeCells>
  <conditionalFormatting sqref="E5">
    <cfRule type="cellIs" dxfId="4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42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41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200" t="s">
        <v>138</v>
      </c>
      <c r="B1" s="200"/>
      <c r="C1" s="200"/>
      <c r="D1" s="200"/>
      <c r="E1" s="200"/>
      <c r="F1" s="200"/>
      <c r="G1" s="200"/>
    </row>
    <row r="2" spans="1:7" ht="14.4" customHeight="1" thickBot="1" x14ac:dyDescent="0.35">
      <c r="A2" s="251" t="s">
        <v>155</v>
      </c>
      <c r="B2" s="61"/>
      <c r="C2" s="61"/>
      <c r="D2" s="61"/>
      <c r="E2" s="61"/>
      <c r="F2" s="61"/>
      <c r="G2" s="61"/>
    </row>
    <row r="3" spans="1:7" ht="14.4" customHeight="1" x14ac:dyDescent="0.3">
      <c r="A3" s="203"/>
      <c r="B3" s="205" t="s">
        <v>80</v>
      </c>
      <c r="C3" s="206"/>
      <c r="D3" s="207"/>
      <c r="E3" s="10"/>
      <c r="F3" s="48" t="s">
        <v>81</v>
      </c>
      <c r="G3" s="49" t="s">
        <v>82</v>
      </c>
    </row>
    <row r="4" spans="1:7" ht="14.4" customHeight="1" thickBot="1" x14ac:dyDescent="0.35">
      <c r="A4" s="204"/>
      <c r="B4" s="50">
        <v>2011</v>
      </c>
      <c r="C4" s="46">
        <v>2012</v>
      </c>
      <c r="D4" s="47">
        <v>2013</v>
      </c>
      <c r="E4" s="10"/>
      <c r="F4" s="208">
        <v>2013</v>
      </c>
      <c r="G4" s="209"/>
    </row>
    <row r="5" spans="1:7" ht="14.4" customHeight="1" x14ac:dyDescent="0.3">
      <c r="A5" s="175" t="str">
        <f>HYPERLINK("#'Léky Žádanky'!A1","Léky (Kč)")</f>
        <v>Léky (Kč)</v>
      </c>
      <c r="B5" s="33">
        <v>0</v>
      </c>
      <c r="C5" s="34">
        <v>0.26845000000000002</v>
      </c>
      <c r="D5" s="35">
        <v>0.47911999999999999</v>
      </c>
      <c r="E5" s="11"/>
      <c r="F5" s="12">
        <v>-9.8813129168249309E-324</v>
      </c>
      <c r="G5" s="13" t="str">
        <f>IF(F5&lt;0.00000001,"",D5/F5)</f>
        <v/>
      </c>
    </row>
    <row r="6" spans="1:7" ht="14.4" customHeight="1" x14ac:dyDescent="0.3">
      <c r="A6" s="175" t="str">
        <f>HYPERLINK("#'Materiál Žádanky'!A1","Materiál - SZM (Kč)")</f>
        <v>Materiál - SZM (Kč)</v>
      </c>
      <c r="B6" s="14">
        <v>0</v>
      </c>
      <c r="C6" s="36">
        <v>1.303E-2</v>
      </c>
      <c r="D6" s="37">
        <v>0.04</v>
      </c>
      <c r="E6" s="11"/>
      <c r="F6" s="14">
        <v>0</v>
      </c>
      <c r="G6" s="15" t="str">
        <f>IF(F6&lt;0.00000001,"",D6/F6)</f>
        <v/>
      </c>
    </row>
    <row r="7" spans="1:7" ht="14.4" customHeight="1" x14ac:dyDescent="0.3">
      <c r="A7" s="175" t="str">
        <f>HYPERLINK("#'Osobní náklady'!A1","Osobní náklady (Kč)")</f>
        <v>Osobní náklady (Kč)</v>
      </c>
      <c r="B7" s="14">
        <v>2243.9911157022598</v>
      </c>
      <c r="C7" s="36">
        <v>2092.7243800000001</v>
      </c>
      <c r="D7" s="37">
        <v>2362.8350399999999</v>
      </c>
      <c r="E7" s="11"/>
      <c r="F7" s="14">
        <v>2145</v>
      </c>
      <c r="G7" s="15">
        <f>IF(F7&lt;0.00000001,"",D7/F7)</f>
        <v>1.1015547972027973</v>
      </c>
    </row>
    <row r="8" spans="1:7" ht="14.4" customHeight="1" thickBot="1" x14ac:dyDescent="0.35">
      <c r="A8" s="1" t="s">
        <v>83</v>
      </c>
      <c r="B8" s="16">
        <v>204.737764133588</v>
      </c>
      <c r="C8" s="38">
        <v>260.86138</v>
      </c>
      <c r="D8" s="39">
        <v>215.79816</v>
      </c>
      <c r="E8" s="11"/>
      <c r="F8" s="16">
        <v>189</v>
      </c>
      <c r="G8" s="17">
        <f>IF(F8&lt;0.00000001,"",D8/F8)</f>
        <v>1.1417892063492063</v>
      </c>
    </row>
    <row r="9" spans="1:7" ht="14.4" customHeight="1" thickBot="1" x14ac:dyDescent="0.35">
      <c r="A9" s="2" t="s">
        <v>84</v>
      </c>
      <c r="B9" s="3">
        <v>2448.72887983585</v>
      </c>
      <c r="C9" s="40">
        <v>2353.86724</v>
      </c>
      <c r="D9" s="41">
        <v>2579.1523200000001</v>
      </c>
      <c r="E9" s="11"/>
      <c r="F9" s="3">
        <v>2334</v>
      </c>
      <c r="G9" s="4">
        <f>IF(F9&lt;0.00000001,"",D9/F9)</f>
        <v>1.1050352699228791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77" t="str">
        <f>HYPERLINK("#'ZV Vykáz.-A'!A1","Ambulance (body)")</f>
        <v>Ambulance (body)</v>
      </c>
      <c r="B11" s="12">
        <f>IF(ISERROR(VLOOKUP("Celkem:",'ZV Vykáz.-A'!A:F,2,0)),0,VLOOKUP("Celkem:",'ZV Vykáz.-A'!A:F,2,0)/1000)</f>
        <v>679.14</v>
      </c>
      <c r="C11" s="34">
        <f>IF(ISERROR(VLOOKUP("Celkem:",'ZV Vykáz.-A'!A:F,4,0)),0,VLOOKUP("Celkem:",'ZV Vykáz.-A'!A:F,4,0)/1000)</f>
        <v>806.93299999999999</v>
      </c>
      <c r="D11" s="35">
        <f>IF(ISERROR(VLOOKUP("Celkem:",'ZV Vykáz.-A'!A:F,6,0)),0,VLOOKUP("Celkem:",'ZV Vykáz.-A'!A:F,6,0)/1000)</f>
        <v>679.28599999999994</v>
      </c>
      <c r="E11" s="11"/>
      <c r="F11" s="12">
        <f>B11*0.98</f>
        <v>665.55719999999997</v>
      </c>
      <c r="G11" s="13">
        <f>IF(F11=0,"",D11/F11)</f>
        <v>1.0206275283326511</v>
      </c>
    </row>
    <row r="12" spans="1:7" ht="14.4" customHeight="1" thickBot="1" x14ac:dyDescent="0.35">
      <c r="A12" s="178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87</v>
      </c>
      <c r="B13" s="6">
        <f>SUM(B11:B12)</f>
        <v>679.14</v>
      </c>
      <c r="C13" s="42">
        <f>SUM(C11:C12)</f>
        <v>806.93299999999999</v>
      </c>
      <c r="D13" s="43">
        <f>SUM(D11:D12)</f>
        <v>679.28599999999994</v>
      </c>
      <c r="E13" s="11"/>
      <c r="F13" s="6">
        <f>SUM(F11:F12)</f>
        <v>665.55719999999997</v>
      </c>
      <c r="G13" s="7">
        <f>IF(F13=0,"",D13/F13)</f>
        <v>1.0206275283326511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84" t="str">
        <f>HYPERLINK("#'HI Graf'!A1","Hospodářský index (Výnosy / Náklady)")</f>
        <v>Hospodářský index (Výnosy / Náklady)</v>
      </c>
      <c r="B15" s="8">
        <f>IF(B9=0,"",B13/B9)</f>
        <v>0.27734389282227356</v>
      </c>
      <c r="C15" s="44">
        <f>IF(C9=0,"",C13/C9)</f>
        <v>0.34281160223802598</v>
      </c>
      <c r="D15" s="45">
        <f>IF(D9=0,"",D13/D9)</f>
        <v>0.26337568151073759</v>
      </c>
      <c r="E15" s="11"/>
      <c r="F15" s="8">
        <f>IF(F9=0,"",F13/F9)</f>
        <v>0.28515732647814906</v>
      </c>
      <c r="G15" s="9">
        <f>IF(OR(F15=0,F15=""),"",D15/F15)</f>
        <v>0.92361534162061742</v>
      </c>
    </row>
    <row r="17" spans="1:1" ht="14.4" customHeight="1" x14ac:dyDescent="0.3">
      <c r="A17" s="17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0" priority="6" operator="greaterThan">
      <formula>1</formula>
    </cfRule>
  </conditionalFormatting>
  <conditionalFormatting sqref="G11:G15">
    <cfRule type="cellIs" dxfId="39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89"/>
    <col min="2" max="13" width="8.88671875" style="89" customWidth="1"/>
    <col min="14" max="16384" width="8.88671875" style="89"/>
  </cols>
  <sheetData>
    <row r="1" spans="1:13" ht="18.600000000000001" customHeight="1" thickBot="1" x14ac:dyDescent="0.4">
      <c r="A1" s="200" t="s">
        <v>114</v>
      </c>
      <c r="B1" s="200"/>
      <c r="C1" s="200"/>
      <c r="D1" s="200"/>
      <c r="E1" s="200"/>
      <c r="F1" s="200"/>
      <c r="G1" s="200"/>
      <c r="H1" s="210"/>
      <c r="I1" s="210"/>
      <c r="J1" s="210"/>
      <c r="K1" s="210"/>
      <c r="L1" s="210"/>
      <c r="M1" s="210"/>
    </row>
    <row r="2" spans="1:13" ht="14.4" customHeight="1" x14ac:dyDescent="0.3">
      <c r="A2" s="251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14.4" customHeight="1" x14ac:dyDescent="0.3">
      <c r="A3" s="126"/>
      <c r="B3" s="127" t="s">
        <v>89</v>
      </c>
      <c r="C3" s="128" t="s">
        <v>90</v>
      </c>
      <c r="D3" s="128" t="s">
        <v>91</v>
      </c>
      <c r="E3" s="127" t="s">
        <v>92</v>
      </c>
      <c r="F3" s="128" t="s">
        <v>93</v>
      </c>
      <c r="G3" s="128" t="s">
        <v>94</v>
      </c>
      <c r="H3" s="128" t="s">
        <v>95</v>
      </c>
      <c r="I3" s="128" t="s">
        <v>96</v>
      </c>
      <c r="J3" s="128" t="s">
        <v>97</v>
      </c>
      <c r="K3" s="128" t="s">
        <v>98</v>
      </c>
      <c r="L3" s="128" t="s">
        <v>99</v>
      </c>
      <c r="M3" s="128" t="s">
        <v>100</v>
      </c>
    </row>
    <row r="4" spans="1:13" ht="14.4" customHeight="1" x14ac:dyDescent="0.3">
      <c r="A4" s="126" t="s">
        <v>88</v>
      </c>
      <c r="B4" s="129">
        <f>(B10+B8)/B6</f>
        <v>0.3827352403416639</v>
      </c>
      <c r="C4" s="129">
        <f t="shared" ref="C4:M4" si="0">(C10+C8)/C6</f>
        <v>0.34025112134002988</v>
      </c>
      <c r="D4" s="129">
        <f t="shared" si="0"/>
        <v>0.31996773446368426</v>
      </c>
      <c r="E4" s="129">
        <f t="shared" si="0"/>
        <v>0.32976204575622436</v>
      </c>
      <c r="F4" s="129">
        <f t="shared" si="0"/>
        <v>0.31702528255350726</v>
      </c>
      <c r="G4" s="129">
        <f t="shared" si="0"/>
        <v>0.32284757935612851</v>
      </c>
      <c r="H4" s="129">
        <f t="shared" si="0"/>
        <v>0.28201373616171455</v>
      </c>
      <c r="I4" s="129">
        <f t="shared" si="0"/>
        <v>0.26445705647406531</v>
      </c>
      <c r="J4" s="129">
        <f t="shared" si="0"/>
        <v>0.26476097100270274</v>
      </c>
      <c r="K4" s="129">
        <f t="shared" si="0"/>
        <v>0.26009566572243031</v>
      </c>
      <c r="L4" s="129">
        <f t="shared" si="0"/>
        <v>0.26337568151073759</v>
      </c>
      <c r="M4" s="129">
        <f t="shared" si="0"/>
        <v>0.26337568151073759</v>
      </c>
    </row>
    <row r="5" spans="1:13" ht="14.4" customHeight="1" x14ac:dyDescent="0.3">
      <c r="A5" s="130" t="s">
        <v>55</v>
      </c>
      <c r="B5" s="129">
        <f>IF(ISERROR(VLOOKUP($A5,'Man Tab'!$A:$Q,COLUMN()+2,0)),0,VLOOKUP($A5,'Man Tab'!$A:$Q,COLUMN()+2,0))</f>
        <v>237.00718000000001</v>
      </c>
      <c r="C5" s="129">
        <f>IF(ISERROR(VLOOKUP($A5,'Man Tab'!$A:$Q,COLUMN()+2,0)),0,VLOOKUP($A5,'Man Tab'!$A:$Q,COLUMN()+2,0))</f>
        <v>224.00819999999999</v>
      </c>
      <c r="D5" s="129">
        <f>IF(ISERROR(VLOOKUP($A5,'Man Tab'!$A:$Q,COLUMN()+2,0)),0,VLOOKUP($A5,'Man Tab'!$A:$Q,COLUMN()+2,0))</f>
        <v>225.09129999999999</v>
      </c>
      <c r="E5" s="129">
        <f>IF(ISERROR(VLOOKUP($A5,'Man Tab'!$A:$Q,COLUMN()+2,0)),0,VLOOKUP($A5,'Man Tab'!$A:$Q,COLUMN()+2,0))</f>
        <v>218.77610999999999</v>
      </c>
      <c r="F5" s="129">
        <f>IF(ISERROR(VLOOKUP($A5,'Man Tab'!$A:$Q,COLUMN()+2,0)),0,VLOOKUP($A5,'Man Tab'!$A:$Q,COLUMN()+2,0))</f>
        <v>220.71198000000001</v>
      </c>
      <c r="G5" s="129">
        <f>IF(ISERROR(VLOOKUP($A5,'Man Tab'!$A:$Q,COLUMN()+2,0)),0,VLOOKUP($A5,'Man Tab'!$A:$Q,COLUMN()+2,0))</f>
        <v>218.07335</v>
      </c>
      <c r="H5" s="129">
        <f>IF(ISERROR(VLOOKUP($A5,'Man Tab'!$A:$Q,COLUMN()+2,0)),0,VLOOKUP($A5,'Man Tab'!$A:$Q,COLUMN()+2,0))</f>
        <v>284.94403999999997</v>
      </c>
      <c r="I5" s="129">
        <f>IF(ISERROR(VLOOKUP($A5,'Man Tab'!$A:$Q,COLUMN()+2,0)),0,VLOOKUP($A5,'Man Tab'!$A:$Q,COLUMN()+2,0))</f>
        <v>226.11618999999999</v>
      </c>
      <c r="J5" s="129">
        <f>IF(ISERROR(VLOOKUP($A5,'Man Tab'!$A:$Q,COLUMN()+2,0)),0,VLOOKUP($A5,'Man Tab'!$A:$Q,COLUMN()+2,0))</f>
        <v>217.97896</v>
      </c>
      <c r="K5" s="129">
        <f>IF(ISERROR(VLOOKUP($A5,'Man Tab'!$A:$Q,COLUMN()+2,0)),0,VLOOKUP($A5,'Man Tab'!$A:$Q,COLUMN()+2,0))</f>
        <v>223.53626</v>
      </c>
      <c r="L5" s="129">
        <f>IF(ISERROR(VLOOKUP($A5,'Man Tab'!$A:$Q,COLUMN()+2,0)),0,VLOOKUP($A5,'Man Tab'!$A:$Q,COLUMN()+2,0))</f>
        <v>282.90875</v>
      </c>
      <c r="M5" s="129">
        <f>IF(ISERROR(VLOOKUP($A5,'Man Tab'!$A:$Q,COLUMN()+2,0)),0,VLOOKUP($A5,'Man Tab'!$A:$Q,COLUMN()+2,0))</f>
        <v>4.9406564584124654E-324</v>
      </c>
    </row>
    <row r="6" spans="1:13" ht="14.4" customHeight="1" x14ac:dyDescent="0.3">
      <c r="A6" s="130" t="s">
        <v>84</v>
      </c>
      <c r="B6" s="131">
        <f>B5</f>
        <v>237.00718000000001</v>
      </c>
      <c r="C6" s="131">
        <f t="shared" ref="C6:M6" si="1">C5+B6</f>
        <v>461.01537999999999</v>
      </c>
      <c r="D6" s="131">
        <f t="shared" si="1"/>
        <v>686.10667999999998</v>
      </c>
      <c r="E6" s="131">
        <f t="shared" si="1"/>
        <v>904.88279</v>
      </c>
      <c r="F6" s="131">
        <f t="shared" si="1"/>
        <v>1125.5947699999999</v>
      </c>
      <c r="G6" s="131">
        <f t="shared" si="1"/>
        <v>1343.6681199999998</v>
      </c>
      <c r="H6" s="131">
        <f t="shared" si="1"/>
        <v>1628.6121599999997</v>
      </c>
      <c r="I6" s="131">
        <f t="shared" si="1"/>
        <v>1854.7283499999996</v>
      </c>
      <c r="J6" s="131">
        <f t="shared" si="1"/>
        <v>2072.7073099999998</v>
      </c>
      <c r="K6" s="131">
        <f t="shared" si="1"/>
        <v>2296.2435699999996</v>
      </c>
      <c r="L6" s="131">
        <f t="shared" si="1"/>
        <v>2579.1523199999997</v>
      </c>
      <c r="M6" s="131">
        <f t="shared" si="1"/>
        <v>2579.1523199999997</v>
      </c>
    </row>
    <row r="7" spans="1:13" ht="14.4" customHeight="1" x14ac:dyDescent="0.3">
      <c r="A7" s="130" t="s">
        <v>112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ht="14.4" customHeight="1" x14ac:dyDescent="0.3">
      <c r="A8" s="130" t="s">
        <v>85</v>
      </c>
      <c r="B8" s="131">
        <f>B7*29.5</f>
        <v>0</v>
      </c>
      <c r="C8" s="131">
        <f t="shared" ref="C8:M8" si="2">C7*29.5</f>
        <v>0</v>
      </c>
      <c r="D8" s="131">
        <f t="shared" si="2"/>
        <v>0</v>
      </c>
      <c r="E8" s="131">
        <f t="shared" si="2"/>
        <v>0</v>
      </c>
      <c r="F8" s="131">
        <f t="shared" si="2"/>
        <v>0</v>
      </c>
      <c r="G8" s="131">
        <f t="shared" si="2"/>
        <v>0</v>
      </c>
      <c r="H8" s="131">
        <f t="shared" si="2"/>
        <v>0</v>
      </c>
      <c r="I8" s="131">
        <f t="shared" si="2"/>
        <v>0</v>
      </c>
      <c r="J8" s="131">
        <f t="shared" si="2"/>
        <v>0</v>
      </c>
      <c r="K8" s="131">
        <f t="shared" si="2"/>
        <v>0</v>
      </c>
      <c r="L8" s="131">
        <f t="shared" si="2"/>
        <v>0</v>
      </c>
      <c r="M8" s="131">
        <f t="shared" si="2"/>
        <v>0</v>
      </c>
    </row>
    <row r="9" spans="1:13" ht="14.4" customHeight="1" x14ac:dyDescent="0.3">
      <c r="A9" s="130" t="s">
        <v>113</v>
      </c>
      <c r="B9" s="130">
        <v>90711</v>
      </c>
      <c r="C9" s="130">
        <v>66150</v>
      </c>
      <c r="D9" s="130">
        <v>62671</v>
      </c>
      <c r="E9" s="130">
        <v>78864</v>
      </c>
      <c r="F9" s="130">
        <v>58446</v>
      </c>
      <c r="G9" s="130">
        <v>76958</v>
      </c>
      <c r="H9" s="130">
        <v>25491</v>
      </c>
      <c r="I9" s="130">
        <v>31205</v>
      </c>
      <c r="J9" s="130">
        <v>58276</v>
      </c>
      <c r="K9" s="130">
        <v>48471</v>
      </c>
      <c r="L9" s="130">
        <v>82043</v>
      </c>
      <c r="M9" s="130">
        <v>0</v>
      </c>
    </row>
    <row r="10" spans="1:13" ht="14.4" customHeight="1" x14ac:dyDescent="0.3">
      <c r="A10" s="130" t="s">
        <v>86</v>
      </c>
      <c r="B10" s="131">
        <f>B9/1000</f>
        <v>90.710999999999999</v>
      </c>
      <c r="C10" s="131">
        <f t="shared" ref="C10:M10" si="3">C9/1000+B10</f>
        <v>156.86099999999999</v>
      </c>
      <c r="D10" s="131">
        <f t="shared" si="3"/>
        <v>219.53199999999998</v>
      </c>
      <c r="E10" s="131">
        <f t="shared" si="3"/>
        <v>298.39599999999996</v>
      </c>
      <c r="F10" s="131">
        <f t="shared" si="3"/>
        <v>356.84199999999998</v>
      </c>
      <c r="G10" s="131">
        <f t="shared" si="3"/>
        <v>433.79999999999995</v>
      </c>
      <c r="H10" s="131">
        <f t="shared" si="3"/>
        <v>459.29099999999994</v>
      </c>
      <c r="I10" s="131">
        <f t="shared" si="3"/>
        <v>490.49599999999992</v>
      </c>
      <c r="J10" s="131">
        <f t="shared" si="3"/>
        <v>548.77199999999993</v>
      </c>
      <c r="K10" s="131">
        <f t="shared" si="3"/>
        <v>597.24299999999994</v>
      </c>
      <c r="L10" s="131">
        <f t="shared" si="3"/>
        <v>679.28599999999994</v>
      </c>
      <c r="M10" s="131">
        <f t="shared" si="3"/>
        <v>679.28599999999994</v>
      </c>
    </row>
    <row r="11" spans="1:13" ht="14.4" customHeight="1" x14ac:dyDescent="0.3">
      <c r="A11" s="126"/>
      <c r="B11" s="126" t="s">
        <v>101</v>
      </c>
      <c r="C11" s="126">
        <f>COUNTIF(B7:M7,"&lt;&gt;")</f>
        <v>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3" ht="14.4" customHeight="1" x14ac:dyDescent="0.3">
      <c r="A12" s="126">
        <v>0</v>
      </c>
      <c r="B12" s="129">
        <f>IF(ISERROR(HI!F15),#REF!,HI!F15)</f>
        <v>0.28515732647814906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</row>
    <row r="13" spans="1:13" ht="14.4" customHeight="1" x14ac:dyDescent="0.3">
      <c r="A13" s="126">
        <v>1</v>
      </c>
      <c r="B13" s="129">
        <f>IF(ISERROR(HI!F15),#REF!,HI!F15)</f>
        <v>0.28515732647814906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212" t="s">
        <v>157</v>
      </c>
      <c r="B1" s="212"/>
      <c r="C1" s="212"/>
      <c r="D1" s="212"/>
      <c r="E1" s="212"/>
      <c r="F1" s="212"/>
      <c r="G1" s="212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s="62" customFormat="1" ht="14.4" customHeight="1" thickBot="1" x14ac:dyDescent="0.35">
      <c r="A2" s="251" t="s">
        <v>155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91"/>
      <c r="B3" s="213" t="s">
        <v>18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51"/>
      <c r="Q3" s="53"/>
    </row>
    <row r="4" spans="1:17" ht="14.4" customHeight="1" x14ac:dyDescent="0.3">
      <c r="A4" s="92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215" t="s">
        <v>6</v>
      </c>
      <c r="Q4" s="216"/>
    </row>
    <row r="5" spans="1:17" ht="14.4" customHeight="1" thickBot="1" x14ac:dyDescent="0.35">
      <c r="A5" s="93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5.434722104253712E-323</v>
      </c>
      <c r="Q6" s="109" t="s">
        <v>156</v>
      </c>
    </row>
    <row r="7" spans="1:17" ht="14.4" customHeight="1" x14ac:dyDescent="0.3">
      <c r="A7" s="21" t="s">
        <v>37</v>
      </c>
      <c r="B7" s="67">
        <v>0</v>
      </c>
      <c r="C7" s="68">
        <v>0</v>
      </c>
      <c r="D7" s="68">
        <v>4.9406564584124654E-324</v>
      </c>
      <c r="E7" s="68">
        <v>4.9406564584124654E-324</v>
      </c>
      <c r="F7" s="68">
        <v>4.9406564584124654E-324</v>
      </c>
      <c r="G7" s="68">
        <v>4.9406564584124654E-324</v>
      </c>
      <c r="H7" s="68">
        <v>4.9406564584124654E-324</v>
      </c>
      <c r="I7" s="68">
        <v>0.47911999999999999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0.47911999999999999</v>
      </c>
      <c r="Q7" s="110" t="s">
        <v>156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5.434722104253712E-323</v>
      </c>
      <c r="Q8" s="110" t="s">
        <v>156</v>
      </c>
    </row>
    <row r="9" spans="1:17" ht="14.4" customHeight="1" x14ac:dyDescent="0.3">
      <c r="A9" s="21" t="s">
        <v>39</v>
      </c>
      <c r="B9" s="67">
        <v>1.466704282642</v>
      </c>
      <c r="C9" s="68">
        <v>0.122225356886</v>
      </c>
      <c r="D9" s="68">
        <v>4.9406564584124654E-324</v>
      </c>
      <c r="E9" s="68">
        <v>4.9406564584124654E-324</v>
      </c>
      <c r="F9" s="68">
        <v>0.04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4.9406564584124654E-324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0.04</v>
      </c>
      <c r="Q9" s="110">
        <v>2.9751303076000001E-2</v>
      </c>
    </row>
    <row r="10" spans="1:17" ht="14.4" customHeight="1" x14ac:dyDescent="0.3">
      <c r="A10" s="21" t="s">
        <v>40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5.434722104253712E-323</v>
      </c>
      <c r="Q10" s="110" t="s">
        <v>156</v>
      </c>
    </row>
    <row r="11" spans="1:17" ht="14.4" customHeight="1" x14ac:dyDescent="0.3">
      <c r="A11" s="21" t="s">
        <v>41</v>
      </c>
      <c r="B11" s="67">
        <v>21.036779726639001</v>
      </c>
      <c r="C11" s="68">
        <v>1.7530649772189999</v>
      </c>
      <c r="D11" s="68">
        <v>0.20669999999999999</v>
      </c>
      <c r="E11" s="68">
        <v>4.9406564584124654E-324</v>
      </c>
      <c r="F11" s="68">
        <v>1.6044700000000001</v>
      </c>
      <c r="G11" s="68">
        <v>4.9406564584124654E-324</v>
      </c>
      <c r="H11" s="68">
        <v>0.92937999999999998</v>
      </c>
      <c r="I11" s="68">
        <v>0.89049999999999996</v>
      </c>
      <c r="J11" s="68">
        <v>0</v>
      </c>
      <c r="K11" s="68">
        <v>4.9406564584124654E-324</v>
      </c>
      <c r="L11" s="68">
        <v>0.63766999999999996</v>
      </c>
      <c r="M11" s="68">
        <v>0.43252000000000002</v>
      </c>
      <c r="N11" s="68">
        <v>1.11219</v>
      </c>
      <c r="O11" s="68">
        <v>4.9406564584124654E-324</v>
      </c>
      <c r="P11" s="69">
        <v>5.8134300000000003</v>
      </c>
      <c r="Q11" s="110">
        <v>0.30146836724800002</v>
      </c>
    </row>
    <row r="12" spans="1:17" ht="14.4" customHeight="1" x14ac:dyDescent="0.3">
      <c r="A12" s="21" t="s">
        <v>42</v>
      </c>
      <c r="B12" s="67">
        <v>0.103791607718</v>
      </c>
      <c r="C12" s="68">
        <v>8.6493006430000009E-3</v>
      </c>
      <c r="D12" s="68">
        <v>0.26895999999999998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4.9406564584124654E-324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0.26895999999999998</v>
      </c>
      <c r="Q12" s="110">
        <v>2.8269232507500002</v>
      </c>
    </row>
    <row r="13" spans="1:17" ht="14.4" customHeight="1" x14ac:dyDescent="0.3">
      <c r="A13" s="21" t="s">
        <v>43</v>
      </c>
      <c r="B13" s="67">
        <v>2.6687247768429998</v>
      </c>
      <c r="C13" s="68">
        <v>0.22239373140300001</v>
      </c>
      <c r="D13" s="68">
        <v>4.9406564584124654E-324</v>
      </c>
      <c r="E13" s="68">
        <v>4.9406564584124654E-324</v>
      </c>
      <c r="F13" s="68">
        <v>4.9406564584124654E-324</v>
      </c>
      <c r="G13" s="68">
        <v>0.28089999999999998</v>
      </c>
      <c r="H13" s="68">
        <v>4.9406564584124654E-324</v>
      </c>
      <c r="I13" s="68">
        <v>4.9406564584124654E-324</v>
      </c>
      <c r="J13" s="68">
        <v>4.9406564584124654E-324</v>
      </c>
      <c r="K13" s="68">
        <v>4.9406564584124654E-324</v>
      </c>
      <c r="L13" s="68">
        <v>4.9406564584124654E-324</v>
      </c>
      <c r="M13" s="68">
        <v>4.9406564584124654E-324</v>
      </c>
      <c r="N13" s="68">
        <v>0.26619999999999999</v>
      </c>
      <c r="O13" s="68">
        <v>4.9406564584124654E-324</v>
      </c>
      <c r="P13" s="69">
        <v>0.54710000000000003</v>
      </c>
      <c r="Q13" s="110">
        <v>0.22364103215700001</v>
      </c>
    </row>
    <row r="14" spans="1:17" ht="14.4" customHeight="1" x14ac:dyDescent="0.3">
      <c r="A14" s="21" t="s">
        <v>44</v>
      </c>
      <c r="B14" s="67">
        <v>156.91809235240001</v>
      </c>
      <c r="C14" s="68">
        <v>13.076507696033</v>
      </c>
      <c r="D14" s="68">
        <v>18.273</v>
      </c>
      <c r="E14" s="68">
        <v>14.709</v>
      </c>
      <c r="F14" s="68">
        <v>15.430999999999999</v>
      </c>
      <c r="G14" s="68">
        <v>11.821999999999999</v>
      </c>
      <c r="H14" s="68">
        <v>10.204000000000001</v>
      </c>
      <c r="I14" s="68">
        <v>10.385999999999999</v>
      </c>
      <c r="J14" s="68">
        <v>10.534000000000001</v>
      </c>
      <c r="K14" s="68">
        <v>9.7279999999999998</v>
      </c>
      <c r="L14" s="68">
        <v>10.27</v>
      </c>
      <c r="M14" s="68">
        <v>12.664</v>
      </c>
      <c r="N14" s="68">
        <v>14.239000000000001</v>
      </c>
      <c r="O14" s="68">
        <v>4.9406564584124654E-324</v>
      </c>
      <c r="P14" s="69">
        <v>138.26</v>
      </c>
      <c r="Q14" s="110">
        <v>0.96119630724500005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5.434722104253712E-323</v>
      </c>
      <c r="Q15" s="110" t="s">
        <v>156</v>
      </c>
    </row>
    <row r="16" spans="1:17" ht="14.4" customHeight="1" x14ac:dyDescent="0.3">
      <c r="A16" s="21" t="s">
        <v>46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5.434722104253712E-323</v>
      </c>
      <c r="Q16" s="110" t="s">
        <v>156</v>
      </c>
    </row>
    <row r="17" spans="1:17" ht="14.4" customHeight="1" x14ac:dyDescent="0.3">
      <c r="A17" s="21" t="s">
        <v>47</v>
      </c>
      <c r="B17" s="67">
        <v>7.0178704463079997</v>
      </c>
      <c r="C17" s="68">
        <v>0.58482253719199995</v>
      </c>
      <c r="D17" s="68">
        <v>4.9406564584124654E-324</v>
      </c>
      <c r="E17" s="68">
        <v>4.9406564584124654E-324</v>
      </c>
      <c r="F17" s="68">
        <v>4.9406564584124654E-324</v>
      </c>
      <c r="G17" s="68">
        <v>4.9406564584124654E-324</v>
      </c>
      <c r="H17" s="68">
        <v>1.6766799999999999</v>
      </c>
      <c r="I17" s="68">
        <v>4.9406564584124654E-324</v>
      </c>
      <c r="J17" s="68">
        <v>4.9406564584124654E-324</v>
      </c>
      <c r="K17" s="68">
        <v>11.42135</v>
      </c>
      <c r="L17" s="68">
        <v>4.9406564584124654E-324</v>
      </c>
      <c r="M17" s="68">
        <v>4.9406564584124654E-324</v>
      </c>
      <c r="N17" s="68">
        <v>0.16045999999999999</v>
      </c>
      <c r="O17" s="68">
        <v>4.9406564584124654E-324</v>
      </c>
      <c r="P17" s="69">
        <v>13.25849</v>
      </c>
      <c r="Q17" s="110">
        <v>2.0609966204679999</v>
      </c>
    </row>
    <row r="18" spans="1:17" ht="14.4" customHeight="1" x14ac:dyDescent="0.3">
      <c r="A18" s="21" t="s">
        <v>48</v>
      </c>
      <c r="B18" s="67">
        <v>0</v>
      </c>
      <c r="C18" s="68">
        <v>0</v>
      </c>
      <c r="D18" s="68">
        <v>4.9406564584124654E-324</v>
      </c>
      <c r="E18" s="68">
        <v>3.613</v>
      </c>
      <c r="F18" s="68">
        <v>0.57099999999999995</v>
      </c>
      <c r="G18" s="68">
        <v>4.9406564584124654E-324</v>
      </c>
      <c r="H18" s="68">
        <v>4.9406564584124654E-324</v>
      </c>
      <c r="I18" s="68">
        <v>4.9406564584124654E-324</v>
      </c>
      <c r="J18" s="68">
        <v>4.9406564584124654E-324</v>
      </c>
      <c r="K18" s="68">
        <v>4.9406564584124654E-324</v>
      </c>
      <c r="L18" s="68">
        <v>4.9406564584124654E-324</v>
      </c>
      <c r="M18" s="68">
        <v>4.9406564584124654E-324</v>
      </c>
      <c r="N18" s="68">
        <v>0.26</v>
      </c>
      <c r="O18" s="68">
        <v>4.9406564584124654E-324</v>
      </c>
      <c r="P18" s="69">
        <v>4.444</v>
      </c>
      <c r="Q18" s="110" t="s">
        <v>156</v>
      </c>
    </row>
    <row r="19" spans="1:17" ht="14.4" customHeight="1" x14ac:dyDescent="0.3">
      <c r="A19" s="21" t="s">
        <v>49</v>
      </c>
      <c r="B19" s="67">
        <v>21.126059488151999</v>
      </c>
      <c r="C19" s="68">
        <v>1.7605049573460001</v>
      </c>
      <c r="D19" s="68">
        <v>1.5745400000000001</v>
      </c>
      <c r="E19" s="68">
        <v>1.4665999999999999</v>
      </c>
      <c r="F19" s="68">
        <v>1.4799</v>
      </c>
      <c r="G19" s="68">
        <v>2.8221799999999999</v>
      </c>
      <c r="H19" s="68">
        <v>1.59161</v>
      </c>
      <c r="I19" s="68">
        <v>1.7326900000000001</v>
      </c>
      <c r="J19" s="68">
        <v>2.47464</v>
      </c>
      <c r="K19" s="68">
        <v>1.6820299999999999</v>
      </c>
      <c r="L19" s="68">
        <v>1.7367699999999999</v>
      </c>
      <c r="M19" s="68">
        <v>1.9225300000000001</v>
      </c>
      <c r="N19" s="68">
        <v>1.77169</v>
      </c>
      <c r="O19" s="68">
        <v>4.9406564584124654E-324</v>
      </c>
      <c r="P19" s="69">
        <v>20.255179999999999</v>
      </c>
      <c r="Q19" s="110">
        <v>1.0459385486620001</v>
      </c>
    </row>
    <row r="20" spans="1:17" ht="14.4" customHeight="1" x14ac:dyDescent="0.3">
      <c r="A20" s="21" t="s">
        <v>50</v>
      </c>
      <c r="B20" s="67">
        <v>2341.9993665023399</v>
      </c>
      <c r="C20" s="68">
        <v>195.166613875195</v>
      </c>
      <c r="D20" s="68">
        <v>215.21997999999999</v>
      </c>
      <c r="E20" s="68">
        <v>202.7516</v>
      </c>
      <c r="F20" s="68">
        <v>202.69693000000001</v>
      </c>
      <c r="G20" s="68">
        <v>202.38302999999999</v>
      </c>
      <c r="H20" s="68">
        <v>204.84231</v>
      </c>
      <c r="I20" s="68">
        <v>203.11704</v>
      </c>
      <c r="J20" s="68">
        <v>259.9674</v>
      </c>
      <c r="K20" s="68">
        <v>201.81681</v>
      </c>
      <c r="L20" s="68">
        <v>203.86652000000001</v>
      </c>
      <c r="M20" s="68">
        <v>207.04920999999999</v>
      </c>
      <c r="N20" s="68">
        <v>259.12421000000001</v>
      </c>
      <c r="O20" s="68">
        <v>4.9406564584124654E-324</v>
      </c>
      <c r="P20" s="69">
        <v>2362.8350399999999</v>
      </c>
      <c r="Q20" s="110">
        <v>1.1006143990990001</v>
      </c>
    </row>
    <row r="21" spans="1:17" ht="14.4" customHeight="1" x14ac:dyDescent="0.3">
      <c r="A21" s="22" t="s">
        <v>51</v>
      </c>
      <c r="B21" s="67">
        <v>17.999999999999002</v>
      </c>
      <c r="C21" s="68">
        <v>1.4999999999989999</v>
      </c>
      <c r="D21" s="68">
        <v>1.464</v>
      </c>
      <c r="E21" s="68">
        <v>1.468</v>
      </c>
      <c r="F21" s="68">
        <v>1.468</v>
      </c>
      <c r="G21" s="68">
        <v>1.468</v>
      </c>
      <c r="H21" s="68">
        <v>1.468</v>
      </c>
      <c r="I21" s="68">
        <v>1.468</v>
      </c>
      <c r="J21" s="68">
        <v>1.468</v>
      </c>
      <c r="K21" s="68">
        <v>1.468</v>
      </c>
      <c r="L21" s="68">
        <v>1.468</v>
      </c>
      <c r="M21" s="68">
        <v>1.468</v>
      </c>
      <c r="N21" s="68">
        <v>1.5449999999999999</v>
      </c>
      <c r="O21" s="68">
        <v>1.4821969375237396E-323</v>
      </c>
      <c r="P21" s="69">
        <v>16.221</v>
      </c>
      <c r="Q21" s="110">
        <v>0.98309090908999996</v>
      </c>
    </row>
    <row r="22" spans="1:17" ht="14.4" customHeight="1" x14ac:dyDescent="0.3">
      <c r="A22" s="21" t="s">
        <v>52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10.5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10.5</v>
      </c>
      <c r="Q22" s="110" t="s">
        <v>156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2.1738888417014848E-322</v>
      </c>
      <c r="Q23" s="110" t="s">
        <v>156</v>
      </c>
    </row>
    <row r="24" spans="1:17" ht="14.4" customHeight="1" x14ac:dyDescent="0.3">
      <c r="A24" s="22" t="s">
        <v>54</v>
      </c>
      <c r="B24" s="67">
        <v>4.5474735088646402E-13</v>
      </c>
      <c r="C24" s="68">
        <v>2.8421709430404001E-14</v>
      </c>
      <c r="D24" s="68">
        <v>0</v>
      </c>
      <c r="E24" s="68">
        <v>0</v>
      </c>
      <c r="F24" s="68">
        <v>1.8</v>
      </c>
      <c r="G24" s="68">
        <v>0</v>
      </c>
      <c r="H24" s="68">
        <v>0</v>
      </c>
      <c r="I24" s="68">
        <v>0</v>
      </c>
      <c r="J24" s="68">
        <v>0</v>
      </c>
      <c r="K24" s="68">
        <v>2.8421709430404001E-14</v>
      </c>
      <c r="L24" s="68">
        <v>-2.8421709430404001E-14</v>
      </c>
      <c r="M24" s="68">
        <v>0</v>
      </c>
      <c r="N24" s="68">
        <v>4.4299999999989996</v>
      </c>
      <c r="O24" s="68">
        <v>-1.0869444208507424E-322</v>
      </c>
      <c r="P24" s="69">
        <v>6.2299999999990003</v>
      </c>
      <c r="Q24" s="110"/>
    </row>
    <row r="25" spans="1:17" ht="14.4" customHeight="1" x14ac:dyDescent="0.3">
      <c r="A25" s="23" t="s">
        <v>55</v>
      </c>
      <c r="B25" s="70">
        <v>2570.3373891830402</v>
      </c>
      <c r="C25" s="71">
        <v>214.19478243192</v>
      </c>
      <c r="D25" s="71">
        <v>237.00718000000001</v>
      </c>
      <c r="E25" s="71">
        <v>224.00819999999999</v>
      </c>
      <c r="F25" s="71">
        <v>225.09129999999999</v>
      </c>
      <c r="G25" s="71">
        <v>218.77610999999999</v>
      </c>
      <c r="H25" s="71">
        <v>220.71198000000001</v>
      </c>
      <c r="I25" s="71">
        <v>218.07335</v>
      </c>
      <c r="J25" s="71">
        <v>284.94403999999997</v>
      </c>
      <c r="K25" s="71">
        <v>226.11618999999999</v>
      </c>
      <c r="L25" s="71">
        <v>217.97896</v>
      </c>
      <c r="M25" s="71">
        <v>223.53626</v>
      </c>
      <c r="N25" s="71">
        <v>282.90875</v>
      </c>
      <c r="O25" s="71">
        <v>4.9406564584124654E-324</v>
      </c>
      <c r="P25" s="72">
        <v>2579.1523200000001</v>
      </c>
      <c r="Q25" s="111">
        <v>1.0946503461249999</v>
      </c>
    </row>
    <row r="26" spans="1:17" ht="14.4" customHeight="1" x14ac:dyDescent="0.3">
      <c r="A26" s="21" t="s">
        <v>56</v>
      </c>
      <c r="B26" s="67">
        <v>438.76540246438901</v>
      </c>
      <c r="C26" s="68">
        <v>36.563783538698999</v>
      </c>
      <c r="D26" s="68">
        <v>32.289560000000002</v>
      </c>
      <c r="E26" s="68">
        <v>27.186209999999999</v>
      </c>
      <c r="F26" s="68">
        <v>6.9181999999999997</v>
      </c>
      <c r="G26" s="68">
        <v>28.239640000000001</v>
      </c>
      <c r="H26" s="68">
        <v>28.70898</v>
      </c>
      <c r="I26" s="68">
        <v>42.404609999999998</v>
      </c>
      <c r="J26" s="68">
        <v>35.522480000000002</v>
      </c>
      <c r="K26" s="68">
        <v>26.315850000000001</v>
      </c>
      <c r="L26" s="68">
        <v>28.300609999999999</v>
      </c>
      <c r="M26" s="68">
        <v>32.474850000000004</v>
      </c>
      <c r="N26" s="68">
        <v>26.548729999999999</v>
      </c>
      <c r="O26" s="68">
        <v>4.9406564584124654E-324</v>
      </c>
      <c r="P26" s="69">
        <v>314.90971999999999</v>
      </c>
      <c r="Q26" s="110">
        <v>0.78296482456000005</v>
      </c>
    </row>
    <row r="27" spans="1:17" ht="14.4" customHeight="1" x14ac:dyDescent="0.3">
      <c r="A27" s="24" t="s">
        <v>57</v>
      </c>
      <c r="B27" s="70">
        <v>3009.10279164743</v>
      </c>
      <c r="C27" s="71">
        <v>250.758565970619</v>
      </c>
      <c r="D27" s="71">
        <v>269.29674</v>
      </c>
      <c r="E27" s="71">
        <v>251.19441</v>
      </c>
      <c r="F27" s="71">
        <v>232.0095</v>
      </c>
      <c r="G27" s="71">
        <v>247.01575</v>
      </c>
      <c r="H27" s="71">
        <v>249.42096000000001</v>
      </c>
      <c r="I27" s="71">
        <v>260.47796</v>
      </c>
      <c r="J27" s="71">
        <v>320.46652</v>
      </c>
      <c r="K27" s="71">
        <v>252.43204</v>
      </c>
      <c r="L27" s="71">
        <v>246.27957000000001</v>
      </c>
      <c r="M27" s="71">
        <v>256.01110999999997</v>
      </c>
      <c r="N27" s="71">
        <v>309.45747999999998</v>
      </c>
      <c r="O27" s="71">
        <v>9.8813129168249309E-324</v>
      </c>
      <c r="P27" s="72">
        <v>2894.0620399999998</v>
      </c>
      <c r="Q27" s="111">
        <v>1.0492026386910001</v>
      </c>
    </row>
    <row r="28" spans="1:17" ht="14.4" customHeight="1" x14ac:dyDescent="0.3">
      <c r="A28" s="22" t="s">
        <v>58</v>
      </c>
      <c r="B28" s="67">
        <v>2.9326362060240001</v>
      </c>
      <c r="C28" s="68">
        <v>0.244386350502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8.2640000000000005E-2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8.2640000000000005E-2</v>
      </c>
      <c r="Q28" s="110">
        <v>3.0741190157000001E-2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1.0869444208507424E-322</v>
      </c>
      <c r="Q29" s="110" t="s">
        <v>156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5.434722104253712E-322</v>
      </c>
      <c r="Q30" s="110">
        <v>0</v>
      </c>
    </row>
    <row r="31" spans="1:17" ht="14.4" customHeight="1" thickBot="1" x14ac:dyDescent="0.35">
      <c r="A31" s="25" t="s">
        <v>61</v>
      </c>
      <c r="B31" s="73">
        <v>2.4703282292062327E-323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2.717361052126856E-322</v>
      </c>
      <c r="Q31" s="112" t="s">
        <v>156</v>
      </c>
    </row>
    <row r="32" spans="1:17" ht="14.4" customHeight="1" x14ac:dyDescent="0.3">
      <c r="A32" s="217" t="s">
        <v>62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</row>
    <row r="33" spans="1:17" ht="14.4" customHeight="1" x14ac:dyDescent="0.3">
      <c r="A33" s="211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</row>
    <row r="34" spans="1:17" ht="14.4" customHeight="1" x14ac:dyDescent="0.3">
      <c r="A34" s="217" t="s">
        <v>63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</row>
    <row r="35" spans="1:17" ht="14.4" customHeight="1" x14ac:dyDescent="0.3">
      <c r="A35" s="211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211"/>
      <c r="Q36" s="211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212" t="s">
        <v>64</v>
      </c>
      <c r="B1" s="212"/>
      <c r="C1" s="212"/>
      <c r="D1" s="212"/>
      <c r="E1" s="212"/>
      <c r="F1" s="212"/>
      <c r="G1" s="212"/>
      <c r="H1" s="218"/>
      <c r="I1" s="218"/>
      <c r="J1" s="218"/>
      <c r="K1" s="218"/>
    </row>
    <row r="2" spans="1:11" s="76" customFormat="1" ht="14.4" customHeight="1" thickBot="1" x14ac:dyDescent="0.35">
      <c r="A2" s="251" t="s">
        <v>155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91"/>
      <c r="B3" s="213" t="s">
        <v>65</v>
      </c>
      <c r="C3" s="214"/>
      <c r="D3" s="214"/>
      <c r="E3" s="214"/>
      <c r="F3" s="221" t="s">
        <v>66</v>
      </c>
      <c r="G3" s="214"/>
      <c r="H3" s="214"/>
      <c r="I3" s="214"/>
      <c r="J3" s="214"/>
      <c r="K3" s="222"/>
    </row>
    <row r="4" spans="1:11" ht="14.4" customHeight="1" x14ac:dyDescent="0.3">
      <c r="A4" s="92"/>
      <c r="B4" s="219"/>
      <c r="C4" s="220"/>
      <c r="D4" s="220"/>
      <c r="E4" s="220"/>
      <c r="F4" s="223" t="s">
        <v>110</v>
      </c>
      <c r="G4" s="225" t="s">
        <v>67</v>
      </c>
      <c r="H4" s="54" t="s">
        <v>144</v>
      </c>
      <c r="I4" s="223" t="s">
        <v>68</v>
      </c>
      <c r="J4" s="225" t="s">
        <v>69</v>
      </c>
      <c r="K4" s="226" t="s">
        <v>70</v>
      </c>
    </row>
    <row r="5" spans="1:11" ht="42" thickBot="1" x14ac:dyDescent="0.35">
      <c r="A5" s="93"/>
      <c r="B5" s="30" t="s">
        <v>111</v>
      </c>
      <c r="C5" s="31" t="s">
        <v>71</v>
      </c>
      <c r="D5" s="32" t="s">
        <v>72</v>
      </c>
      <c r="E5" s="32" t="s">
        <v>73</v>
      </c>
      <c r="F5" s="224"/>
      <c r="G5" s="224"/>
      <c r="H5" s="31" t="s">
        <v>74</v>
      </c>
      <c r="I5" s="224"/>
      <c r="J5" s="224"/>
      <c r="K5" s="227"/>
    </row>
    <row r="6" spans="1:11" ht="14.4" customHeight="1" thickBot="1" x14ac:dyDescent="0.35">
      <c r="A6" s="270" t="s">
        <v>158</v>
      </c>
      <c r="B6" s="252">
        <v>2713.5751766124899</v>
      </c>
      <c r="C6" s="252">
        <v>2613.8274799999999</v>
      </c>
      <c r="D6" s="253">
        <v>-99.747696612490003</v>
      </c>
      <c r="E6" s="254">
        <v>0.963241226013</v>
      </c>
      <c r="F6" s="252">
        <v>2570.3373891830402</v>
      </c>
      <c r="G6" s="253">
        <v>2356.1426067511202</v>
      </c>
      <c r="H6" s="255">
        <v>282.90875</v>
      </c>
      <c r="I6" s="252">
        <v>2579.1523200000001</v>
      </c>
      <c r="J6" s="253">
        <v>223.00971324887601</v>
      </c>
      <c r="K6" s="256">
        <v>1.0034294839469999</v>
      </c>
    </row>
    <row r="7" spans="1:11" ht="14.4" customHeight="1" thickBot="1" x14ac:dyDescent="0.35">
      <c r="A7" s="271" t="s">
        <v>159</v>
      </c>
      <c r="B7" s="252">
        <v>178.752349237114</v>
      </c>
      <c r="C7" s="252">
        <v>179.56269</v>
      </c>
      <c r="D7" s="253">
        <v>0.81034076288599999</v>
      </c>
      <c r="E7" s="254">
        <v>1.004533315317</v>
      </c>
      <c r="F7" s="252">
        <v>182.194092746243</v>
      </c>
      <c r="G7" s="253">
        <v>167.01125168405599</v>
      </c>
      <c r="H7" s="255">
        <v>15.61739</v>
      </c>
      <c r="I7" s="252">
        <v>145.40861000000001</v>
      </c>
      <c r="J7" s="253">
        <v>-21.602641684056</v>
      </c>
      <c r="K7" s="256">
        <v>0.79809728080700004</v>
      </c>
    </row>
    <row r="8" spans="1:11" ht="14.4" customHeight="1" thickBot="1" x14ac:dyDescent="0.35">
      <c r="A8" s="272" t="s">
        <v>160</v>
      </c>
      <c r="B8" s="252">
        <v>17.964478918337001</v>
      </c>
      <c r="C8" s="252">
        <v>23.52169</v>
      </c>
      <c r="D8" s="253">
        <v>5.5572110816620004</v>
      </c>
      <c r="E8" s="254">
        <v>1.3093444072</v>
      </c>
      <c r="F8" s="252">
        <v>25.276000393842999</v>
      </c>
      <c r="G8" s="253">
        <v>23.169667027689002</v>
      </c>
      <c r="H8" s="255">
        <v>1.37839</v>
      </c>
      <c r="I8" s="252">
        <v>7.1486099999999997</v>
      </c>
      <c r="J8" s="253">
        <v>-16.021057027689</v>
      </c>
      <c r="K8" s="256">
        <v>0.28282204022000001</v>
      </c>
    </row>
    <row r="9" spans="1:11" ht="14.4" customHeight="1" thickBot="1" x14ac:dyDescent="0.35">
      <c r="A9" s="273" t="s">
        <v>161</v>
      </c>
      <c r="B9" s="257">
        <v>4.9406564584124654E-324</v>
      </c>
      <c r="C9" s="257">
        <v>0.26845000000000002</v>
      </c>
      <c r="D9" s="258">
        <v>0.26845000000000002</v>
      </c>
      <c r="E9" s="259" t="s">
        <v>162</v>
      </c>
      <c r="F9" s="257">
        <v>0</v>
      </c>
      <c r="G9" s="258">
        <v>0</v>
      </c>
      <c r="H9" s="260">
        <v>4.9406564584124654E-324</v>
      </c>
      <c r="I9" s="257">
        <v>0.47911999999999999</v>
      </c>
      <c r="J9" s="258">
        <v>0.47911999999999999</v>
      </c>
      <c r="K9" s="261" t="s">
        <v>156</v>
      </c>
    </row>
    <row r="10" spans="1:11" ht="14.4" customHeight="1" thickBot="1" x14ac:dyDescent="0.35">
      <c r="A10" s="274" t="s">
        <v>163</v>
      </c>
      <c r="B10" s="252">
        <v>4.9406564584124654E-324</v>
      </c>
      <c r="C10" s="252">
        <v>0.26845000000000002</v>
      </c>
      <c r="D10" s="253">
        <v>0.26845000000000002</v>
      </c>
      <c r="E10" s="262" t="s">
        <v>162</v>
      </c>
      <c r="F10" s="252">
        <v>0</v>
      </c>
      <c r="G10" s="253">
        <v>0</v>
      </c>
      <c r="H10" s="255">
        <v>4.9406564584124654E-324</v>
      </c>
      <c r="I10" s="252">
        <v>0.47911999999999999</v>
      </c>
      <c r="J10" s="253">
        <v>0.47911999999999999</v>
      </c>
      <c r="K10" s="263" t="s">
        <v>156</v>
      </c>
    </row>
    <row r="11" spans="1:11" ht="14.4" customHeight="1" thickBot="1" x14ac:dyDescent="0.35">
      <c r="A11" s="273" t="s">
        <v>164</v>
      </c>
      <c r="B11" s="257">
        <v>1.466759911684</v>
      </c>
      <c r="C11" s="257">
        <v>1.303E-2</v>
      </c>
      <c r="D11" s="258">
        <v>-1.4537299116839999</v>
      </c>
      <c r="E11" s="264">
        <v>8.8835261280000005E-3</v>
      </c>
      <c r="F11" s="257">
        <v>1.466704282642</v>
      </c>
      <c r="G11" s="258">
        <v>1.3444789257550001</v>
      </c>
      <c r="H11" s="260">
        <v>4.9406564584124654E-324</v>
      </c>
      <c r="I11" s="257">
        <v>0.04</v>
      </c>
      <c r="J11" s="258">
        <v>-1.304478925755</v>
      </c>
      <c r="K11" s="265">
        <v>2.7272027819999999E-2</v>
      </c>
    </row>
    <row r="12" spans="1:11" ht="14.4" customHeight="1" thickBot="1" x14ac:dyDescent="0.35">
      <c r="A12" s="274" t="s">
        <v>165</v>
      </c>
      <c r="B12" s="252">
        <v>4.9406564584124654E-324</v>
      </c>
      <c r="C12" s="252">
        <v>1.303E-2</v>
      </c>
      <c r="D12" s="253">
        <v>1.303E-2</v>
      </c>
      <c r="E12" s="262" t="s">
        <v>162</v>
      </c>
      <c r="F12" s="252">
        <v>0</v>
      </c>
      <c r="G12" s="253">
        <v>0</v>
      </c>
      <c r="H12" s="255">
        <v>4.9406564584124654E-324</v>
      </c>
      <c r="I12" s="252">
        <v>5.434722104253712E-323</v>
      </c>
      <c r="J12" s="253">
        <v>5.434722104253712E-323</v>
      </c>
      <c r="K12" s="263" t="s">
        <v>156</v>
      </c>
    </row>
    <row r="13" spans="1:11" ht="14.4" customHeight="1" thickBot="1" x14ac:dyDescent="0.35">
      <c r="A13" s="274" t="s">
        <v>166</v>
      </c>
      <c r="B13" s="252">
        <v>0.46679997189299999</v>
      </c>
      <c r="C13" s="252">
        <v>4.9406564584124654E-324</v>
      </c>
      <c r="D13" s="253">
        <v>-0.46679997189299999</v>
      </c>
      <c r="E13" s="254">
        <v>9.8813129168249309E-324</v>
      </c>
      <c r="F13" s="252">
        <v>0.46679961592500002</v>
      </c>
      <c r="G13" s="253">
        <v>0.42789964793099999</v>
      </c>
      <c r="H13" s="255">
        <v>4.9406564584124654E-324</v>
      </c>
      <c r="I13" s="252">
        <v>0.04</v>
      </c>
      <c r="J13" s="253">
        <v>-0.38789964793100001</v>
      </c>
      <c r="K13" s="256">
        <v>8.5689873417000004E-2</v>
      </c>
    </row>
    <row r="14" spans="1:11" ht="14.4" customHeight="1" thickBot="1" x14ac:dyDescent="0.35">
      <c r="A14" s="273" t="s">
        <v>167</v>
      </c>
      <c r="B14" s="257">
        <v>10.999919337682</v>
      </c>
      <c r="C14" s="257">
        <v>20.296970000000002</v>
      </c>
      <c r="D14" s="258">
        <v>9.2970506623169999</v>
      </c>
      <c r="E14" s="264">
        <v>1.845192621592</v>
      </c>
      <c r="F14" s="257">
        <v>21.036779726639001</v>
      </c>
      <c r="G14" s="258">
        <v>19.283714749419001</v>
      </c>
      <c r="H14" s="260">
        <v>1.11219</v>
      </c>
      <c r="I14" s="257">
        <v>5.8134300000000003</v>
      </c>
      <c r="J14" s="258">
        <v>-13.470284749418999</v>
      </c>
      <c r="K14" s="265">
        <v>0.27634600331100001</v>
      </c>
    </row>
    <row r="15" spans="1:11" ht="14.4" customHeight="1" thickBot="1" x14ac:dyDescent="0.35">
      <c r="A15" s="274" t="s">
        <v>168</v>
      </c>
      <c r="B15" s="252">
        <v>4.9406564584124654E-324</v>
      </c>
      <c r="C15" s="252">
        <v>-4.2325999999999997</v>
      </c>
      <c r="D15" s="253">
        <v>-4.2325999999999997</v>
      </c>
      <c r="E15" s="262" t="s">
        <v>162</v>
      </c>
      <c r="F15" s="252">
        <v>2.000090536509</v>
      </c>
      <c r="G15" s="253">
        <v>1.833416325133</v>
      </c>
      <c r="H15" s="255">
        <v>4.9406564584124654E-324</v>
      </c>
      <c r="I15" s="252">
        <v>-10.5</v>
      </c>
      <c r="J15" s="253">
        <v>-12.333416325132999</v>
      </c>
      <c r="K15" s="256">
        <v>-5.2497623524210004</v>
      </c>
    </row>
    <row r="16" spans="1:11" ht="14.4" customHeight="1" thickBot="1" x14ac:dyDescent="0.35">
      <c r="A16" s="274" t="s">
        <v>169</v>
      </c>
      <c r="B16" s="252">
        <v>2.0000398795750001</v>
      </c>
      <c r="C16" s="252">
        <v>3.5520000000000003E-2</v>
      </c>
      <c r="D16" s="253">
        <v>-1.9645198795750001</v>
      </c>
      <c r="E16" s="254">
        <v>1.7759645875999999E-2</v>
      </c>
      <c r="F16" s="252">
        <v>3.3363734577000002E-2</v>
      </c>
      <c r="G16" s="253">
        <v>3.0583423362000001E-2</v>
      </c>
      <c r="H16" s="255">
        <v>4.9406564584124654E-324</v>
      </c>
      <c r="I16" s="252">
        <v>5.434722104253712E-323</v>
      </c>
      <c r="J16" s="253">
        <v>-3.0583423362000001E-2</v>
      </c>
      <c r="K16" s="256">
        <v>1.6304166312761136E-321</v>
      </c>
    </row>
    <row r="17" spans="1:11" ht="14.4" customHeight="1" thickBot="1" x14ac:dyDescent="0.35">
      <c r="A17" s="274" t="s">
        <v>170</v>
      </c>
      <c r="B17" s="252">
        <v>0.99995993979099995</v>
      </c>
      <c r="C17" s="252">
        <v>2.4</v>
      </c>
      <c r="D17" s="253">
        <v>1.4000400602080001</v>
      </c>
      <c r="E17" s="254">
        <v>2.400096148352</v>
      </c>
      <c r="F17" s="252">
        <v>1.6021705236199999</v>
      </c>
      <c r="G17" s="253">
        <v>1.468656313319</v>
      </c>
      <c r="H17" s="255">
        <v>4.9406564584124654E-324</v>
      </c>
      <c r="I17" s="252">
        <v>2.18967</v>
      </c>
      <c r="J17" s="253">
        <v>0.72101368667999999</v>
      </c>
      <c r="K17" s="256">
        <v>1.3666897297859999</v>
      </c>
    </row>
    <row r="18" spans="1:11" ht="14.4" customHeight="1" thickBot="1" x14ac:dyDescent="0.35">
      <c r="A18" s="274" t="s">
        <v>171</v>
      </c>
      <c r="B18" s="252">
        <v>3.999959759157</v>
      </c>
      <c r="C18" s="252">
        <v>5.96997</v>
      </c>
      <c r="D18" s="253">
        <v>1.9700102408419999</v>
      </c>
      <c r="E18" s="254">
        <v>1.4925075149389999</v>
      </c>
      <c r="F18" s="252">
        <v>5.961396187129</v>
      </c>
      <c r="G18" s="253">
        <v>5.4646131715350004</v>
      </c>
      <c r="H18" s="255">
        <v>0.74078999999999995</v>
      </c>
      <c r="I18" s="252">
        <v>2.03295</v>
      </c>
      <c r="J18" s="253">
        <v>-3.4316631715349999</v>
      </c>
      <c r="K18" s="256">
        <v>0.34101910629400001</v>
      </c>
    </row>
    <row r="19" spans="1:11" ht="14.4" customHeight="1" thickBot="1" x14ac:dyDescent="0.35">
      <c r="A19" s="274" t="s">
        <v>172</v>
      </c>
      <c r="B19" s="252">
        <v>4.9406564584124654E-324</v>
      </c>
      <c r="C19" s="252">
        <v>3.5880800000000002</v>
      </c>
      <c r="D19" s="253">
        <v>3.5880800000000002</v>
      </c>
      <c r="E19" s="262" t="s">
        <v>162</v>
      </c>
      <c r="F19" s="252">
        <v>3.4991455081109999</v>
      </c>
      <c r="G19" s="253">
        <v>3.2075500491020001</v>
      </c>
      <c r="H19" s="255">
        <v>4.9406564584124654E-324</v>
      </c>
      <c r="I19" s="252">
        <v>5.434722104253712E-323</v>
      </c>
      <c r="J19" s="253">
        <v>-3.2075500491020001</v>
      </c>
      <c r="K19" s="256">
        <v>1.4821969375237396E-323</v>
      </c>
    </row>
    <row r="20" spans="1:11" ht="14.4" customHeight="1" thickBot="1" x14ac:dyDescent="0.35">
      <c r="A20" s="274" t="s">
        <v>173</v>
      </c>
      <c r="B20" s="252">
        <v>4.9406564584124654E-324</v>
      </c>
      <c r="C20" s="252">
        <v>10.63</v>
      </c>
      <c r="D20" s="253">
        <v>10.63</v>
      </c>
      <c r="E20" s="262" t="s">
        <v>162</v>
      </c>
      <c r="F20" s="252">
        <v>6.2471725807449996</v>
      </c>
      <c r="G20" s="253">
        <v>5.7265748656830002</v>
      </c>
      <c r="H20" s="255">
        <v>4.9406564584124654E-324</v>
      </c>
      <c r="I20" s="252">
        <v>10.5</v>
      </c>
      <c r="J20" s="253">
        <v>4.7734251343159997</v>
      </c>
      <c r="K20" s="256">
        <v>1.6807603542689999</v>
      </c>
    </row>
    <row r="21" spans="1:11" ht="14.4" customHeight="1" thickBot="1" x14ac:dyDescent="0.35">
      <c r="A21" s="274" t="s">
        <v>174</v>
      </c>
      <c r="B21" s="252">
        <v>3.999959759157</v>
      </c>
      <c r="C21" s="252">
        <v>1.9059999999999999</v>
      </c>
      <c r="D21" s="253">
        <v>-2.0939597591569998</v>
      </c>
      <c r="E21" s="254">
        <v>0.47650479373799998</v>
      </c>
      <c r="F21" s="252">
        <v>1.6934406559440001</v>
      </c>
      <c r="G21" s="253">
        <v>1.5523206012819999</v>
      </c>
      <c r="H21" s="255">
        <v>4.9406564584124654E-324</v>
      </c>
      <c r="I21" s="252">
        <v>0.50719999999999998</v>
      </c>
      <c r="J21" s="253">
        <v>-1.045120601282</v>
      </c>
      <c r="K21" s="256">
        <v>0.29950857635200001</v>
      </c>
    </row>
    <row r="22" spans="1:11" ht="14.4" customHeight="1" thickBot="1" x14ac:dyDescent="0.35">
      <c r="A22" s="274" t="s">
        <v>175</v>
      </c>
      <c r="B22" s="252">
        <v>4.9406564584124654E-324</v>
      </c>
      <c r="C22" s="252">
        <v>4.9406564584124654E-324</v>
      </c>
      <c r="D22" s="253">
        <v>0</v>
      </c>
      <c r="E22" s="254">
        <v>1</v>
      </c>
      <c r="F22" s="252">
        <v>4.9406564584124654E-324</v>
      </c>
      <c r="G22" s="253">
        <v>0</v>
      </c>
      <c r="H22" s="255">
        <v>0.37140000000000001</v>
      </c>
      <c r="I22" s="252">
        <v>1.08361</v>
      </c>
      <c r="J22" s="253">
        <v>1.08361</v>
      </c>
      <c r="K22" s="263" t="s">
        <v>162</v>
      </c>
    </row>
    <row r="23" spans="1:11" ht="14.4" customHeight="1" thickBot="1" x14ac:dyDescent="0.35">
      <c r="A23" s="273" t="s">
        <v>176</v>
      </c>
      <c r="B23" s="257">
        <v>3.4977597893949999</v>
      </c>
      <c r="C23" s="257">
        <v>9.9360000000000004E-2</v>
      </c>
      <c r="D23" s="258">
        <v>-3.398399789395</v>
      </c>
      <c r="E23" s="264">
        <v>2.840675346E-2</v>
      </c>
      <c r="F23" s="257">
        <v>0.103791607718</v>
      </c>
      <c r="G23" s="258">
        <v>9.5142307073999996E-2</v>
      </c>
      <c r="H23" s="260">
        <v>4.9406564584124654E-324</v>
      </c>
      <c r="I23" s="257">
        <v>0.26895999999999998</v>
      </c>
      <c r="J23" s="258">
        <v>0.17381769292499999</v>
      </c>
      <c r="K23" s="265">
        <v>2.5913463131880001</v>
      </c>
    </row>
    <row r="24" spans="1:11" ht="14.4" customHeight="1" thickBot="1" x14ac:dyDescent="0.35">
      <c r="A24" s="274" t="s">
        <v>177</v>
      </c>
      <c r="B24" s="252">
        <v>1.0487999368500001</v>
      </c>
      <c r="C24" s="252">
        <v>9.9360000000000004E-2</v>
      </c>
      <c r="D24" s="253">
        <v>-0.94943993685000005</v>
      </c>
      <c r="E24" s="254">
        <v>9.4736847809000005E-2</v>
      </c>
      <c r="F24" s="252">
        <v>0.103791607718</v>
      </c>
      <c r="G24" s="253">
        <v>9.5142307073999996E-2</v>
      </c>
      <c r="H24" s="255">
        <v>4.9406564584124654E-324</v>
      </c>
      <c r="I24" s="252">
        <v>0.26895999999999998</v>
      </c>
      <c r="J24" s="253">
        <v>0.17381769292499999</v>
      </c>
      <c r="K24" s="256">
        <v>2.5913463131880001</v>
      </c>
    </row>
    <row r="25" spans="1:11" ht="14.4" customHeight="1" thickBot="1" x14ac:dyDescent="0.35">
      <c r="A25" s="273" t="s">
        <v>178</v>
      </c>
      <c r="B25" s="257">
        <v>2.0000398795750001</v>
      </c>
      <c r="C25" s="257">
        <v>2.84388</v>
      </c>
      <c r="D25" s="258">
        <v>0.84384012042400003</v>
      </c>
      <c r="E25" s="264">
        <v>1.421911647383</v>
      </c>
      <c r="F25" s="257">
        <v>2.6687247768429998</v>
      </c>
      <c r="G25" s="258">
        <v>2.44633104544</v>
      </c>
      <c r="H25" s="260">
        <v>0.26619999999999999</v>
      </c>
      <c r="I25" s="257">
        <v>0.54710000000000003</v>
      </c>
      <c r="J25" s="258">
        <v>-1.8992310454400001</v>
      </c>
      <c r="K25" s="265">
        <v>0.20500427947700001</v>
      </c>
    </row>
    <row r="26" spans="1:11" ht="14.4" customHeight="1" thickBot="1" x14ac:dyDescent="0.35">
      <c r="A26" s="274" t="s">
        <v>179</v>
      </c>
      <c r="B26" s="252">
        <v>2.0000398795750001</v>
      </c>
      <c r="C26" s="252">
        <v>2.84388</v>
      </c>
      <c r="D26" s="253">
        <v>0.84384012042400003</v>
      </c>
      <c r="E26" s="254">
        <v>1.421911647383</v>
      </c>
      <c r="F26" s="252">
        <v>2.6687247768429998</v>
      </c>
      <c r="G26" s="253">
        <v>2.44633104544</v>
      </c>
      <c r="H26" s="255">
        <v>0.26619999999999999</v>
      </c>
      <c r="I26" s="252">
        <v>0.54710000000000003</v>
      </c>
      <c r="J26" s="253">
        <v>-1.8992310454400001</v>
      </c>
      <c r="K26" s="256">
        <v>0.20500427947700001</v>
      </c>
    </row>
    <row r="27" spans="1:11" ht="14.4" customHeight="1" thickBot="1" x14ac:dyDescent="0.35">
      <c r="A27" s="272" t="s">
        <v>44</v>
      </c>
      <c r="B27" s="252">
        <v>160.78787031877599</v>
      </c>
      <c r="C27" s="252">
        <v>156.041</v>
      </c>
      <c r="D27" s="253">
        <v>-4.7468703187749997</v>
      </c>
      <c r="E27" s="254">
        <v>0.97047743520999996</v>
      </c>
      <c r="F27" s="252">
        <v>156.91809235240001</v>
      </c>
      <c r="G27" s="253">
        <v>143.841584656366</v>
      </c>
      <c r="H27" s="255">
        <v>14.239000000000001</v>
      </c>
      <c r="I27" s="252">
        <v>138.26</v>
      </c>
      <c r="J27" s="253">
        <v>-5.5815846563660001</v>
      </c>
      <c r="K27" s="256">
        <v>0.88109661497400005</v>
      </c>
    </row>
    <row r="28" spans="1:11" ht="14.4" customHeight="1" thickBot="1" x14ac:dyDescent="0.35">
      <c r="A28" s="273" t="s">
        <v>180</v>
      </c>
      <c r="B28" s="257">
        <v>160.78787031877599</v>
      </c>
      <c r="C28" s="257">
        <v>156.041</v>
      </c>
      <c r="D28" s="258">
        <v>-4.7468703187749997</v>
      </c>
      <c r="E28" s="264">
        <v>0.97047743520999996</v>
      </c>
      <c r="F28" s="257">
        <v>156.91809235240001</v>
      </c>
      <c r="G28" s="258">
        <v>143.841584656366</v>
      </c>
      <c r="H28" s="260">
        <v>14.239000000000001</v>
      </c>
      <c r="I28" s="257">
        <v>138.26</v>
      </c>
      <c r="J28" s="258">
        <v>-5.5815846563660001</v>
      </c>
      <c r="K28" s="265">
        <v>0.88109661497400005</v>
      </c>
    </row>
    <row r="29" spans="1:11" ht="14.4" customHeight="1" thickBot="1" x14ac:dyDescent="0.35">
      <c r="A29" s="274" t="s">
        <v>181</v>
      </c>
      <c r="B29" s="252">
        <v>28.787878266648001</v>
      </c>
      <c r="C29" s="252">
        <v>31.454000000000001</v>
      </c>
      <c r="D29" s="253">
        <v>2.6661217333509999</v>
      </c>
      <c r="E29" s="254">
        <v>1.0926126513609999</v>
      </c>
      <c r="F29" s="252">
        <v>30.910463595568999</v>
      </c>
      <c r="G29" s="253">
        <v>28.334591629272001</v>
      </c>
      <c r="H29" s="255">
        <v>2.57</v>
      </c>
      <c r="I29" s="252">
        <v>28.792999999999999</v>
      </c>
      <c r="J29" s="253">
        <v>0.45840837072700003</v>
      </c>
      <c r="K29" s="256">
        <v>0.93149686710299995</v>
      </c>
    </row>
    <row r="30" spans="1:11" ht="14.4" customHeight="1" thickBot="1" x14ac:dyDescent="0.35">
      <c r="A30" s="274" t="s">
        <v>182</v>
      </c>
      <c r="B30" s="252">
        <v>59.99999638733</v>
      </c>
      <c r="C30" s="252">
        <v>61.765999999999998</v>
      </c>
      <c r="D30" s="253">
        <v>1.766003612669</v>
      </c>
      <c r="E30" s="254">
        <v>1.029433395316</v>
      </c>
      <c r="F30" s="252">
        <v>60.002578796698998</v>
      </c>
      <c r="G30" s="253">
        <v>55.002363896974003</v>
      </c>
      <c r="H30" s="255">
        <v>4.6950000000000003</v>
      </c>
      <c r="I30" s="252">
        <v>55.17</v>
      </c>
      <c r="J30" s="253">
        <v>0.16763610302500001</v>
      </c>
      <c r="K30" s="256">
        <v>0.91946048163899996</v>
      </c>
    </row>
    <row r="31" spans="1:11" ht="14.4" customHeight="1" thickBot="1" x14ac:dyDescent="0.35">
      <c r="A31" s="274" t="s">
        <v>183</v>
      </c>
      <c r="B31" s="252">
        <v>71.999995664796003</v>
      </c>
      <c r="C31" s="252">
        <v>62.820999999999998</v>
      </c>
      <c r="D31" s="253">
        <v>-9.178995664796</v>
      </c>
      <c r="E31" s="254">
        <v>0.87251394142299998</v>
      </c>
      <c r="F31" s="252">
        <v>66.005049960129995</v>
      </c>
      <c r="G31" s="253">
        <v>60.504629130119</v>
      </c>
      <c r="H31" s="255">
        <v>6.9740000000000002</v>
      </c>
      <c r="I31" s="252">
        <v>54.296999999999997</v>
      </c>
      <c r="J31" s="253">
        <v>-6.2076291301189999</v>
      </c>
      <c r="K31" s="256">
        <v>0.82261887587000004</v>
      </c>
    </row>
    <row r="32" spans="1:11" ht="14.4" customHeight="1" thickBot="1" x14ac:dyDescent="0.35">
      <c r="A32" s="275" t="s">
        <v>184</v>
      </c>
      <c r="B32" s="257">
        <v>36.822937782848001</v>
      </c>
      <c r="C32" s="257">
        <v>47.653320000000001</v>
      </c>
      <c r="D32" s="258">
        <v>10.830382217151</v>
      </c>
      <c r="E32" s="264">
        <v>1.2941205365249999</v>
      </c>
      <c r="F32" s="257">
        <v>28.143929934460999</v>
      </c>
      <c r="G32" s="258">
        <v>25.798602439922</v>
      </c>
      <c r="H32" s="260">
        <v>2.1921499999999998</v>
      </c>
      <c r="I32" s="257">
        <v>37.95767</v>
      </c>
      <c r="J32" s="258">
        <v>12.159067560077</v>
      </c>
      <c r="K32" s="265">
        <v>1.348698283729</v>
      </c>
    </row>
    <row r="33" spans="1:11" ht="14.4" customHeight="1" thickBot="1" x14ac:dyDescent="0.35">
      <c r="A33" s="272" t="s">
        <v>47</v>
      </c>
      <c r="B33" s="252">
        <v>5.9999996387329997</v>
      </c>
      <c r="C33" s="252">
        <v>23.05979</v>
      </c>
      <c r="D33" s="253">
        <v>17.059790361266</v>
      </c>
      <c r="E33" s="254">
        <v>3.8432985647420002</v>
      </c>
      <c r="F33" s="252">
        <v>7.0178704463079997</v>
      </c>
      <c r="G33" s="253">
        <v>6.4330479091160004</v>
      </c>
      <c r="H33" s="255">
        <v>0.16045999999999999</v>
      </c>
      <c r="I33" s="252">
        <v>13.25849</v>
      </c>
      <c r="J33" s="253">
        <v>6.8254420908829996</v>
      </c>
      <c r="K33" s="256">
        <v>1.889246902095</v>
      </c>
    </row>
    <row r="34" spans="1:11" ht="14.4" customHeight="1" thickBot="1" x14ac:dyDescent="0.35">
      <c r="A34" s="273" t="s">
        <v>185</v>
      </c>
      <c r="B34" s="257">
        <v>4.9406564584124654E-324</v>
      </c>
      <c r="C34" s="257">
        <v>12.382619999999999</v>
      </c>
      <c r="D34" s="258">
        <v>12.382619999999999</v>
      </c>
      <c r="E34" s="259" t="s">
        <v>162</v>
      </c>
      <c r="F34" s="257">
        <v>0</v>
      </c>
      <c r="G34" s="258">
        <v>0</v>
      </c>
      <c r="H34" s="260">
        <v>4.9406564584124654E-324</v>
      </c>
      <c r="I34" s="257">
        <v>5.434722104253712E-323</v>
      </c>
      <c r="J34" s="258">
        <v>5.434722104253712E-323</v>
      </c>
      <c r="K34" s="261" t="s">
        <v>156</v>
      </c>
    </row>
    <row r="35" spans="1:11" ht="14.4" customHeight="1" thickBot="1" x14ac:dyDescent="0.35">
      <c r="A35" s="274" t="s">
        <v>186</v>
      </c>
      <c r="B35" s="252">
        <v>4.9406564584124654E-324</v>
      </c>
      <c r="C35" s="252">
        <v>12.382619999999999</v>
      </c>
      <c r="D35" s="253">
        <v>12.382619999999999</v>
      </c>
      <c r="E35" s="262" t="s">
        <v>162</v>
      </c>
      <c r="F35" s="252">
        <v>0</v>
      </c>
      <c r="G35" s="253">
        <v>0</v>
      </c>
      <c r="H35" s="255">
        <v>4.9406564584124654E-324</v>
      </c>
      <c r="I35" s="252">
        <v>5.434722104253712E-323</v>
      </c>
      <c r="J35" s="253">
        <v>5.434722104253712E-323</v>
      </c>
      <c r="K35" s="263" t="s">
        <v>156</v>
      </c>
    </row>
    <row r="36" spans="1:11" ht="14.4" customHeight="1" thickBot="1" x14ac:dyDescent="0.35">
      <c r="A36" s="273" t="s">
        <v>187</v>
      </c>
      <c r="B36" s="257">
        <v>5.9999996387329997</v>
      </c>
      <c r="C36" s="257">
        <v>10.67717</v>
      </c>
      <c r="D36" s="258">
        <v>4.6771703612659996</v>
      </c>
      <c r="E36" s="264">
        <v>1.77952844048</v>
      </c>
      <c r="F36" s="257">
        <v>7.0178704463079997</v>
      </c>
      <c r="G36" s="258">
        <v>6.4330479091160004</v>
      </c>
      <c r="H36" s="260">
        <v>0.16045999999999999</v>
      </c>
      <c r="I36" s="257">
        <v>13.25849</v>
      </c>
      <c r="J36" s="258">
        <v>6.8254420908829996</v>
      </c>
      <c r="K36" s="265">
        <v>1.889246902095</v>
      </c>
    </row>
    <row r="37" spans="1:11" ht="14.4" customHeight="1" thickBot="1" x14ac:dyDescent="0.35">
      <c r="A37" s="274" t="s">
        <v>188</v>
      </c>
      <c r="B37" s="252">
        <v>4.9406564584124654E-324</v>
      </c>
      <c r="C37" s="252">
        <v>1.2</v>
      </c>
      <c r="D37" s="253">
        <v>1.2</v>
      </c>
      <c r="E37" s="262" t="s">
        <v>162</v>
      </c>
      <c r="F37" s="252">
        <v>1.0183474105500001</v>
      </c>
      <c r="G37" s="253">
        <v>0.93348512633699998</v>
      </c>
      <c r="H37" s="255">
        <v>4.9406564584124654E-324</v>
      </c>
      <c r="I37" s="252">
        <v>5.434722104253712E-323</v>
      </c>
      <c r="J37" s="253">
        <v>-0.93348512633699998</v>
      </c>
      <c r="K37" s="256">
        <v>5.434722104253712E-323</v>
      </c>
    </row>
    <row r="38" spans="1:11" ht="14.4" customHeight="1" thickBot="1" x14ac:dyDescent="0.35">
      <c r="A38" s="274" t="s">
        <v>189</v>
      </c>
      <c r="B38" s="252">
        <v>5.0000396989410003</v>
      </c>
      <c r="C38" s="252">
        <v>9.4771699999999992</v>
      </c>
      <c r="D38" s="253">
        <v>4.4771303010579997</v>
      </c>
      <c r="E38" s="254">
        <v>1.895418950774</v>
      </c>
      <c r="F38" s="252">
        <v>4.9995967953439999</v>
      </c>
      <c r="G38" s="253">
        <v>4.5829637290649998</v>
      </c>
      <c r="H38" s="255">
        <v>4.9406564584124654E-324</v>
      </c>
      <c r="I38" s="252">
        <v>11.42135</v>
      </c>
      <c r="J38" s="253">
        <v>6.8383862709340004</v>
      </c>
      <c r="K38" s="256">
        <v>2.2844542205149998</v>
      </c>
    </row>
    <row r="39" spans="1:11" ht="14.4" customHeight="1" thickBot="1" x14ac:dyDescent="0.35">
      <c r="A39" s="274" t="s">
        <v>190</v>
      </c>
      <c r="B39" s="252">
        <v>0.99995993979099995</v>
      </c>
      <c r="C39" s="252">
        <v>4.9406564584124654E-324</v>
      </c>
      <c r="D39" s="253">
        <v>-0.99995993979099995</v>
      </c>
      <c r="E39" s="254">
        <v>4.9406564584124654E-324</v>
      </c>
      <c r="F39" s="252">
        <v>0.99992624041400002</v>
      </c>
      <c r="G39" s="253">
        <v>0.91659905371200001</v>
      </c>
      <c r="H39" s="255">
        <v>0.16045999999999999</v>
      </c>
      <c r="I39" s="252">
        <v>1.83714</v>
      </c>
      <c r="J39" s="253">
        <v>0.92054094628700001</v>
      </c>
      <c r="K39" s="256">
        <v>1.837275516681</v>
      </c>
    </row>
    <row r="40" spans="1:11" ht="14.4" customHeight="1" thickBot="1" x14ac:dyDescent="0.35">
      <c r="A40" s="276" t="s">
        <v>48</v>
      </c>
      <c r="B40" s="257">
        <v>3.999959759157</v>
      </c>
      <c r="C40" s="257">
        <v>2.0270000000000001</v>
      </c>
      <c r="D40" s="258">
        <v>-1.9729597591570001</v>
      </c>
      <c r="E40" s="264">
        <v>0.50675509806200003</v>
      </c>
      <c r="F40" s="257">
        <v>0</v>
      </c>
      <c r="G40" s="258">
        <v>0</v>
      </c>
      <c r="H40" s="260">
        <v>0.26</v>
      </c>
      <c r="I40" s="257">
        <v>4.444</v>
      </c>
      <c r="J40" s="258">
        <v>4.444</v>
      </c>
      <c r="K40" s="261" t="s">
        <v>156</v>
      </c>
    </row>
    <row r="41" spans="1:11" ht="14.4" customHeight="1" thickBot="1" x14ac:dyDescent="0.35">
      <c r="A41" s="273" t="s">
        <v>191</v>
      </c>
      <c r="B41" s="257">
        <v>3.999959759157</v>
      </c>
      <c r="C41" s="257">
        <v>2.0270000000000001</v>
      </c>
      <c r="D41" s="258">
        <v>-1.9729597591570001</v>
      </c>
      <c r="E41" s="264">
        <v>0.50675509806200003</v>
      </c>
      <c r="F41" s="257">
        <v>0</v>
      </c>
      <c r="G41" s="258">
        <v>0</v>
      </c>
      <c r="H41" s="260">
        <v>0.26</v>
      </c>
      <c r="I41" s="257">
        <v>4.444</v>
      </c>
      <c r="J41" s="258">
        <v>4.444</v>
      </c>
      <c r="K41" s="261" t="s">
        <v>156</v>
      </c>
    </row>
    <row r="42" spans="1:11" ht="14.4" customHeight="1" thickBot="1" x14ac:dyDescent="0.35">
      <c r="A42" s="274" t="s">
        <v>192</v>
      </c>
      <c r="B42" s="252">
        <v>3.999959759157</v>
      </c>
      <c r="C42" s="252">
        <v>2.0270000000000001</v>
      </c>
      <c r="D42" s="253">
        <v>-1.9729597591570001</v>
      </c>
      <c r="E42" s="254">
        <v>0.50675509806200003</v>
      </c>
      <c r="F42" s="252">
        <v>0</v>
      </c>
      <c r="G42" s="253">
        <v>0</v>
      </c>
      <c r="H42" s="255">
        <v>0.26</v>
      </c>
      <c r="I42" s="252">
        <v>4.444</v>
      </c>
      <c r="J42" s="253">
        <v>4.444</v>
      </c>
      <c r="K42" s="263" t="s">
        <v>156</v>
      </c>
    </row>
    <row r="43" spans="1:11" ht="14.4" customHeight="1" thickBot="1" x14ac:dyDescent="0.35">
      <c r="A43" s="272" t="s">
        <v>49</v>
      </c>
      <c r="B43" s="252">
        <v>26.822978384957</v>
      </c>
      <c r="C43" s="252">
        <v>22.56653</v>
      </c>
      <c r="D43" s="253">
        <v>-4.2564483849570003</v>
      </c>
      <c r="E43" s="254">
        <v>0.84131335738000002</v>
      </c>
      <c r="F43" s="252">
        <v>21.126059488151999</v>
      </c>
      <c r="G43" s="253">
        <v>19.365554530806001</v>
      </c>
      <c r="H43" s="255">
        <v>1.77169</v>
      </c>
      <c r="I43" s="252">
        <v>20.255179999999999</v>
      </c>
      <c r="J43" s="253">
        <v>0.88962546919300001</v>
      </c>
      <c r="K43" s="256">
        <v>0.95877700294000001</v>
      </c>
    </row>
    <row r="44" spans="1:11" ht="14.4" customHeight="1" thickBot="1" x14ac:dyDescent="0.35">
      <c r="A44" s="273" t="s">
        <v>193</v>
      </c>
      <c r="B44" s="257">
        <v>4.9406564584124654E-324</v>
      </c>
      <c r="C44" s="257">
        <v>0.1115</v>
      </c>
      <c r="D44" s="258">
        <v>0.1115</v>
      </c>
      <c r="E44" s="259" t="s">
        <v>162</v>
      </c>
      <c r="F44" s="257">
        <v>0.10695677093100001</v>
      </c>
      <c r="G44" s="258">
        <v>9.8043706687000007E-2</v>
      </c>
      <c r="H44" s="260">
        <v>0.104</v>
      </c>
      <c r="I44" s="257">
        <v>0.20699999999999999</v>
      </c>
      <c r="J44" s="258">
        <v>0.108956293312</v>
      </c>
      <c r="K44" s="265">
        <v>1.9353613445619999</v>
      </c>
    </row>
    <row r="45" spans="1:11" ht="14.4" customHeight="1" thickBot="1" x14ac:dyDescent="0.35">
      <c r="A45" s="274" t="s">
        <v>194</v>
      </c>
      <c r="B45" s="252">
        <v>4.9406564584124654E-324</v>
      </c>
      <c r="C45" s="252">
        <v>0.1115</v>
      </c>
      <c r="D45" s="253">
        <v>0.1115</v>
      </c>
      <c r="E45" s="262" t="s">
        <v>162</v>
      </c>
      <c r="F45" s="252">
        <v>0.10695677093100001</v>
      </c>
      <c r="G45" s="253">
        <v>9.8043706687000007E-2</v>
      </c>
      <c r="H45" s="255">
        <v>0.104</v>
      </c>
      <c r="I45" s="252">
        <v>0.20699999999999999</v>
      </c>
      <c r="J45" s="253">
        <v>0.108956293312</v>
      </c>
      <c r="K45" s="256">
        <v>1.9353613445619999</v>
      </c>
    </row>
    <row r="46" spans="1:11" ht="14.4" customHeight="1" thickBot="1" x14ac:dyDescent="0.35">
      <c r="A46" s="273" t="s">
        <v>195</v>
      </c>
      <c r="B46" s="257">
        <v>10.020699396642</v>
      </c>
      <c r="C46" s="257">
        <v>7.4771799999999997</v>
      </c>
      <c r="D46" s="258">
        <v>-2.543519396642</v>
      </c>
      <c r="E46" s="264">
        <v>0.74617346594599998</v>
      </c>
      <c r="F46" s="257">
        <v>6.0169970858599999</v>
      </c>
      <c r="G46" s="258">
        <v>5.5155806620390004</v>
      </c>
      <c r="H46" s="260">
        <v>0.60375000000000001</v>
      </c>
      <c r="I46" s="257">
        <v>6.4058799999999998</v>
      </c>
      <c r="J46" s="258">
        <v>0.89029933796000005</v>
      </c>
      <c r="K46" s="265">
        <v>1.0646307300110001</v>
      </c>
    </row>
    <row r="47" spans="1:11" ht="14.4" customHeight="1" thickBot="1" x14ac:dyDescent="0.35">
      <c r="A47" s="274" t="s">
        <v>196</v>
      </c>
      <c r="B47" s="252">
        <v>2.0739998751000001E-2</v>
      </c>
      <c r="C47" s="252">
        <v>7.22E-2</v>
      </c>
      <c r="D47" s="253">
        <v>5.1460001248000001E-2</v>
      </c>
      <c r="E47" s="254">
        <v>3.4811959665979999</v>
      </c>
      <c r="F47" s="252">
        <v>8.3368452211000005E-2</v>
      </c>
      <c r="G47" s="253">
        <v>7.6421081193999998E-2</v>
      </c>
      <c r="H47" s="255">
        <v>2.6599999999999999E-2</v>
      </c>
      <c r="I47" s="252">
        <v>0.21759999999999999</v>
      </c>
      <c r="J47" s="253">
        <v>0.141178918805</v>
      </c>
      <c r="K47" s="256">
        <v>2.6101000345699998</v>
      </c>
    </row>
    <row r="48" spans="1:11" ht="14.4" customHeight="1" thickBot="1" x14ac:dyDescent="0.35">
      <c r="A48" s="274" t="s">
        <v>197</v>
      </c>
      <c r="B48" s="252">
        <v>9.9999593978900005</v>
      </c>
      <c r="C48" s="252">
        <v>7.4049800000000001</v>
      </c>
      <c r="D48" s="253">
        <v>-2.59497939789</v>
      </c>
      <c r="E48" s="254">
        <v>0.74050100658999995</v>
      </c>
      <c r="F48" s="252">
        <v>5.9336286336489996</v>
      </c>
      <c r="G48" s="253">
        <v>5.4391595808449997</v>
      </c>
      <c r="H48" s="255">
        <v>0.57715000000000005</v>
      </c>
      <c r="I48" s="252">
        <v>6.1882799999999998</v>
      </c>
      <c r="J48" s="253">
        <v>0.74912041915399996</v>
      </c>
      <c r="K48" s="256">
        <v>1.0429166336610001</v>
      </c>
    </row>
    <row r="49" spans="1:11" ht="14.4" customHeight="1" thickBot="1" x14ac:dyDescent="0.35">
      <c r="A49" s="273" t="s">
        <v>198</v>
      </c>
      <c r="B49" s="257">
        <v>2.1871198683099999</v>
      </c>
      <c r="C49" s="257">
        <v>2.16</v>
      </c>
      <c r="D49" s="258">
        <v>-2.711986831E-2</v>
      </c>
      <c r="E49" s="264">
        <v>0.98760019114399999</v>
      </c>
      <c r="F49" s="257">
        <v>1.9994809029539999</v>
      </c>
      <c r="G49" s="258">
        <v>1.8328574943739999</v>
      </c>
      <c r="H49" s="260">
        <v>4.9406564584124654E-324</v>
      </c>
      <c r="I49" s="257">
        <v>2.16</v>
      </c>
      <c r="J49" s="258">
        <v>0.32714250562500002</v>
      </c>
      <c r="K49" s="265">
        <v>1.0802803851780001</v>
      </c>
    </row>
    <row r="50" spans="1:11" ht="14.4" customHeight="1" thickBot="1" x14ac:dyDescent="0.35">
      <c r="A50" s="274" t="s">
        <v>199</v>
      </c>
      <c r="B50" s="252">
        <v>2.1871198683099999</v>
      </c>
      <c r="C50" s="252">
        <v>2.16</v>
      </c>
      <c r="D50" s="253">
        <v>-2.711986831E-2</v>
      </c>
      <c r="E50" s="254">
        <v>0.98760019114399999</v>
      </c>
      <c r="F50" s="252">
        <v>1.9994809029539999</v>
      </c>
      <c r="G50" s="253">
        <v>1.8328574943739999</v>
      </c>
      <c r="H50" s="255">
        <v>4.9406564584124654E-324</v>
      </c>
      <c r="I50" s="252">
        <v>2.16</v>
      </c>
      <c r="J50" s="253">
        <v>0.32714250562500002</v>
      </c>
      <c r="K50" s="256">
        <v>1.0802803851780001</v>
      </c>
    </row>
    <row r="51" spans="1:11" ht="14.4" customHeight="1" thickBot="1" x14ac:dyDescent="0.35">
      <c r="A51" s="273" t="s">
        <v>200</v>
      </c>
      <c r="B51" s="257">
        <v>10.744199353079001</v>
      </c>
      <c r="C51" s="257">
        <v>11.31785</v>
      </c>
      <c r="D51" s="258">
        <v>0.57365064692000001</v>
      </c>
      <c r="E51" s="264">
        <v>1.053391660752</v>
      </c>
      <c r="F51" s="257">
        <v>11.000011169617</v>
      </c>
      <c r="G51" s="258">
        <v>10.083343572148999</v>
      </c>
      <c r="H51" s="260">
        <v>1.0639400000000001</v>
      </c>
      <c r="I51" s="257">
        <v>11.4823</v>
      </c>
      <c r="J51" s="258">
        <v>1.39895642785</v>
      </c>
      <c r="K51" s="265">
        <v>1.043844394605</v>
      </c>
    </row>
    <row r="52" spans="1:11" ht="14.4" customHeight="1" thickBot="1" x14ac:dyDescent="0.35">
      <c r="A52" s="274" t="s">
        <v>201</v>
      </c>
      <c r="B52" s="252">
        <v>9.9999593978900005</v>
      </c>
      <c r="C52" s="252">
        <v>11.31785</v>
      </c>
      <c r="D52" s="253">
        <v>1.317890602109</v>
      </c>
      <c r="E52" s="254">
        <v>1.131789595304</v>
      </c>
      <c r="F52" s="252">
        <v>11.000011169617</v>
      </c>
      <c r="G52" s="253">
        <v>10.083343572148999</v>
      </c>
      <c r="H52" s="255">
        <v>1.0639400000000001</v>
      </c>
      <c r="I52" s="252">
        <v>11.4823</v>
      </c>
      <c r="J52" s="253">
        <v>1.39895642785</v>
      </c>
      <c r="K52" s="256">
        <v>1.043844394605</v>
      </c>
    </row>
    <row r="53" spans="1:11" ht="14.4" customHeight="1" thickBot="1" x14ac:dyDescent="0.35">
      <c r="A53" s="273" t="s">
        <v>202</v>
      </c>
      <c r="B53" s="257">
        <v>3.870959766925</v>
      </c>
      <c r="C53" s="257">
        <v>1.5</v>
      </c>
      <c r="D53" s="258">
        <v>-2.370959766925</v>
      </c>
      <c r="E53" s="264">
        <v>0.387500798333</v>
      </c>
      <c r="F53" s="257">
        <v>2.0026135587880001</v>
      </c>
      <c r="G53" s="258">
        <v>1.8357290955550001</v>
      </c>
      <c r="H53" s="260">
        <v>4.9406564584124654E-324</v>
      </c>
      <c r="I53" s="257">
        <v>5.434722104253712E-323</v>
      </c>
      <c r="J53" s="258">
        <v>-1.8357290955550001</v>
      </c>
      <c r="K53" s="265">
        <v>2.4703282292062327E-323</v>
      </c>
    </row>
    <row r="54" spans="1:11" ht="14.4" customHeight="1" thickBot="1" x14ac:dyDescent="0.35">
      <c r="A54" s="274" t="s">
        <v>203</v>
      </c>
      <c r="B54" s="252">
        <v>2.0000398795750001</v>
      </c>
      <c r="C54" s="252">
        <v>1.5</v>
      </c>
      <c r="D54" s="253">
        <v>-0.50003987957499996</v>
      </c>
      <c r="E54" s="254">
        <v>0.74998504545699995</v>
      </c>
      <c r="F54" s="252">
        <v>2.0026135587880001</v>
      </c>
      <c r="G54" s="253">
        <v>1.8357290955550001</v>
      </c>
      <c r="H54" s="255">
        <v>4.9406564584124654E-324</v>
      </c>
      <c r="I54" s="252">
        <v>5.434722104253712E-323</v>
      </c>
      <c r="J54" s="253">
        <v>-1.8357290955550001</v>
      </c>
      <c r="K54" s="256">
        <v>2.4703282292062327E-323</v>
      </c>
    </row>
    <row r="55" spans="1:11" ht="14.4" customHeight="1" thickBot="1" x14ac:dyDescent="0.35">
      <c r="A55" s="271" t="s">
        <v>50</v>
      </c>
      <c r="B55" s="252">
        <v>2455.9998921214001</v>
      </c>
      <c r="C55" s="252">
        <v>2330.0089699999999</v>
      </c>
      <c r="D55" s="253">
        <v>-125.99092212139701</v>
      </c>
      <c r="E55" s="254">
        <v>0.948700762355</v>
      </c>
      <c r="F55" s="252">
        <v>2341.9993665023399</v>
      </c>
      <c r="G55" s="253">
        <v>2146.8327526271501</v>
      </c>
      <c r="H55" s="255">
        <v>259.12421000000001</v>
      </c>
      <c r="I55" s="252">
        <v>2362.8350399999999</v>
      </c>
      <c r="J55" s="253">
        <v>216.002287372854</v>
      </c>
      <c r="K55" s="256">
        <v>1.0088965325070001</v>
      </c>
    </row>
    <row r="56" spans="1:11" ht="14.4" customHeight="1" thickBot="1" x14ac:dyDescent="0.35">
      <c r="A56" s="276" t="s">
        <v>204</v>
      </c>
      <c r="B56" s="257">
        <v>1817.9998905361199</v>
      </c>
      <c r="C56" s="257">
        <v>1730.8630000000001</v>
      </c>
      <c r="D56" s="258">
        <v>-87.136890536115999</v>
      </c>
      <c r="E56" s="264">
        <v>0.95206991430999999</v>
      </c>
      <c r="F56" s="257">
        <v>1734.99999999991</v>
      </c>
      <c r="G56" s="258">
        <v>1590.4166666665801</v>
      </c>
      <c r="H56" s="260">
        <v>191.94399999999999</v>
      </c>
      <c r="I56" s="257">
        <v>1750.248</v>
      </c>
      <c r="J56" s="258">
        <v>159.83133333341999</v>
      </c>
      <c r="K56" s="265">
        <v>1.008788472622</v>
      </c>
    </row>
    <row r="57" spans="1:11" ht="14.4" customHeight="1" thickBot="1" x14ac:dyDescent="0.35">
      <c r="A57" s="273" t="s">
        <v>205</v>
      </c>
      <c r="B57" s="257">
        <v>1811.9998908973801</v>
      </c>
      <c r="C57" s="257">
        <v>1711.2760000000001</v>
      </c>
      <c r="D57" s="258">
        <v>-100.723890897384</v>
      </c>
      <c r="E57" s="264">
        <v>0.94441286039600003</v>
      </c>
      <c r="F57" s="257">
        <v>1734.99999999991</v>
      </c>
      <c r="G57" s="258">
        <v>1590.4166666665801</v>
      </c>
      <c r="H57" s="260">
        <v>191.94399999999999</v>
      </c>
      <c r="I57" s="257">
        <v>1750.248</v>
      </c>
      <c r="J57" s="258">
        <v>159.83133333341999</v>
      </c>
      <c r="K57" s="265">
        <v>1.008788472622</v>
      </c>
    </row>
    <row r="58" spans="1:11" ht="14.4" customHeight="1" thickBot="1" x14ac:dyDescent="0.35">
      <c r="A58" s="274" t="s">
        <v>206</v>
      </c>
      <c r="B58" s="252">
        <v>1811.9998908973801</v>
      </c>
      <c r="C58" s="252">
        <v>1711.2760000000001</v>
      </c>
      <c r="D58" s="253">
        <v>-100.723890897384</v>
      </c>
      <c r="E58" s="254">
        <v>0.94441286039600003</v>
      </c>
      <c r="F58" s="252">
        <v>1734.99999999991</v>
      </c>
      <c r="G58" s="253">
        <v>1590.4166666665801</v>
      </c>
      <c r="H58" s="255">
        <v>191.94399999999999</v>
      </c>
      <c r="I58" s="252">
        <v>1750.248</v>
      </c>
      <c r="J58" s="253">
        <v>159.83133333341999</v>
      </c>
      <c r="K58" s="256">
        <v>1.008788472622</v>
      </c>
    </row>
    <row r="59" spans="1:11" ht="14.4" customHeight="1" thickBot="1" x14ac:dyDescent="0.35">
      <c r="A59" s="273" t="s">
        <v>207</v>
      </c>
      <c r="B59" s="257">
        <v>5.9999996387329997</v>
      </c>
      <c r="C59" s="257">
        <v>19.587</v>
      </c>
      <c r="D59" s="258">
        <v>13.587000361266</v>
      </c>
      <c r="E59" s="264">
        <v>3.2645001965590001</v>
      </c>
      <c r="F59" s="257">
        <v>0</v>
      </c>
      <c r="G59" s="258">
        <v>0</v>
      </c>
      <c r="H59" s="260">
        <v>4.9406564584124654E-324</v>
      </c>
      <c r="I59" s="257">
        <v>5.434722104253712E-323</v>
      </c>
      <c r="J59" s="258">
        <v>5.434722104253712E-323</v>
      </c>
      <c r="K59" s="261" t="s">
        <v>156</v>
      </c>
    </row>
    <row r="60" spans="1:11" ht="14.4" customHeight="1" thickBot="1" x14ac:dyDescent="0.35">
      <c r="A60" s="274" t="s">
        <v>208</v>
      </c>
      <c r="B60" s="252">
        <v>5.9999996387329997</v>
      </c>
      <c r="C60" s="252">
        <v>19.587</v>
      </c>
      <c r="D60" s="253">
        <v>13.587000361266</v>
      </c>
      <c r="E60" s="254">
        <v>3.2645001965590001</v>
      </c>
      <c r="F60" s="252">
        <v>0</v>
      </c>
      <c r="G60" s="253">
        <v>0</v>
      </c>
      <c r="H60" s="255">
        <v>4.9406564584124654E-324</v>
      </c>
      <c r="I60" s="252">
        <v>5.434722104253712E-323</v>
      </c>
      <c r="J60" s="253">
        <v>5.434722104253712E-323</v>
      </c>
      <c r="K60" s="263" t="s">
        <v>156</v>
      </c>
    </row>
    <row r="61" spans="1:11" ht="14.4" customHeight="1" thickBot="1" x14ac:dyDescent="0.35">
      <c r="A61" s="272" t="s">
        <v>209</v>
      </c>
      <c r="B61" s="252">
        <v>619.00004272928902</v>
      </c>
      <c r="C61" s="252">
        <v>581.83594000000005</v>
      </c>
      <c r="D61" s="253">
        <v>-37.164102729288999</v>
      </c>
      <c r="E61" s="254">
        <v>0.93996106597100004</v>
      </c>
      <c r="F61" s="252">
        <v>589.99936650243501</v>
      </c>
      <c r="G61" s="253">
        <v>540.83275262723203</v>
      </c>
      <c r="H61" s="255">
        <v>65.260779999999997</v>
      </c>
      <c r="I61" s="252">
        <v>595.08426999999995</v>
      </c>
      <c r="J61" s="253">
        <v>54.251517372766997</v>
      </c>
      <c r="K61" s="256">
        <v>1.0086184897579999</v>
      </c>
    </row>
    <row r="62" spans="1:11" ht="14.4" customHeight="1" thickBot="1" x14ac:dyDescent="0.35">
      <c r="A62" s="273" t="s">
        <v>210</v>
      </c>
      <c r="B62" s="257">
        <v>164.000030125368</v>
      </c>
      <c r="C62" s="257">
        <v>154.01687999999999</v>
      </c>
      <c r="D62" s="258">
        <v>-9.9831501253670005</v>
      </c>
      <c r="E62" s="264">
        <v>0.93912714456299995</v>
      </c>
      <c r="F62" s="257">
        <v>155.999998799281</v>
      </c>
      <c r="G62" s="258">
        <v>142.99999889934099</v>
      </c>
      <c r="H62" s="260">
        <v>17.27478</v>
      </c>
      <c r="I62" s="257">
        <v>157.52225999999999</v>
      </c>
      <c r="J62" s="258">
        <v>14.522261100659</v>
      </c>
      <c r="K62" s="265">
        <v>1.0097580846950001</v>
      </c>
    </row>
    <row r="63" spans="1:11" ht="14.4" customHeight="1" thickBot="1" x14ac:dyDescent="0.35">
      <c r="A63" s="274" t="s">
        <v>211</v>
      </c>
      <c r="B63" s="252">
        <v>164.000030125368</v>
      </c>
      <c r="C63" s="252">
        <v>154.01687999999999</v>
      </c>
      <c r="D63" s="253">
        <v>-9.9831501253670005</v>
      </c>
      <c r="E63" s="254">
        <v>0.93912714456299995</v>
      </c>
      <c r="F63" s="252">
        <v>155.999998799281</v>
      </c>
      <c r="G63" s="253">
        <v>142.99999889934099</v>
      </c>
      <c r="H63" s="255">
        <v>17.27478</v>
      </c>
      <c r="I63" s="252">
        <v>157.52225999999999</v>
      </c>
      <c r="J63" s="253">
        <v>14.522261100659</v>
      </c>
      <c r="K63" s="256">
        <v>1.0097580846950001</v>
      </c>
    </row>
    <row r="64" spans="1:11" ht="14.4" customHeight="1" thickBot="1" x14ac:dyDescent="0.35">
      <c r="A64" s="273" t="s">
        <v>212</v>
      </c>
      <c r="B64" s="257">
        <v>455.00001260392099</v>
      </c>
      <c r="C64" s="257">
        <v>427.81905999999998</v>
      </c>
      <c r="D64" s="258">
        <v>-27.180952603921</v>
      </c>
      <c r="E64" s="264">
        <v>0.94026164428299996</v>
      </c>
      <c r="F64" s="257">
        <v>433.99936770315401</v>
      </c>
      <c r="G64" s="258">
        <v>397.83275372789097</v>
      </c>
      <c r="H64" s="260">
        <v>47.985999999999997</v>
      </c>
      <c r="I64" s="257">
        <v>437.56200999999999</v>
      </c>
      <c r="J64" s="258">
        <v>39.729256272108003</v>
      </c>
      <c r="K64" s="265">
        <v>1.0082088651779999</v>
      </c>
    </row>
    <row r="65" spans="1:11" ht="14.4" customHeight="1" thickBot="1" x14ac:dyDescent="0.35">
      <c r="A65" s="274" t="s">
        <v>213</v>
      </c>
      <c r="B65" s="252">
        <v>455.00001260392099</v>
      </c>
      <c r="C65" s="252">
        <v>427.81905999999998</v>
      </c>
      <c r="D65" s="253">
        <v>-27.180952603921</v>
      </c>
      <c r="E65" s="254">
        <v>0.94026164428299996</v>
      </c>
      <c r="F65" s="252">
        <v>433.99936770315401</v>
      </c>
      <c r="G65" s="253">
        <v>397.83275372789097</v>
      </c>
      <c r="H65" s="255">
        <v>47.985999999999997</v>
      </c>
      <c r="I65" s="252">
        <v>437.56200999999999</v>
      </c>
      <c r="J65" s="253">
        <v>39.729256272108003</v>
      </c>
      <c r="K65" s="256">
        <v>1.0082088651779999</v>
      </c>
    </row>
    <row r="66" spans="1:11" ht="14.4" customHeight="1" thickBot="1" x14ac:dyDescent="0.35">
      <c r="A66" s="272" t="s">
        <v>214</v>
      </c>
      <c r="B66" s="252">
        <v>18.999958855989998</v>
      </c>
      <c r="C66" s="252">
        <v>17.310030000000001</v>
      </c>
      <c r="D66" s="253">
        <v>-1.6899288559900001</v>
      </c>
      <c r="E66" s="254">
        <v>0.91105618339399996</v>
      </c>
      <c r="F66" s="252">
        <v>16.999999999999002</v>
      </c>
      <c r="G66" s="253">
        <v>15.583333333332</v>
      </c>
      <c r="H66" s="255">
        <v>1.91943</v>
      </c>
      <c r="I66" s="252">
        <v>17.502770000000002</v>
      </c>
      <c r="J66" s="253">
        <v>1.919436666667</v>
      </c>
      <c r="K66" s="256">
        <v>1.029574705882</v>
      </c>
    </row>
    <row r="67" spans="1:11" ht="14.4" customHeight="1" thickBot="1" x14ac:dyDescent="0.35">
      <c r="A67" s="273" t="s">
        <v>215</v>
      </c>
      <c r="B67" s="257">
        <v>18.999958855989998</v>
      </c>
      <c r="C67" s="257">
        <v>17.310030000000001</v>
      </c>
      <c r="D67" s="258">
        <v>-1.6899288559900001</v>
      </c>
      <c r="E67" s="264">
        <v>0.91105618339399996</v>
      </c>
      <c r="F67" s="257">
        <v>16.999999999999002</v>
      </c>
      <c r="G67" s="258">
        <v>15.583333333332</v>
      </c>
      <c r="H67" s="260">
        <v>1.91943</v>
      </c>
      <c r="I67" s="257">
        <v>17.502770000000002</v>
      </c>
      <c r="J67" s="258">
        <v>1.919436666667</v>
      </c>
      <c r="K67" s="265">
        <v>1.029574705882</v>
      </c>
    </row>
    <row r="68" spans="1:11" ht="14.4" customHeight="1" thickBot="1" x14ac:dyDescent="0.35">
      <c r="A68" s="274" t="s">
        <v>216</v>
      </c>
      <c r="B68" s="252">
        <v>18.999958855989998</v>
      </c>
      <c r="C68" s="252">
        <v>17.310030000000001</v>
      </c>
      <c r="D68" s="253">
        <v>-1.6899288559900001</v>
      </c>
      <c r="E68" s="254">
        <v>0.91105618339399996</v>
      </c>
      <c r="F68" s="252">
        <v>16.999999999999002</v>
      </c>
      <c r="G68" s="253">
        <v>15.583333333332</v>
      </c>
      <c r="H68" s="255">
        <v>1.91943</v>
      </c>
      <c r="I68" s="252">
        <v>17.502770000000002</v>
      </c>
      <c r="J68" s="253">
        <v>1.919436666667</v>
      </c>
      <c r="K68" s="256">
        <v>1.029574705882</v>
      </c>
    </row>
    <row r="69" spans="1:11" ht="14.4" customHeight="1" thickBot="1" x14ac:dyDescent="0.35">
      <c r="A69" s="271" t="s">
        <v>217</v>
      </c>
      <c r="B69" s="252">
        <v>4.9406564584124654E-324</v>
      </c>
      <c r="C69" s="252">
        <v>0.1275</v>
      </c>
      <c r="D69" s="253">
        <v>0.1275</v>
      </c>
      <c r="E69" s="262" t="s">
        <v>162</v>
      </c>
      <c r="F69" s="252">
        <v>0</v>
      </c>
      <c r="G69" s="253">
        <v>0</v>
      </c>
      <c r="H69" s="255">
        <v>4.43</v>
      </c>
      <c r="I69" s="252">
        <v>6.23</v>
      </c>
      <c r="J69" s="253">
        <v>6.23</v>
      </c>
      <c r="K69" s="263" t="s">
        <v>156</v>
      </c>
    </row>
    <row r="70" spans="1:11" ht="14.4" customHeight="1" thickBot="1" x14ac:dyDescent="0.35">
      <c r="A70" s="272" t="s">
        <v>218</v>
      </c>
      <c r="B70" s="252">
        <v>4.9406564584124654E-324</v>
      </c>
      <c r="C70" s="252">
        <v>0.1275</v>
      </c>
      <c r="D70" s="253">
        <v>0.1275</v>
      </c>
      <c r="E70" s="262" t="s">
        <v>162</v>
      </c>
      <c r="F70" s="252">
        <v>0</v>
      </c>
      <c r="G70" s="253">
        <v>0</v>
      </c>
      <c r="H70" s="255">
        <v>4.43</v>
      </c>
      <c r="I70" s="252">
        <v>6.23</v>
      </c>
      <c r="J70" s="253">
        <v>6.23</v>
      </c>
      <c r="K70" s="263" t="s">
        <v>156</v>
      </c>
    </row>
    <row r="71" spans="1:11" ht="14.4" customHeight="1" thickBot="1" x14ac:dyDescent="0.35">
      <c r="A71" s="273" t="s">
        <v>219</v>
      </c>
      <c r="B71" s="257">
        <v>4.9406564584124654E-324</v>
      </c>
      <c r="C71" s="257">
        <v>0.1275</v>
      </c>
      <c r="D71" s="258">
        <v>0.1275</v>
      </c>
      <c r="E71" s="259" t="s">
        <v>162</v>
      </c>
      <c r="F71" s="257">
        <v>0</v>
      </c>
      <c r="G71" s="258">
        <v>0</v>
      </c>
      <c r="H71" s="260">
        <v>4.9406564584124654E-324</v>
      </c>
      <c r="I71" s="257">
        <v>5.434722104253712E-323</v>
      </c>
      <c r="J71" s="258">
        <v>5.434722104253712E-323</v>
      </c>
      <c r="K71" s="261" t="s">
        <v>156</v>
      </c>
    </row>
    <row r="72" spans="1:11" ht="14.4" customHeight="1" thickBot="1" x14ac:dyDescent="0.35">
      <c r="A72" s="274" t="s">
        <v>220</v>
      </c>
      <c r="B72" s="252">
        <v>4.9406564584124654E-324</v>
      </c>
      <c r="C72" s="252">
        <v>0.1275</v>
      </c>
      <c r="D72" s="253">
        <v>0.1275</v>
      </c>
      <c r="E72" s="262" t="s">
        <v>162</v>
      </c>
      <c r="F72" s="252">
        <v>0</v>
      </c>
      <c r="G72" s="253">
        <v>0</v>
      </c>
      <c r="H72" s="255">
        <v>4.9406564584124654E-324</v>
      </c>
      <c r="I72" s="252">
        <v>5.434722104253712E-323</v>
      </c>
      <c r="J72" s="253">
        <v>5.434722104253712E-323</v>
      </c>
      <c r="K72" s="263" t="s">
        <v>156</v>
      </c>
    </row>
    <row r="73" spans="1:11" ht="14.4" customHeight="1" thickBot="1" x14ac:dyDescent="0.35">
      <c r="A73" s="277" t="s">
        <v>221</v>
      </c>
      <c r="B73" s="252">
        <v>4.9406564584124654E-324</v>
      </c>
      <c r="C73" s="252">
        <v>4.9406564584124654E-324</v>
      </c>
      <c r="D73" s="253">
        <v>0</v>
      </c>
      <c r="E73" s="254">
        <v>1</v>
      </c>
      <c r="F73" s="252">
        <v>4.9406564584124654E-324</v>
      </c>
      <c r="G73" s="253">
        <v>0</v>
      </c>
      <c r="H73" s="255">
        <v>4.43</v>
      </c>
      <c r="I73" s="252">
        <v>6.23</v>
      </c>
      <c r="J73" s="253">
        <v>6.23</v>
      </c>
      <c r="K73" s="263" t="s">
        <v>162</v>
      </c>
    </row>
    <row r="74" spans="1:11" ht="14.4" customHeight="1" thickBot="1" x14ac:dyDescent="0.35">
      <c r="A74" s="274" t="s">
        <v>222</v>
      </c>
      <c r="B74" s="252">
        <v>4.9406564584124654E-324</v>
      </c>
      <c r="C74" s="252">
        <v>4.9406564584124654E-324</v>
      </c>
      <c r="D74" s="253">
        <v>0</v>
      </c>
      <c r="E74" s="254">
        <v>1</v>
      </c>
      <c r="F74" s="252">
        <v>4.9406564584124654E-324</v>
      </c>
      <c r="G74" s="253">
        <v>0</v>
      </c>
      <c r="H74" s="255">
        <v>4.43</v>
      </c>
      <c r="I74" s="252">
        <v>6.23</v>
      </c>
      <c r="J74" s="253">
        <v>6.23</v>
      </c>
      <c r="K74" s="263" t="s">
        <v>162</v>
      </c>
    </row>
    <row r="75" spans="1:11" ht="14.4" customHeight="1" thickBot="1" x14ac:dyDescent="0.35">
      <c r="A75" s="271" t="s">
        <v>223</v>
      </c>
      <c r="B75" s="252">
        <v>41.999997471131003</v>
      </c>
      <c r="C75" s="252">
        <v>56.475000000000001</v>
      </c>
      <c r="D75" s="253">
        <v>14.475002528868</v>
      </c>
      <c r="E75" s="254">
        <v>1.344642938105</v>
      </c>
      <c r="F75" s="252">
        <v>17.999999999999002</v>
      </c>
      <c r="G75" s="253">
        <v>16.499999999999002</v>
      </c>
      <c r="H75" s="255">
        <v>1.5449999999999999</v>
      </c>
      <c r="I75" s="252">
        <v>26.721</v>
      </c>
      <c r="J75" s="253">
        <v>10.221</v>
      </c>
      <c r="K75" s="256">
        <v>1.4844999999999999</v>
      </c>
    </row>
    <row r="76" spans="1:11" ht="14.4" customHeight="1" thickBot="1" x14ac:dyDescent="0.35">
      <c r="A76" s="272" t="s">
        <v>224</v>
      </c>
      <c r="B76" s="252">
        <v>41.999997471131003</v>
      </c>
      <c r="C76" s="252">
        <v>42.555</v>
      </c>
      <c r="D76" s="253">
        <v>0.55500252886799994</v>
      </c>
      <c r="E76" s="254">
        <v>1.013214346721</v>
      </c>
      <c r="F76" s="252">
        <v>17.999999999999002</v>
      </c>
      <c r="G76" s="253">
        <v>16.499999999999002</v>
      </c>
      <c r="H76" s="255">
        <v>1.5449999999999999</v>
      </c>
      <c r="I76" s="252">
        <v>16.221</v>
      </c>
      <c r="J76" s="253">
        <v>-0.27899999999899999</v>
      </c>
      <c r="K76" s="256">
        <v>0.90116666666599998</v>
      </c>
    </row>
    <row r="77" spans="1:11" ht="14.4" customHeight="1" thickBot="1" x14ac:dyDescent="0.35">
      <c r="A77" s="273" t="s">
        <v>225</v>
      </c>
      <c r="B77" s="257">
        <v>41.999997471131003</v>
      </c>
      <c r="C77" s="257">
        <v>42.555</v>
      </c>
      <c r="D77" s="258">
        <v>0.55500252886799994</v>
      </c>
      <c r="E77" s="264">
        <v>1.013214346721</v>
      </c>
      <c r="F77" s="257">
        <v>17.999999999999002</v>
      </c>
      <c r="G77" s="258">
        <v>16.499999999999002</v>
      </c>
      <c r="H77" s="260">
        <v>1.5449999999999999</v>
      </c>
      <c r="I77" s="257">
        <v>16.221</v>
      </c>
      <c r="J77" s="258">
        <v>-0.27899999999899999</v>
      </c>
      <c r="K77" s="265">
        <v>0.90116666666599998</v>
      </c>
    </row>
    <row r="78" spans="1:11" ht="14.4" customHeight="1" thickBot="1" x14ac:dyDescent="0.35">
      <c r="A78" s="274" t="s">
        <v>226</v>
      </c>
      <c r="B78" s="252">
        <v>36.999957772188999</v>
      </c>
      <c r="C78" s="252">
        <v>37.503</v>
      </c>
      <c r="D78" s="253">
        <v>0.50304222780999996</v>
      </c>
      <c r="E78" s="254">
        <v>1.0135957514030001</v>
      </c>
      <c r="F78" s="252">
        <v>14.999999999999</v>
      </c>
      <c r="G78" s="253">
        <v>13.749999999999</v>
      </c>
      <c r="H78" s="255">
        <v>1.33</v>
      </c>
      <c r="I78" s="252">
        <v>13.866</v>
      </c>
      <c r="J78" s="253">
        <v>0.11600000000000001</v>
      </c>
      <c r="K78" s="256">
        <v>0.9244</v>
      </c>
    </row>
    <row r="79" spans="1:11" ht="14.4" customHeight="1" thickBot="1" x14ac:dyDescent="0.35">
      <c r="A79" s="274" t="s">
        <v>227</v>
      </c>
      <c r="B79" s="252">
        <v>5.0000396989410003</v>
      </c>
      <c r="C79" s="252">
        <v>5.0519999999999996</v>
      </c>
      <c r="D79" s="253">
        <v>5.1960301058000001E-2</v>
      </c>
      <c r="E79" s="254">
        <v>1.010391977701</v>
      </c>
      <c r="F79" s="252">
        <v>2.9999999999989999</v>
      </c>
      <c r="G79" s="253">
        <v>2.7499999999989999</v>
      </c>
      <c r="H79" s="255">
        <v>0.215</v>
      </c>
      <c r="I79" s="252">
        <v>2.355</v>
      </c>
      <c r="J79" s="253">
        <v>-0.39499999999899998</v>
      </c>
      <c r="K79" s="256">
        <v>0.78500000000000003</v>
      </c>
    </row>
    <row r="80" spans="1:11" ht="14.4" customHeight="1" thickBot="1" x14ac:dyDescent="0.35">
      <c r="A80" s="272" t="s">
        <v>228</v>
      </c>
      <c r="B80" s="252">
        <v>4.9406564584124654E-324</v>
      </c>
      <c r="C80" s="252">
        <v>13.92</v>
      </c>
      <c r="D80" s="253">
        <v>13.92</v>
      </c>
      <c r="E80" s="262" t="s">
        <v>162</v>
      </c>
      <c r="F80" s="252">
        <v>0</v>
      </c>
      <c r="G80" s="253">
        <v>0</v>
      </c>
      <c r="H80" s="255">
        <v>4.9406564584124654E-324</v>
      </c>
      <c r="I80" s="252">
        <v>10.5</v>
      </c>
      <c r="J80" s="253">
        <v>10.5</v>
      </c>
      <c r="K80" s="263" t="s">
        <v>156</v>
      </c>
    </row>
    <row r="81" spans="1:11" ht="14.4" customHeight="1" thickBot="1" x14ac:dyDescent="0.35">
      <c r="A81" s="273" t="s">
        <v>229</v>
      </c>
      <c r="B81" s="257">
        <v>4.9406564584124654E-324</v>
      </c>
      <c r="C81" s="257">
        <v>3.29</v>
      </c>
      <c r="D81" s="258">
        <v>3.29</v>
      </c>
      <c r="E81" s="259" t="s">
        <v>162</v>
      </c>
      <c r="F81" s="257">
        <v>0</v>
      </c>
      <c r="G81" s="258">
        <v>0</v>
      </c>
      <c r="H81" s="260">
        <v>4.9406564584124654E-324</v>
      </c>
      <c r="I81" s="257">
        <v>5.434722104253712E-323</v>
      </c>
      <c r="J81" s="258">
        <v>5.434722104253712E-323</v>
      </c>
      <c r="K81" s="261" t="s">
        <v>156</v>
      </c>
    </row>
    <row r="82" spans="1:11" ht="14.4" customHeight="1" thickBot="1" x14ac:dyDescent="0.35">
      <c r="A82" s="274" t="s">
        <v>230</v>
      </c>
      <c r="B82" s="252">
        <v>4.9406564584124654E-324</v>
      </c>
      <c r="C82" s="252">
        <v>3.29</v>
      </c>
      <c r="D82" s="253">
        <v>3.29</v>
      </c>
      <c r="E82" s="262" t="s">
        <v>162</v>
      </c>
      <c r="F82" s="252">
        <v>0</v>
      </c>
      <c r="G82" s="253">
        <v>0</v>
      </c>
      <c r="H82" s="255">
        <v>4.9406564584124654E-324</v>
      </c>
      <c r="I82" s="252">
        <v>5.434722104253712E-323</v>
      </c>
      <c r="J82" s="253">
        <v>5.434722104253712E-323</v>
      </c>
      <c r="K82" s="263" t="s">
        <v>156</v>
      </c>
    </row>
    <row r="83" spans="1:11" ht="14.4" customHeight="1" thickBot="1" x14ac:dyDescent="0.35">
      <c r="A83" s="273" t="s">
        <v>231</v>
      </c>
      <c r="B83" s="257">
        <v>4.9406564584124654E-324</v>
      </c>
      <c r="C83" s="257">
        <v>10.63</v>
      </c>
      <c r="D83" s="258">
        <v>10.63</v>
      </c>
      <c r="E83" s="259" t="s">
        <v>162</v>
      </c>
      <c r="F83" s="257">
        <v>0</v>
      </c>
      <c r="G83" s="258">
        <v>0</v>
      </c>
      <c r="H83" s="260">
        <v>4.9406564584124654E-324</v>
      </c>
      <c r="I83" s="257">
        <v>10.5</v>
      </c>
      <c r="J83" s="258">
        <v>10.5</v>
      </c>
      <c r="K83" s="261" t="s">
        <v>156</v>
      </c>
    </row>
    <row r="84" spans="1:11" ht="14.4" customHeight="1" thickBot="1" x14ac:dyDescent="0.35">
      <c r="A84" s="274" t="s">
        <v>232</v>
      </c>
      <c r="B84" s="252">
        <v>4.9406564584124654E-324</v>
      </c>
      <c r="C84" s="252">
        <v>10.63</v>
      </c>
      <c r="D84" s="253">
        <v>10.63</v>
      </c>
      <c r="E84" s="262" t="s">
        <v>162</v>
      </c>
      <c r="F84" s="252">
        <v>0</v>
      </c>
      <c r="G84" s="253">
        <v>0</v>
      </c>
      <c r="H84" s="255">
        <v>4.9406564584124654E-324</v>
      </c>
      <c r="I84" s="252">
        <v>10.5</v>
      </c>
      <c r="J84" s="253">
        <v>10.5</v>
      </c>
      <c r="K84" s="263" t="s">
        <v>156</v>
      </c>
    </row>
    <row r="85" spans="1:11" ht="14.4" customHeight="1" thickBot="1" x14ac:dyDescent="0.35">
      <c r="A85" s="270" t="s">
        <v>233</v>
      </c>
      <c r="B85" s="252">
        <v>2100.0690620125802</v>
      </c>
      <c r="C85" s="252">
        <v>1331.2000859060199</v>
      </c>
      <c r="D85" s="253">
        <v>-768.86897610655797</v>
      </c>
      <c r="E85" s="254">
        <v>0.633883956478</v>
      </c>
      <c r="F85" s="252">
        <v>1573.9505604614601</v>
      </c>
      <c r="G85" s="253">
        <v>1442.78801375634</v>
      </c>
      <c r="H85" s="255">
        <v>100.40219</v>
      </c>
      <c r="I85" s="252">
        <v>1200.4431300000001</v>
      </c>
      <c r="J85" s="253">
        <v>-242.34488375633799</v>
      </c>
      <c r="K85" s="256">
        <v>0.76269430575200003</v>
      </c>
    </row>
    <row r="86" spans="1:11" ht="14.4" customHeight="1" thickBot="1" x14ac:dyDescent="0.35">
      <c r="A86" s="271" t="s">
        <v>234</v>
      </c>
      <c r="B86" s="252">
        <v>2097.06906183828</v>
      </c>
      <c r="C86" s="252">
        <v>1309.34029790775</v>
      </c>
      <c r="D86" s="253">
        <v>-787.728763930534</v>
      </c>
      <c r="E86" s="254">
        <v>0.62436679923100002</v>
      </c>
      <c r="F86" s="252">
        <v>1566.9326309211599</v>
      </c>
      <c r="G86" s="253">
        <v>1436.3549116777299</v>
      </c>
      <c r="H86" s="255">
        <v>98.795450000000002</v>
      </c>
      <c r="I86" s="252">
        <v>1179.66399</v>
      </c>
      <c r="J86" s="253">
        <v>-256.69092167772601</v>
      </c>
      <c r="K86" s="256">
        <v>0.75284920788599996</v>
      </c>
    </row>
    <row r="87" spans="1:11" ht="14.4" customHeight="1" thickBot="1" x14ac:dyDescent="0.35">
      <c r="A87" s="272" t="s">
        <v>235</v>
      </c>
      <c r="B87" s="252">
        <v>2097.06906183828</v>
      </c>
      <c r="C87" s="252">
        <v>1309.34029790775</v>
      </c>
      <c r="D87" s="253">
        <v>-787.728763930534</v>
      </c>
      <c r="E87" s="254">
        <v>0.62436679923100002</v>
      </c>
      <c r="F87" s="252">
        <v>1566.9326309211599</v>
      </c>
      <c r="G87" s="253">
        <v>1436.3549116777299</v>
      </c>
      <c r="H87" s="255">
        <v>98.795450000000002</v>
      </c>
      <c r="I87" s="252">
        <v>1179.66399</v>
      </c>
      <c r="J87" s="253">
        <v>-256.69092167772601</v>
      </c>
      <c r="K87" s="256">
        <v>0.75284920788599996</v>
      </c>
    </row>
    <row r="88" spans="1:11" ht="14.4" customHeight="1" thickBot="1" x14ac:dyDescent="0.35">
      <c r="A88" s="273" t="s">
        <v>236</v>
      </c>
      <c r="B88" s="257">
        <v>6.8940004005E-2</v>
      </c>
      <c r="C88" s="257">
        <v>2.867019737463</v>
      </c>
      <c r="D88" s="258">
        <v>2.7980797334580001</v>
      </c>
      <c r="E88" s="264">
        <v>41.587171031212002</v>
      </c>
      <c r="F88" s="257">
        <v>2.9326362060240001</v>
      </c>
      <c r="G88" s="258">
        <v>2.6882498555219998</v>
      </c>
      <c r="H88" s="260">
        <v>4.9406564584124654E-324</v>
      </c>
      <c r="I88" s="257">
        <v>8.2640000000000005E-2</v>
      </c>
      <c r="J88" s="258">
        <v>-2.6056098555220002</v>
      </c>
      <c r="K88" s="265">
        <v>2.8179424311000002E-2</v>
      </c>
    </row>
    <row r="89" spans="1:11" ht="14.4" customHeight="1" thickBot="1" x14ac:dyDescent="0.35">
      <c r="A89" s="274" t="s">
        <v>237</v>
      </c>
      <c r="B89" s="252">
        <v>4.9406564584124654E-324</v>
      </c>
      <c r="C89" s="252">
        <v>2.867019737463</v>
      </c>
      <c r="D89" s="253">
        <v>2.867019737463</v>
      </c>
      <c r="E89" s="262" t="s">
        <v>162</v>
      </c>
      <c r="F89" s="252">
        <v>2.9326362060240001</v>
      </c>
      <c r="G89" s="253">
        <v>2.6882498555219998</v>
      </c>
      <c r="H89" s="255">
        <v>4.9406564584124654E-324</v>
      </c>
      <c r="I89" s="252">
        <v>8.2640000000000005E-2</v>
      </c>
      <c r="J89" s="253">
        <v>-2.6056098555220002</v>
      </c>
      <c r="K89" s="256">
        <v>2.8179424311000002E-2</v>
      </c>
    </row>
    <row r="90" spans="1:11" ht="14.4" customHeight="1" thickBot="1" x14ac:dyDescent="0.35">
      <c r="A90" s="273" t="s">
        <v>238</v>
      </c>
      <c r="B90" s="257">
        <v>5.0000402904980001</v>
      </c>
      <c r="C90" s="257">
        <v>0.89057993662299995</v>
      </c>
      <c r="D90" s="258">
        <v>-4.1094603538749999</v>
      </c>
      <c r="E90" s="264">
        <v>0.17811455205900001</v>
      </c>
      <c r="F90" s="257">
        <v>0</v>
      </c>
      <c r="G90" s="258">
        <v>0</v>
      </c>
      <c r="H90" s="260">
        <v>4.9406564584124654E-324</v>
      </c>
      <c r="I90" s="257">
        <v>5.434722104253712E-323</v>
      </c>
      <c r="J90" s="258">
        <v>5.434722104253712E-323</v>
      </c>
      <c r="K90" s="261" t="s">
        <v>156</v>
      </c>
    </row>
    <row r="91" spans="1:11" ht="14.4" customHeight="1" thickBot="1" x14ac:dyDescent="0.35">
      <c r="A91" s="274" t="s">
        <v>239</v>
      </c>
      <c r="B91" s="252">
        <v>4.9406564584124654E-324</v>
      </c>
      <c r="C91" s="252">
        <v>0.89057993662299995</v>
      </c>
      <c r="D91" s="253">
        <v>0.89057993662299995</v>
      </c>
      <c r="E91" s="262" t="s">
        <v>162</v>
      </c>
      <c r="F91" s="252">
        <v>0</v>
      </c>
      <c r="G91" s="253">
        <v>0</v>
      </c>
      <c r="H91" s="255">
        <v>4.9406564584124654E-324</v>
      </c>
      <c r="I91" s="252">
        <v>5.434722104253712E-323</v>
      </c>
      <c r="J91" s="253">
        <v>5.434722104253712E-323</v>
      </c>
      <c r="K91" s="263" t="s">
        <v>156</v>
      </c>
    </row>
    <row r="92" spans="1:11" ht="14.4" customHeight="1" thickBot="1" x14ac:dyDescent="0.35">
      <c r="A92" s="273" t="s">
        <v>240</v>
      </c>
      <c r="B92" s="257">
        <v>4.9406564584124654E-324</v>
      </c>
      <c r="C92" s="257">
        <v>0.308699971731</v>
      </c>
      <c r="D92" s="258">
        <v>0.308699971731</v>
      </c>
      <c r="E92" s="259" t="s">
        <v>162</v>
      </c>
      <c r="F92" s="257">
        <v>0</v>
      </c>
      <c r="G92" s="258">
        <v>0</v>
      </c>
      <c r="H92" s="260">
        <v>4.9406564584124654E-324</v>
      </c>
      <c r="I92" s="257">
        <v>5.434722104253712E-323</v>
      </c>
      <c r="J92" s="258">
        <v>5.434722104253712E-323</v>
      </c>
      <c r="K92" s="261" t="s">
        <v>156</v>
      </c>
    </row>
    <row r="93" spans="1:11" ht="14.4" customHeight="1" thickBot="1" x14ac:dyDescent="0.35">
      <c r="A93" s="274" t="s">
        <v>241</v>
      </c>
      <c r="B93" s="252">
        <v>4.9406564584124654E-324</v>
      </c>
      <c r="C93" s="252">
        <v>0.308699971731</v>
      </c>
      <c r="D93" s="253">
        <v>0.308699971731</v>
      </c>
      <c r="E93" s="262" t="s">
        <v>162</v>
      </c>
      <c r="F93" s="252">
        <v>0</v>
      </c>
      <c r="G93" s="253">
        <v>0</v>
      </c>
      <c r="H93" s="255">
        <v>4.9406564584124654E-324</v>
      </c>
      <c r="I93" s="252">
        <v>5.434722104253712E-323</v>
      </c>
      <c r="J93" s="253">
        <v>5.434722104253712E-323</v>
      </c>
      <c r="K93" s="263" t="s">
        <v>156</v>
      </c>
    </row>
    <row r="94" spans="1:11" ht="14.4" customHeight="1" thickBot="1" x14ac:dyDescent="0.35">
      <c r="A94" s="273" t="s">
        <v>242</v>
      </c>
      <c r="B94" s="257">
        <v>4.9406564584124654E-324</v>
      </c>
      <c r="C94" s="257">
        <v>4.9406564584124654E-324</v>
      </c>
      <c r="D94" s="258">
        <v>0</v>
      </c>
      <c r="E94" s="264">
        <v>1</v>
      </c>
      <c r="F94" s="257">
        <v>4.9406564584124654E-324</v>
      </c>
      <c r="G94" s="258">
        <v>0</v>
      </c>
      <c r="H94" s="260">
        <v>4.9406564584124654E-324</v>
      </c>
      <c r="I94" s="257">
        <v>-2.6960000000000001E-2</v>
      </c>
      <c r="J94" s="258">
        <v>-2.6960000000000001E-2</v>
      </c>
      <c r="K94" s="261" t="s">
        <v>162</v>
      </c>
    </row>
    <row r="95" spans="1:11" ht="14.4" customHeight="1" thickBot="1" x14ac:dyDescent="0.35">
      <c r="A95" s="274" t="s">
        <v>243</v>
      </c>
      <c r="B95" s="252">
        <v>4.9406564584124654E-324</v>
      </c>
      <c r="C95" s="252">
        <v>4.9406564584124654E-324</v>
      </c>
      <c r="D95" s="253">
        <v>0</v>
      </c>
      <c r="E95" s="254">
        <v>1</v>
      </c>
      <c r="F95" s="252">
        <v>4.9406564584124654E-324</v>
      </c>
      <c r="G95" s="253">
        <v>0</v>
      </c>
      <c r="H95" s="255">
        <v>4.9406564584124654E-324</v>
      </c>
      <c r="I95" s="252">
        <v>-2.6960000000000001E-2</v>
      </c>
      <c r="J95" s="253">
        <v>-2.6960000000000001E-2</v>
      </c>
      <c r="K95" s="263" t="s">
        <v>162</v>
      </c>
    </row>
    <row r="96" spans="1:11" ht="14.4" customHeight="1" thickBot="1" x14ac:dyDescent="0.35">
      <c r="A96" s="273" t="s">
        <v>244</v>
      </c>
      <c r="B96" s="257">
        <v>2092.0000815437702</v>
      </c>
      <c r="C96" s="257">
        <v>1288.9583813977599</v>
      </c>
      <c r="D96" s="258">
        <v>-803.04170014601596</v>
      </c>
      <c r="E96" s="264">
        <v>0.61613686957699998</v>
      </c>
      <c r="F96" s="257">
        <v>1563.99999471513</v>
      </c>
      <c r="G96" s="258">
        <v>1433.6666618222</v>
      </c>
      <c r="H96" s="260">
        <v>88.18723</v>
      </c>
      <c r="I96" s="257">
        <v>1121.32509</v>
      </c>
      <c r="J96" s="258">
        <v>-312.34157182220298</v>
      </c>
      <c r="K96" s="265">
        <v>0.716959778637</v>
      </c>
    </row>
    <row r="97" spans="1:11" ht="14.4" customHeight="1" thickBot="1" x14ac:dyDescent="0.35">
      <c r="A97" s="274" t="s">
        <v>245</v>
      </c>
      <c r="B97" s="252">
        <v>1044.00006065569</v>
      </c>
      <c r="C97" s="252">
        <v>416.09496852565701</v>
      </c>
      <c r="D97" s="253">
        <v>-627.90509213003304</v>
      </c>
      <c r="E97" s="254">
        <v>0.398558375814</v>
      </c>
      <c r="F97" s="252">
        <v>626.99999810974998</v>
      </c>
      <c r="G97" s="253">
        <v>574.74999826727105</v>
      </c>
      <c r="H97" s="255">
        <v>25.581219999999998</v>
      </c>
      <c r="I97" s="252">
        <v>357.50848000000002</v>
      </c>
      <c r="J97" s="253">
        <v>-217.241518267271</v>
      </c>
      <c r="K97" s="256">
        <v>0.57018896503600003</v>
      </c>
    </row>
    <row r="98" spans="1:11" ht="14.4" customHeight="1" thickBot="1" x14ac:dyDescent="0.35">
      <c r="A98" s="274" t="s">
        <v>246</v>
      </c>
      <c r="B98" s="252">
        <v>1048.0000208880799</v>
      </c>
      <c r="C98" s="252">
        <v>872.863412872102</v>
      </c>
      <c r="D98" s="253">
        <v>-175.136608015983</v>
      </c>
      <c r="E98" s="254">
        <v>0.83288491934599995</v>
      </c>
      <c r="F98" s="252">
        <v>936.99999660538106</v>
      </c>
      <c r="G98" s="253">
        <v>858.91666355493305</v>
      </c>
      <c r="H98" s="255">
        <v>62.606009999999998</v>
      </c>
      <c r="I98" s="252">
        <v>763.81660999999997</v>
      </c>
      <c r="J98" s="253">
        <v>-95.100053554932003</v>
      </c>
      <c r="K98" s="256">
        <v>0.81517247894</v>
      </c>
    </row>
    <row r="99" spans="1:11" ht="14.4" customHeight="1" thickBot="1" x14ac:dyDescent="0.35">
      <c r="A99" s="273" t="s">
        <v>247</v>
      </c>
      <c r="B99" s="257">
        <v>4.9406564584124654E-324</v>
      </c>
      <c r="C99" s="257">
        <v>16.315616864167001</v>
      </c>
      <c r="D99" s="258">
        <v>16.315616864167001</v>
      </c>
      <c r="E99" s="259" t="s">
        <v>162</v>
      </c>
      <c r="F99" s="257">
        <v>0</v>
      </c>
      <c r="G99" s="258">
        <v>0</v>
      </c>
      <c r="H99" s="260">
        <v>10.608219999999999</v>
      </c>
      <c r="I99" s="257">
        <v>58.28322</v>
      </c>
      <c r="J99" s="258">
        <v>58.28322</v>
      </c>
      <c r="K99" s="261" t="s">
        <v>156</v>
      </c>
    </row>
    <row r="100" spans="1:11" ht="14.4" customHeight="1" thickBot="1" x14ac:dyDescent="0.35">
      <c r="A100" s="274" t="s">
        <v>248</v>
      </c>
      <c r="B100" s="252">
        <v>4.9406564584124654E-324</v>
      </c>
      <c r="C100" s="252">
        <v>4.9406564584124654E-324</v>
      </c>
      <c r="D100" s="253">
        <v>0</v>
      </c>
      <c r="E100" s="254">
        <v>1</v>
      </c>
      <c r="F100" s="252">
        <v>4.9406564584124654E-324</v>
      </c>
      <c r="G100" s="253">
        <v>0</v>
      </c>
      <c r="H100" s="255">
        <v>7.9944899999999999</v>
      </c>
      <c r="I100" s="252">
        <v>27.804480000000002</v>
      </c>
      <c r="J100" s="253">
        <v>27.804480000000002</v>
      </c>
      <c r="K100" s="263" t="s">
        <v>162</v>
      </c>
    </row>
    <row r="101" spans="1:11" ht="14.4" customHeight="1" thickBot="1" x14ac:dyDescent="0.35">
      <c r="A101" s="274" t="s">
        <v>249</v>
      </c>
      <c r="B101" s="252">
        <v>4.9406564584124654E-324</v>
      </c>
      <c r="C101" s="252">
        <v>16.315616864167001</v>
      </c>
      <c r="D101" s="253">
        <v>16.315616864167001</v>
      </c>
      <c r="E101" s="262" t="s">
        <v>162</v>
      </c>
      <c r="F101" s="252">
        <v>0</v>
      </c>
      <c r="G101" s="253">
        <v>0</v>
      </c>
      <c r="H101" s="255">
        <v>2.6137299999999999</v>
      </c>
      <c r="I101" s="252">
        <v>30.478739999999998</v>
      </c>
      <c r="J101" s="253">
        <v>30.478739999999998</v>
      </c>
      <c r="K101" s="263" t="s">
        <v>156</v>
      </c>
    </row>
    <row r="102" spans="1:11" ht="14.4" customHeight="1" thickBot="1" x14ac:dyDescent="0.35">
      <c r="A102" s="271" t="s">
        <v>250</v>
      </c>
      <c r="B102" s="252">
        <v>3.0000001742969999</v>
      </c>
      <c r="C102" s="252">
        <v>21.859787998274001</v>
      </c>
      <c r="D102" s="253">
        <v>18.859787823975999</v>
      </c>
      <c r="E102" s="254">
        <v>7.2865955760779997</v>
      </c>
      <c r="F102" s="252">
        <v>7.0179295403030002</v>
      </c>
      <c r="G102" s="253">
        <v>6.4331020786110003</v>
      </c>
      <c r="H102" s="255">
        <v>1.6067400000000001</v>
      </c>
      <c r="I102" s="252">
        <v>20.779140000000002</v>
      </c>
      <c r="J102" s="253">
        <v>14.346037921388</v>
      </c>
      <c r="K102" s="256">
        <v>2.9608647223750002</v>
      </c>
    </row>
    <row r="103" spans="1:11" ht="14.4" customHeight="1" thickBot="1" x14ac:dyDescent="0.35">
      <c r="A103" s="272" t="s">
        <v>251</v>
      </c>
      <c r="B103" s="252">
        <v>3.0000001742969999</v>
      </c>
      <c r="C103" s="252">
        <v>21.859787998274001</v>
      </c>
      <c r="D103" s="253">
        <v>18.859787823975999</v>
      </c>
      <c r="E103" s="254">
        <v>7.2865955760779997</v>
      </c>
      <c r="F103" s="252">
        <v>7.0179295403030002</v>
      </c>
      <c r="G103" s="253">
        <v>6.4331020786110003</v>
      </c>
      <c r="H103" s="255">
        <v>0.16045999999999999</v>
      </c>
      <c r="I103" s="252">
        <v>13.25849</v>
      </c>
      <c r="J103" s="253">
        <v>6.8253879213879998</v>
      </c>
      <c r="K103" s="256">
        <v>1.8892309938209999</v>
      </c>
    </row>
    <row r="104" spans="1:11" ht="14.4" customHeight="1" thickBot="1" x14ac:dyDescent="0.35">
      <c r="A104" s="273" t="s">
        <v>252</v>
      </c>
      <c r="B104" s="257">
        <v>3.0000001742969999</v>
      </c>
      <c r="C104" s="257">
        <v>21.859787998274001</v>
      </c>
      <c r="D104" s="258">
        <v>18.859787823975999</v>
      </c>
      <c r="E104" s="264">
        <v>7.2865955760779997</v>
      </c>
      <c r="F104" s="257">
        <v>7.0179295403030002</v>
      </c>
      <c r="G104" s="258">
        <v>6.4331020786110003</v>
      </c>
      <c r="H104" s="260">
        <v>0.16045999999999999</v>
      </c>
      <c r="I104" s="257">
        <v>13.25849</v>
      </c>
      <c r="J104" s="258">
        <v>6.8253879213879998</v>
      </c>
      <c r="K104" s="265">
        <v>1.8892309938209999</v>
      </c>
    </row>
    <row r="105" spans="1:11" ht="14.4" customHeight="1" thickBot="1" x14ac:dyDescent="0.35">
      <c r="A105" s="274" t="s">
        <v>253</v>
      </c>
      <c r="B105" s="252">
        <v>4.9406564584124654E-324</v>
      </c>
      <c r="C105" s="252">
        <v>12.382618866109</v>
      </c>
      <c r="D105" s="253">
        <v>12.382618866109</v>
      </c>
      <c r="E105" s="262" t="s">
        <v>162</v>
      </c>
      <c r="F105" s="252">
        <v>0</v>
      </c>
      <c r="G105" s="253">
        <v>0</v>
      </c>
      <c r="H105" s="255">
        <v>4.9406564584124654E-324</v>
      </c>
      <c r="I105" s="252">
        <v>5.434722104253712E-323</v>
      </c>
      <c r="J105" s="253">
        <v>5.434722104253712E-323</v>
      </c>
      <c r="K105" s="263" t="s">
        <v>156</v>
      </c>
    </row>
    <row r="106" spans="1:11" ht="14.4" customHeight="1" thickBot="1" x14ac:dyDescent="0.35">
      <c r="A106" s="274" t="s">
        <v>254</v>
      </c>
      <c r="B106" s="252">
        <v>4.9406564584124654E-324</v>
      </c>
      <c r="C106" s="252">
        <v>9.4771691321640006</v>
      </c>
      <c r="D106" s="253">
        <v>9.4771691321640006</v>
      </c>
      <c r="E106" s="262" t="s">
        <v>162</v>
      </c>
      <c r="F106" s="252">
        <v>0</v>
      </c>
      <c r="G106" s="253">
        <v>0</v>
      </c>
      <c r="H106" s="255">
        <v>4.9406564584124654E-324</v>
      </c>
      <c r="I106" s="252">
        <v>11.42135</v>
      </c>
      <c r="J106" s="253">
        <v>11.42135</v>
      </c>
      <c r="K106" s="263" t="s">
        <v>156</v>
      </c>
    </row>
    <row r="107" spans="1:11" ht="14.4" customHeight="1" thickBot="1" x14ac:dyDescent="0.35">
      <c r="A107" s="274" t="s">
        <v>255</v>
      </c>
      <c r="B107" s="252">
        <v>4.9406564584124654E-324</v>
      </c>
      <c r="C107" s="252">
        <v>4.9406564584124654E-324</v>
      </c>
      <c r="D107" s="253">
        <v>0</v>
      </c>
      <c r="E107" s="254">
        <v>1</v>
      </c>
      <c r="F107" s="252">
        <v>4.9406564584124654E-324</v>
      </c>
      <c r="G107" s="253">
        <v>0</v>
      </c>
      <c r="H107" s="255">
        <v>0.16045999999999999</v>
      </c>
      <c r="I107" s="252">
        <v>1.83714</v>
      </c>
      <c r="J107" s="253">
        <v>1.83714</v>
      </c>
      <c r="K107" s="263" t="s">
        <v>162</v>
      </c>
    </row>
    <row r="108" spans="1:11" ht="14.4" customHeight="1" thickBot="1" x14ac:dyDescent="0.35">
      <c r="A108" s="276" t="s">
        <v>256</v>
      </c>
      <c r="B108" s="257">
        <v>4.9406564584124654E-324</v>
      </c>
      <c r="C108" s="257">
        <v>4.9406564584124654E-324</v>
      </c>
      <c r="D108" s="258">
        <v>0</v>
      </c>
      <c r="E108" s="264">
        <v>1</v>
      </c>
      <c r="F108" s="257">
        <v>4.9406564584124654E-324</v>
      </c>
      <c r="G108" s="258">
        <v>0</v>
      </c>
      <c r="H108" s="260">
        <v>1.44628</v>
      </c>
      <c r="I108" s="257">
        <v>7.5206499999999998</v>
      </c>
      <c r="J108" s="258">
        <v>7.5206499999999998</v>
      </c>
      <c r="K108" s="261" t="s">
        <v>162</v>
      </c>
    </row>
    <row r="109" spans="1:11" ht="14.4" customHeight="1" thickBot="1" x14ac:dyDescent="0.35">
      <c r="A109" s="273" t="s">
        <v>257</v>
      </c>
      <c r="B109" s="257">
        <v>4.9406564584124654E-324</v>
      </c>
      <c r="C109" s="257">
        <v>4.9406564584124654E-324</v>
      </c>
      <c r="D109" s="258">
        <v>0</v>
      </c>
      <c r="E109" s="264">
        <v>1</v>
      </c>
      <c r="F109" s="257">
        <v>4.9406564584124654E-324</v>
      </c>
      <c r="G109" s="258">
        <v>0</v>
      </c>
      <c r="H109" s="260">
        <v>-2.0000000000000002E-5</v>
      </c>
      <c r="I109" s="257">
        <v>-1.1E-4</v>
      </c>
      <c r="J109" s="258">
        <v>-1.1E-4</v>
      </c>
      <c r="K109" s="261" t="s">
        <v>162</v>
      </c>
    </row>
    <row r="110" spans="1:11" ht="14.4" customHeight="1" thickBot="1" x14ac:dyDescent="0.35">
      <c r="A110" s="274" t="s">
        <v>258</v>
      </c>
      <c r="B110" s="252">
        <v>4.9406564584124654E-324</v>
      </c>
      <c r="C110" s="252">
        <v>4.9406564584124654E-324</v>
      </c>
      <c r="D110" s="253">
        <v>0</v>
      </c>
      <c r="E110" s="254">
        <v>1</v>
      </c>
      <c r="F110" s="252">
        <v>4.9406564584124654E-324</v>
      </c>
      <c r="G110" s="253">
        <v>0</v>
      </c>
      <c r="H110" s="255">
        <v>-2.0000000000000002E-5</v>
      </c>
      <c r="I110" s="252">
        <v>-1.1E-4</v>
      </c>
      <c r="J110" s="253">
        <v>-1.1E-4</v>
      </c>
      <c r="K110" s="263" t="s">
        <v>162</v>
      </c>
    </row>
    <row r="111" spans="1:11" ht="14.4" customHeight="1" thickBot="1" x14ac:dyDescent="0.35">
      <c r="A111" s="273" t="s">
        <v>259</v>
      </c>
      <c r="B111" s="257">
        <v>4.9406564584124654E-324</v>
      </c>
      <c r="C111" s="257">
        <v>4.9406564584124654E-324</v>
      </c>
      <c r="D111" s="258">
        <v>0</v>
      </c>
      <c r="E111" s="264">
        <v>1</v>
      </c>
      <c r="F111" s="257">
        <v>4.9406564584124654E-324</v>
      </c>
      <c r="G111" s="258">
        <v>0</v>
      </c>
      <c r="H111" s="260">
        <v>1.4462999999999999</v>
      </c>
      <c r="I111" s="257">
        <v>7.5207600000000001</v>
      </c>
      <c r="J111" s="258">
        <v>7.5207600000000001</v>
      </c>
      <c r="K111" s="261" t="s">
        <v>162</v>
      </c>
    </row>
    <row r="112" spans="1:11" ht="14.4" customHeight="1" thickBot="1" x14ac:dyDescent="0.35">
      <c r="A112" s="274" t="s">
        <v>260</v>
      </c>
      <c r="B112" s="252">
        <v>4.9406564584124654E-324</v>
      </c>
      <c r="C112" s="252">
        <v>4.9406564584124654E-324</v>
      </c>
      <c r="D112" s="253">
        <v>0</v>
      </c>
      <c r="E112" s="254">
        <v>1</v>
      </c>
      <c r="F112" s="252">
        <v>4.9406564584124654E-324</v>
      </c>
      <c r="G112" s="253">
        <v>0</v>
      </c>
      <c r="H112" s="255">
        <v>1.4462999999999999</v>
      </c>
      <c r="I112" s="252">
        <v>7.5207600000000001</v>
      </c>
      <c r="J112" s="253">
        <v>7.5207600000000001</v>
      </c>
      <c r="K112" s="263" t="s">
        <v>162</v>
      </c>
    </row>
    <row r="113" spans="1:11" ht="14.4" customHeight="1" thickBot="1" x14ac:dyDescent="0.35">
      <c r="A113" s="270" t="s">
        <v>261</v>
      </c>
      <c r="B113" s="252">
        <v>410.999835338222</v>
      </c>
      <c r="C113" s="252">
        <v>381.029694580544</v>
      </c>
      <c r="D113" s="253">
        <v>-29.970140757677001</v>
      </c>
      <c r="E113" s="254">
        <v>0.92707992027999997</v>
      </c>
      <c r="F113" s="252">
        <v>438.76540246438901</v>
      </c>
      <c r="G113" s="253">
        <v>402.20161892569001</v>
      </c>
      <c r="H113" s="255">
        <v>26.548729999999999</v>
      </c>
      <c r="I113" s="252">
        <v>314.90971999999999</v>
      </c>
      <c r="J113" s="253">
        <v>-87.291898925688997</v>
      </c>
      <c r="K113" s="256">
        <v>0.71771775584599995</v>
      </c>
    </row>
    <row r="114" spans="1:11" ht="14.4" customHeight="1" thickBot="1" x14ac:dyDescent="0.35">
      <c r="A114" s="275" t="s">
        <v>262</v>
      </c>
      <c r="B114" s="257">
        <v>410.999835338222</v>
      </c>
      <c r="C114" s="257">
        <v>381.029694580544</v>
      </c>
      <c r="D114" s="258">
        <v>-29.970140757677001</v>
      </c>
      <c r="E114" s="264">
        <v>0.92707992027999997</v>
      </c>
      <c r="F114" s="257">
        <v>438.76540246438901</v>
      </c>
      <c r="G114" s="258">
        <v>402.20161892569001</v>
      </c>
      <c r="H114" s="260">
        <v>26.548729999999999</v>
      </c>
      <c r="I114" s="257">
        <v>314.90971999999999</v>
      </c>
      <c r="J114" s="258">
        <v>-87.291898925688997</v>
      </c>
      <c r="K114" s="265">
        <v>0.71771775584599995</v>
      </c>
    </row>
    <row r="115" spans="1:11" ht="14.4" customHeight="1" thickBot="1" x14ac:dyDescent="0.35">
      <c r="A115" s="276" t="s">
        <v>56</v>
      </c>
      <c r="B115" s="257">
        <v>410.999835338222</v>
      </c>
      <c r="C115" s="257">
        <v>381.029694580544</v>
      </c>
      <c r="D115" s="258">
        <v>-29.970140757677001</v>
      </c>
      <c r="E115" s="264">
        <v>0.92707992027999997</v>
      </c>
      <c r="F115" s="257">
        <v>438.76540246438901</v>
      </c>
      <c r="G115" s="258">
        <v>402.20161892569001</v>
      </c>
      <c r="H115" s="260">
        <v>26.548729999999999</v>
      </c>
      <c r="I115" s="257">
        <v>314.90971999999999</v>
      </c>
      <c r="J115" s="258">
        <v>-87.291898925688997</v>
      </c>
      <c r="K115" s="265">
        <v>0.71771775584599995</v>
      </c>
    </row>
    <row r="116" spans="1:11" ht="14.4" customHeight="1" thickBot="1" x14ac:dyDescent="0.35">
      <c r="A116" s="273" t="s">
        <v>263</v>
      </c>
      <c r="B116" s="257">
        <v>5.0000365369340001</v>
      </c>
      <c r="C116" s="257">
        <v>5.4779996324260001</v>
      </c>
      <c r="D116" s="258">
        <v>0.47796309549100002</v>
      </c>
      <c r="E116" s="264">
        <v>1.0955919205710001</v>
      </c>
      <c r="F116" s="257">
        <v>4.9999999999989999</v>
      </c>
      <c r="G116" s="258">
        <v>4.583333333333</v>
      </c>
      <c r="H116" s="260">
        <v>0.45650000000000002</v>
      </c>
      <c r="I116" s="257">
        <v>5.0214999999999996</v>
      </c>
      <c r="J116" s="258">
        <v>0.43816666666600002</v>
      </c>
      <c r="K116" s="265">
        <v>1.0043</v>
      </c>
    </row>
    <row r="117" spans="1:11" ht="14.4" customHeight="1" thickBot="1" x14ac:dyDescent="0.35">
      <c r="A117" s="274" t="s">
        <v>264</v>
      </c>
      <c r="B117" s="252">
        <v>5.0000365369340001</v>
      </c>
      <c r="C117" s="252">
        <v>5.4779996324260001</v>
      </c>
      <c r="D117" s="253">
        <v>0.47796309549100002</v>
      </c>
      <c r="E117" s="254">
        <v>1.0955919205710001</v>
      </c>
      <c r="F117" s="252">
        <v>4.9999999999989999</v>
      </c>
      <c r="G117" s="253">
        <v>4.583333333333</v>
      </c>
      <c r="H117" s="255">
        <v>0.45650000000000002</v>
      </c>
      <c r="I117" s="252">
        <v>5.0214999999999996</v>
      </c>
      <c r="J117" s="253">
        <v>0.43816666666600002</v>
      </c>
      <c r="K117" s="256">
        <v>1.0043</v>
      </c>
    </row>
    <row r="118" spans="1:11" ht="14.4" customHeight="1" thickBot="1" x14ac:dyDescent="0.35">
      <c r="A118" s="273" t="s">
        <v>265</v>
      </c>
      <c r="B118" s="257">
        <v>5.9999958443540002</v>
      </c>
      <c r="C118" s="257">
        <v>1.799999855064</v>
      </c>
      <c r="D118" s="258">
        <v>-4.1999959892899996</v>
      </c>
      <c r="E118" s="264">
        <v>0.30000018362600001</v>
      </c>
      <c r="F118" s="257">
        <v>5.7654024643939996</v>
      </c>
      <c r="G118" s="258">
        <v>5.2849522590279996</v>
      </c>
      <c r="H118" s="260">
        <v>0.2</v>
      </c>
      <c r="I118" s="257">
        <v>1.2</v>
      </c>
      <c r="J118" s="258">
        <v>-4.0849522590280003</v>
      </c>
      <c r="K118" s="265">
        <v>0.20813811479899999</v>
      </c>
    </row>
    <row r="119" spans="1:11" ht="14.4" customHeight="1" thickBot="1" x14ac:dyDescent="0.35">
      <c r="A119" s="274" t="s">
        <v>266</v>
      </c>
      <c r="B119" s="252">
        <v>5.9999958443540002</v>
      </c>
      <c r="C119" s="252">
        <v>1.799999855064</v>
      </c>
      <c r="D119" s="253">
        <v>-4.1999959892899996</v>
      </c>
      <c r="E119" s="254">
        <v>0.30000018362600001</v>
      </c>
      <c r="F119" s="252">
        <v>5.7654024643939996</v>
      </c>
      <c r="G119" s="253">
        <v>5.2849522590279996</v>
      </c>
      <c r="H119" s="255">
        <v>0.2</v>
      </c>
      <c r="I119" s="252">
        <v>1.2</v>
      </c>
      <c r="J119" s="253">
        <v>-4.0849522590280003</v>
      </c>
      <c r="K119" s="256">
        <v>0.20813811479899999</v>
      </c>
    </row>
    <row r="120" spans="1:11" ht="14.4" customHeight="1" thickBot="1" x14ac:dyDescent="0.35">
      <c r="A120" s="273" t="s">
        <v>267</v>
      </c>
      <c r="B120" s="257">
        <v>121.99995550185299</v>
      </c>
      <c r="C120" s="257">
        <v>109.22819279611301</v>
      </c>
      <c r="D120" s="258">
        <v>-12.77176270574</v>
      </c>
      <c r="E120" s="264">
        <v>0.89531338226099999</v>
      </c>
      <c r="F120" s="257">
        <v>108.99999999999901</v>
      </c>
      <c r="G120" s="258">
        <v>99.916666666664995</v>
      </c>
      <c r="H120" s="260">
        <v>6.3762400000000001</v>
      </c>
      <c r="I120" s="257">
        <v>88.276539999999997</v>
      </c>
      <c r="J120" s="258">
        <v>-11.640126666664999</v>
      </c>
      <c r="K120" s="265">
        <v>0.80987651376100001</v>
      </c>
    </row>
    <row r="121" spans="1:11" ht="14.4" customHeight="1" thickBot="1" x14ac:dyDescent="0.35">
      <c r="A121" s="274" t="s">
        <v>268</v>
      </c>
      <c r="B121" s="252">
        <v>121.99995550185299</v>
      </c>
      <c r="C121" s="252">
        <v>109.22819279611301</v>
      </c>
      <c r="D121" s="253">
        <v>-12.77176270574</v>
      </c>
      <c r="E121" s="254">
        <v>0.89531338226099999</v>
      </c>
      <c r="F121" s="252">
        <v>108.99999999999901</v>
      </c>
      <c r="G121" s="253">
        <v>99.916666666664995</v>
      </c>
      <c r="H121" s="255">
        <v>6.3762400000000001</v>
      </c>
      <c r="I121" s="252">
        <v>88.276539999999997</v>
      </c>
      <c r="J121" s="253">
        <v>-11.640126666664999</v>
      </c>
      <c r="K121" s="256">
        <v>0.80987651376100001</v>
      </c>
    </row>
    <row r="122" spans="1:11" ht="14.4" customHeight="1" thickBot="1" x14ac:dyDescent="0.35">
      <c r="A122" s="273" t="s">
        <v>269</v>
      </c>
      <c r="B122" s="257">
        <v>277.99984745507902</v>
      </c>
      <c r="C122" s="257">
        <v>264.52350229694002</v>
      </c>
      <c r="D122" s="258">
        <v>-13.476345158138001</v>
      </c>
      <c r="E122" s="264">
        <v>0.95152391167999995</v>
      </c>
      <c r="F122" s="257">
        <v>318.99999999999602</v>
      </c>
      <c r="G122" s="258">
        <v>292.41666666666299</v>
      </c>
      <c r="H122" s="260">
        <v>19.515989999999999</v>
      </c>
      <c r="I122" s="257">
        <v>220.41167999999999</v>
      </c>
      <c r="J122" s="258">
        <v>-72.004986666662006</v>
      </c>
      <c r="K122" s="265">
        <v>0.69094570532900002</v>
      </c>
    </row>
    <row r="123" spans="1:11" ht="14.4" customHeight="1" thickBot="1" x14ac:dyDescent="0.35">
      <c r="A123" s="274" t="s">
        <v>270</v>
      </c>
      <c r="B123" s="252">
        <v>277.99984745507902</v>
      </c>
      <c r="C123" s="252">
        <v>264.52350229694002</v>
      </c>
      <c r="D123" s="253">
        <v>-13.476345158138001</v>
      </c>
      <c r="E123" s="254">
        <v>0.95152391167999995</v>
      </c>
      <c r="F123" s="252">
        <v>318.99999999999602</v>
      </c>
      <c r="G123" s="253">
        <v>292.41666666666299</v>
      </c>
      <c r="H123" s="255">
        <v>19.515989999999999</v>
      </c>
      <c r="I123" s="252">
        <v>220.41167999999999</v>
      </c>
      <c r="J123" s="253">
        <v>-72.004986666662006</v>
      </c>
      <c r="K123" s="256">
        <v>0.69094570532900002</v>
      </c>
    </row>
    <row r="124" spans="1:11" ht="14.4" customHeight="1" thickBot="1" x14ac:dyDescent="0.35">
      <c r="A124" s="278"/>
      <c r="B124" s="252">
        <v>-1024.50594993813</v>
      </c>
      <c r="C124" s="252">
        <v>4.9406564584124654E-324</v>
      </c>
      <c r="D124" s="253">
        <v>1024.50594993813</v>
      </c>
      <c r="E124" s="254">
        <v>0</v>
      </c>
      <c r="F124" s="252">
        <v>-1435.1522311859701</v>
      </c>
      <c r="G124" s="253">
        <v>-1315.5562119204801</v>
      </c>
      <c r="H124" s="255">
        <v>-209.05529000000001</v>
      </c>
      <c r="I124" s="252">
        <v>-1693.6189099999999</v>
      </c>
      <c r="J124" s="253">
        <v>-378.06269807952498</v>
      </c>
      <c r="K124" s="256">
        <v>1.180097046987</v>
      </c>
    </row>
    <row r="125" spans="1:11" ht="14.4" customHeight="1" thickBot="1" x14ac:dyDescent="0.35">
      <c r="A125" s="279" t="s">
        <v>75</v>
      </c>
      <c r="B125" s="266">
        <v>-1024.50594993813</v>
      </c>
      <c r="C125" s="266">
        <v>-1663.6570886745201</v>
      </c>
      <c r="D125" s="267">
        <v>-639.15113873638995</v>
      </c>
      <c r="E125" s="268">
        <v>-1.256437189815</v>
      </c>
      <c r="F125" s="266">
        <v>-1435.1522311859701</v>
      </c>
      <c r="G125" s="267">
        <v>-1315.5562119204801</v>
      </c>
      <c r="H125" s="266">
        <v>-209.05529000000001</v>
      </c>
      <c r="I125" s="266">
        <v>-1693.6189099999999</v>
      </c>
      <c r="J125" s="267">
        <v>-378.06269807952498</v>
      </c>
      <c r="K125" s="269">
        <v>1.180097046987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8" t="s">
        <v>140</v>
      </c>
      <c r="B1" s="229"/>
      <c r="C1" s="229"/>
      <c r="D1" s="229"/>
      <c r="E1" s="229"/>
      <c r="F1" s="229"/>
      <c r="G1" s="202"/>
    </row>
    <row r="2" spans="1:8" ht="14.4" customHeight="1" thickBot="1" x14ac:dyDescent="0.35">
      <c r="A2" s="251" t="s">
        <v>155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145</v>
      </c>
    </row>
    <row r="4" spans="1:8" ht="14.4" customHeight="1" x14ac:dyDescent="0.3">
      <c r="A4" s="280" t="s">
        <v>271</v>
      </c>
      <c r="B4" s="281" t="s">
        <v>272</v>
      </c>
      <c r="C4" s="282" t="s">
        <v>273</v>
      </c>
      <c r="D4" s="282" t="s">
        <v>272</v>
      </c>
      <c r="E4" s="282" t="s">
        <v>272</v>
      </c>
      <c r="F4" s="283" t="s">
        <v>272</v>
      </c>
      <c r="G4" s="282" t="s">
        <v>272</v>
      </c>
      <c r="H4" s="282" t="s">
        <v>76</v>
      </c>
    </row>
    <row r="5" spans="1:8" ht="14.4" customHeight="1" x14ac:dyDescent="0.3">
      <c r="A5" s="280" t="s">
        <v>271</v>
      </c>
      <c r="B5" s="281" t="s">
        <v>274</v>
      </c>
      <c r="C5" s="282" t="s">
        <v>275</v>
      </c>
      <c r="D5" s="282">
        <v>0</v>
      </c>
      <c r="E5" s="282">
        <v>479.11999999999995</v>
      </c>
      <c r="F5" s="283" t="s">
        <v>272</v>
      </c>
      <c r="G5" s="282">
        <v>479.11999999999995</v>
      </c>
      <c r="H5" s="282" t="s">
        <v>2</v>
      </c>
    </row>
    <row r="6" spans="1:8" ht="14.4" customHeight="1" x14ac:dyDescent="0.3">
      <c r="A6" s="280" t="s">
        <v>271</v>
      </c>
      <c r="B6" s="281" t="s">
        <v>6</v>
      </c>
      <c r="C6" s="282" t="s">
        <v>273</v>
      </c>
      <c r="D6" s="282">
        <v>0</v>
      </c>
      <c r="E6" s="282">
        <v>479.11999999999995</v>
      </c>
      <c r="F6" s="283" t="s">
        <v>272</v>
      </c>
      <c r="G6" s="282">
        <v>479.11999999999995</v>
      </c>
      <c r="H6" s="282" t="s">
        <v>276</v>
      </c>
    </row>
    <row r="8" spans="1:8" ht="14.4" customHeight="1" x14ac:dyDescent="0.3">
      <c r="A8" s="280" t="s">
        <v>271</v>
      </c>
      <c r="B8" s="281" t="s">
        <v>272</v>
      </c>
      <c r="C8" s="282" t="s">
        <v>273</v>
      </c>
      <c r="D8" s="282" t="s">
        <v>272</v>
      </c>
      <c r="E8" s="282" t="s">
        <v>272</v>
      </c>
      <c r="F8" s="283" t="s">
        <v>272</v>
      </c>
      <c r="G8" s="282" t="s">
        <v>272</v>
      </c>
      <c r="H8" s="282" t="s">
        <v>76</v>
      </c>
    </row>
    <row r="9" spans="1:8" ht="14.4" customHeight="1" x14ac:dyDescent="0.3">
      <c r="A9" s="280" t="s">
        <v>277</v>
      </c>
      <c r="B9" s="281" t="s">
        <v>274</v>
      </c>
      <c r="C9" s="282" t="s">
        <v>275</v>
      </c>
      <c r="D9" s="282">
        <v>0</v>
      </c>
      <c r="E9" s="282">
        <v>479.11999999999995</v>
      </c>
      <c r="F9" s="283" t="s">
        <v>272</v>
      </c>
      <c r="G9" s="282">
        <v>479.11999999999995</v>
      </c>
      <c r="H9" s="282" t="s">
        <v>2</v>
      </c>
    </row>
    <row r="10" spans="1:8" ht="14.4" customHeight="1" x14ac:dyDescent="0.3">
      <c r="A10" s="280" t="s">
        <v>277</v>
      </c>
      <c r="B10" s="281" t="s">
        <v>6</v>
      </c>
      <c r="C10" s="282" t="s">
        <v>278</v>
      </c>
      <c r="D10" s="282">
        <v>0</v>
      </c>
      <c r="E10" s="282">
        <v>479.11999999999995</v>
      </c>
      <c r="F10" s="283" t="s">
        <v>272</v>
      </c>
      <c r="G10" s="282">
        <v>479.11999999999995</v>
      </c>
      <c r="H10" s="282" t="s">
        <v>279</v>
      </c>
    </row>
    <row r="11" spans="1:8" ht="14.4" customHeight="1" x14ac:dyDescent="0.3">
      <c r="A11" s="280" t="s">
        <v>272</v>
      </c>
      <c r="B11" s="281" t="s">
        <v>272</v>
      </c>
      <c r="C11" s="282" t="s">
        <v>272</v>
      </c>
      <c r="D11" s="282" t="s">
        <v>272</v>
      </c>
      <c r="E11" s="282" t="s">
        <v>272</v>
      </c>
      <c r="F11" s="283" t="s">
        <v>272</v>
      </c>
      <c r="G11" s="282" t="s">
        <v>272</v>
      </c>
      <c r="H11" s="282" t="s">
        <v>280</v>
      </c>
    </row>
    <row r="12" spans="1:8" ht="14.4" customHeight="1" x14ac:dyDescent="0.3">
      <c r="A12" s="280" t="s">
        <v>271</v>
      </c>
      <c r="B12" s="281" t="s">
        <v>6</v>
      </c>
      <c r="C12" s="282" t="s">
        <v>273</v>
      </c>
      <c r="D12" s="282">
        <v>0</v>
      </c>
      <c r="E12" s="282">
        <v>479.11999999999995</v>
      </c>
      <c r="F12" s="283" t="s">
        <v>272</v>
      </c>
      <c r="G12" s="282">
        <v>479.11999999999995</v>
      </c>
      <c r="H12" s="282" t="s">
        <v>276</v>
      </c>
    </row>
  </sheetData>
  <autoFilter ref="A3:G3"/>
  <mergeCells count="1">
    <mergeCell ref="A1:G1"/>
  </mergeCells>
  <conditionalFormatting sqref="F7 F13:F65536">
    <cfRule type="cellIs" dxfId="38" priority="19" stopIfTrue="1" operator="greaterThan">
      <formula>1</formula>
    </cfRule>
  </conditionalFormatting>
  <conditionalFormatting sqref="F4:F6">
    <cfRule type="cellIs" dxfId="37" priority="14" operator="greaterThan">
      <formula>1</formula>
    </cfRule>
  </conditionalFormatting>
  <conditionalFormatting sqref="B4:B6">
    <cfRule type="expression" dxfId="36" priority="18">
      <formula>AND(LEFT(H4,6)&lt;&gt;"mezera",H4&lt;&gt;"")</formula>
    </cfRule>
  </conditionalFormatting>
  <conditionalFormatting sqref="A4:A6">
    <cfRule type="expression" dxfId="35" priority="15">
      <formula>AND(H4&lt;&gt;"",H4&lt;&gt;"mezeraKL")</formula>
    </cfRule>
  </conditionalFormatting>
  <conditionalFormatting sqref="B4:G6">
    <cfRule type="expression" dxfId="34" priority="16">
      <formula>$H4="SumaNS"</formula>
    </cfRule>
    <cfRule type="expression" dxfId="33" priority="17">
      <formula>OR($H4="KL",$H4="SumaKL")</formula>
    </cfRule>
  </conditionalFormatting>
  <conditionalFormatting sqref="A4:G6">
    <cfRule type="expression" dxfId="32" priority="13">
      <formula>$H4&lt;&gt;""</formula>
    </cfRule>
  </conditionalFormatting>
  <conditionalFormatting sqref="G4:G6">
    <cfRule type="cellIs" dxfId="31" priority="12" operator="greaterThan">
      <formula>0</formula>
    </cfRule>
  </conditionalFormatting>
  <conditionalFormatting sqref="F4:F6">
    <cfRule type="cellIs" dxfId="30" priority="9" operator="greaterThan">
      <formula>1</formula>
    </cfRule>
  </conditionalFormatting>
  <conditionalFormatting sqref="F4:F6">
    <cfRule type="expression" dxfId="29" priority="10">
      <formula>$H4="SumaNS"</formula>
    </cfRule>
    <cfRule type="expression" dxfId="28" priority="11">
      <formula>OR($H4="KL",$H4="SumaKL")</formula>
    </cfRule>
  </conditionalFormatting>
  <conditionalFormatting sqref="F4:F6">
    <cfRule type="expression" dxfId="27" priority="8">
      <formula>$H4&lt;&gt;""</formula>
    </cfRule>
  </conditionalFormatting>
  <conditionalFormatting sqref="F8:F12">
    <cfRule type="cellIs" dxfId="26" priority="3" operator="greaterThan">
      <formula>1</formula>
    </cfRule>
  </conditionalFormatting>
  <conditionalFormatting sqref="B8:B12">
    <cfRule type="expression" dxfId="25" priority="7">
      <formula>AND(LEFT(H8,6)&lt;&gt;"mezera",H8&lt;&gt;"")</formula>
    </cfRule>
  </conditionalFormatting>
  <conditionalFormatting sqref="A8:A12">
    <cfRule type="expression" dxfId="24" priority="4">
      <formula>AND(H8&lt;&gt;"",H8&lt;&gt;"mezeraKL")</formula>
    </cfRule>
  </conditionalFormatting>
  <conditionalFormatting sqref="B8:G12">
    <cfRule type="expression" dxfId="23" priority="5">
      <formula>$H8="SumaNS"</formula>
    </cfRule>
    <cfRule type="expression" dxfId="22" priority="6">
      <formula>OR($H8="KL",$H8="SumaKL")</formula>
    </cfRule>
  </conditionalFormatting>
  <conditionalFormatting sqref="A8:G12">
    <cfRule type="expression" dxfId="21" priority="2">
      <formula>$H8&lt;&gt;""</formula>
    </cfRule>
  </conditionalFormatting>
  <conditionalFormatting sqref="G8:G12">
    <cfRule type="cellIs" dxfId="2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 outlineLevel="1"/>
    <col min="9" max="9" width="8.5546875" style="80" hidden="1" customWidth="1" outlineLevel="1"/>
    <col min="10" max="10" width="25.77734375" style="80" customWidth="1" collapsed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234" t="s">
        <v>139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14.4" customHeight="1" thickBot="1" x14ac:dyDescent="0.35">
      <c r="A2" s="251" t="s">
        <v>155</v>
      </c>
      <c r="B2" s="7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</row>
    <row r="3" spans="1:14" ht="14.4" customHeight="1" thickBot="1" x14ac:dyDescent="0.35">
      <c r="A3" s="78"/>
      <c r="B3" s="78"/>
      <c r="C3" s="230"/>
      <c r="D3" s="231"/>
      <c r="E3" s="231"/>
      <c r="F3" s="231"/>
      <c r="G3" s="231"/>
      <c r="H3" s="231"/>
      <c r="I3" s="231"/>
      <c r="J3" s="232" t="s">
        <v>137</v>
      </c>
      <c r="K3" s="233"/>
      <c r="L3" s="120">
        <f>IF(M3&lt;&gt;0,N3/M3,0)</f>
        <v>26.617777777777778</v>
      </c>
      <c r="M3" s="120">
        <f>SUBTOTAL(9,M5:M1048576)</f>
        <v>18</v>
      </c>
      <c r="N3" s="121">
        <f>SUBTOTAL(9,N5:N1048576)</f>
        <v>479.12</v>
      </c>
    </row>
    <row r="4" spans="1:14" s="79" customFormat="1" ht="14.4" customHeight="1" thickBot="1" x14ac:dyDescent="0.35">
      <c r="A4" s="284" t="s">
        <v>7</v>
      </c>
      <c r="B4" s="285" t="s">
        <v>8</v>
      </c>
      <c r="C4" s="285" t="s">
        <v>0</v>
      </c>
      <c r="D4" s="285" t="s">
        <v>9</v>
      </c>
      <c r="E4" s="285" t="s">
        <v>10</v>
      </c>
      <c r="F4" s="285" t="s">
        <v>2</v>
      </c>
      <c r="G4" s="285" t="s">
        <v>11</v>
      </c>
      <c r="H4" s="285" t="s">
        <v>12</v>
      </c>
      <c r="I4" s="285" t="s">
        <v>13</v>
      </c>
      <c r="J4" s="286" t="s">
        <v>14</v>
      </c>
      <c r="K4" s="286" t="s">
        <v>15</v>
      </c>
      <c r="L4" s="287" t="s">
        <v>146</v>
      </c>
      <c r="M4" s="287" t="s">
        <v>16</v>
      </c>
      <c r="N4" s="288" t="s">
        <v>154</v>
      </c>
    </row>
    <row r="5" spans="1:14" ht="14.4" customHeight="1" x14ac:dyDescent="0.3">
      <c r="A5" s="289" t="s">
        <v>271</v>
      </c>
      <c r="B5" s="290" t="s">
        <v>273</v>
      </c>
      <c r="C5" s="291" t="s">
        <v>277</v>
      </c>
      <c r="D5" s="292" t="s">
        <v>278</v>
      </c>
      <c r="E5" s="291" t="s">
        <v>274</v>
      </c>
      <c r="F5" s="292" t="s">
        <v>275</v>
      </c>
      <c r="G5" s="291" t="s">
        <v>281</v>
      </c>
      <c r="H5" s="291" t="s">
        <v>282</v>
      </c>
      <c r="I5" s="291" t="s">
        <v>283</v>
      </c>
      <c r="J5" s="291" t="s">
        <v>284</v>
      </c>
      <c r="K5" s="291" t="s">
        <v>285</v>
      </c>
      <c r="L5" s="293">
        <v>30.16</v>
      </c>
      <c r="M5" s="293">
        <v>2</v>
      </c>
      <c r="N5" s="294">
        <v>60.32</v>
      </c>
    </row>
    <row r="6" spans="1:14" ht="14.4" customHeight="1" x14ac:dyDescent="0.3">
      <c r="A6" s="295" t="s">
        <v>271</v>
      </c>
      <c r="B6" s="296" t="s">
        <v>273</v>
      </c>
      <c r="C6" s="297" t="s">
        <v>277</v>
      </c>
      <c r="D6" s="298" t="s">
        <v>278</v>
      </c>
      <c r="E6" s="297" t="s">
        <v>274</v>
      </c>
      <c r="F6" s="298" t="s">
        <v>275</v>
      </c>
      <c r="G6" s="297" t="s">
        <v>281</v>
      </c>
      <c r="H6" s="297" t="s">
        <v>286</v>
      </c>
      <c r="I6" s="297" t="s">
        <v>287</v>
      </c>
      <c r="J6" s="297" t="s">
        <v>288</v>
      </c>
      <c r="K6" s="297" t="s">
        <v>289</v>
      </c>
      <c r="L6" s="299">
        <v>45.62</v>
      </c>
      <c r="M6" s="299">
        <v>2</v>
      </c>
      <c r="N6" s="300">
        <v>91.24</v>
      </c>
    </row>
    <row r="7" spans="1:14" ht="14.4" customHeight="1" x14ac:dyDescent="0.3">
      <c r="A7" s="295" t="s">
        <v>271</v>
      </c>
      <c r="B7" s="296" t="s">
        <v>273</v>
      </c>
      <c r="C7" s="297" t="s">
        <v>277</v>
      </c>
      <c r="D7" s="298" t="s">
        <v>278</v>
      </c>
      <c r="E7" s="297" t="s">
        <v>274</v>
      </c>
      <c r="F7" s="298" t="s">
        <v>275</v>
      </c>
      <c r="G7" s="297" t="s">
        <v>281</v>
      </c>
      <c r="H7" s="297" t="s">
        <v>290</v>
      </c>
      <c r="I7" s="297" t="s">
        <v>291</v>
      </c>
      <c r="J7" s="297" t="s">
        <v>292</v>
      </c>
      <c r="K7" s="297" t="s">
        <v>293</v>
      </c>
      <c r="L7" s="299">
        <v>7.1</v>
      </c>
      <c r="M7" s="299">
        <v>2</v>
      </c>
      <c r="N7" s="300">
        <v>14.2</v>
      </c>
    </row>
    <row r="8" spans="1:14" ht="14.4" customHeight="1" x14ac:dyDescent="0.3">
      <c r="A8" s="295" t="s">
        <v>271</v>
      </c>
      <c r="B8" s="296" t="s">
        <v>273</v>
      </c>
      <c r="C8" s="297" t="s">
        <v>277</v>
      </c>
      <c r="D8" s="298" t="s">
        <v>278</v>
      </c>
      <c r="E8" s="297" t="s">
        <v>274</v>
      </c>
      <c r="F8" s="298" t="s">
        <v>275</v>
      </c>
      <c r="G8" s="297" t="s">
        <v>281</v>
      </c>
      <c r="H8" s="297" t="s">
        <v>294</v>
      </c>
      <c r="I8" s="297" t="s">
        <v>295</v>
      </c>
      <c r="J8" s="297" t="s">
        <v>296</v>
      </c>
      <c r="K8" s="297" t="s">
        <v>297</v>
      </c>
      <c r="L8" s="299">
        <v>7.68</v>
      </c>
      <c r="M8" s="299">
        <v>2</v>
      </c>
      <c r="N8" s="300">
        <v>15.36</v>
      </c>
    </row>
    <row r="9" spans="1:14" ht="14.4" customHeight="1" x14ac:dyDescent="0.3">
      <c r="A9" s="295" t="s">
        <v>271</v>
      </c>
      <c r="B9" s="296" t="s">
        <v>273</v>
      </c>
      <c r="C9" s="297" t="s">
        <v>277</v>
      </c>
      <c r="D9" s="298" t="s">
        <v>278</v>
      </c>
      <c r="E9" s="297" t="s">
        <v>274</v>
      </c>
      <c r="F9" s="298" t="s">
        <v>275</v>
      </c>
      <c r="G9" s="297" t="s">
        <v>281</v>
      </c>
      <c r="H9" s="297" t="s">
        <v>298</v>
      </c>
      <c r="I9" s="297" t="s">
        <v>295</v>
      </c>
      <c r="J9" s="297" t="s">
        <v>299</v>
      </c>
      <c r="K9" s="297" t="s">
        <v>300</v>
      </c>
      <c r="L9" s="299">
        <v>5.43</v>
      </c>
      <c r="M9" s="299">
        <v>2</v>
      </c>
      <c r="N9" s="300">
        <v>10.86</v>
      </c>
    </row>
    <row r="10" spans="1:14" ht="14.4" customHeight="1" x14ac:dyDescent="0.3">
      <c r="A10" s="295" t="s">
        <v>271</v>
      </c>
      <c r="B10" s="296" t="s">
        <v>273</v>
      </c>
      <c r="C10" s="297" t="s">
        <v>277</v>
      </c>
      <c r="D10" s="298" t="s">
        <v>278</v>
      </c>
      <c r="E10" s="297" t="s">
        <v>274</v>
      </c>
      <c r="F10" s="298" t="s">
        <v>275</v>
      </c>
      <c r="G10" s="297" t="s">
        <v>281</v>
      </c>
      <c r="H10" s="297" t="s">
        <v>301</v>
      </c>
      <c r="I10" s="297" t="s">
        <v>302</v>
      </c>
      <c r="J10" s="297" t="s">
        <v>303</v>
      </c>
      <c r="K10" s="297" t="s">
        <v>304</v>
      </c>
      <c r="L10" s="299">
        <v>29.36</v>
      </c>
      <c r="M10" s="299">
        <v>2</v>
      </c>
      <c r="N10" s="300">
        <v>58.72</v>
      </c>
    </row>
    <row r="11" spans="1:14" ht="14.4" customHeight="1" x14ac:dyDescent="0.3">
      <c r="A11" s="295" t="s">
        <v>271</v>
      </c>
      <c r="B11" s="296" t="s">
        <v>273</v>
      </c>
      <c r="C11" s="297" t="s">
        <v>277</v>
      </c>
      <c r="D11" s="298" t="s">
        <v>278</v>
      </c>
      <c r="E11" s="297" t="s">
        <v>274</v>
      </c>
      <c r="F11" s="298" t="s">
        <v>275</v>
      </c>
      <c r="G11" s="297" t="s">
        <v>281</v>
      </c>
      <c r="H11" s="297" t="s">
        <v>305</v>
      </c>
      <c r="I11" s="297" t="s">
        <v>306</v>
      </c>
      <c r="J11" s="297" t="s">
        <v>307</v>
      </c>
      <c r="K11" s="297"/>
      <c r="L11" s="299">
        <v>30.76</v>
      </c>
      <c r="M11" s="299">
        <v>2</v>
      </c>
      <c r="N11" s="300">
        <v>61.52</v>
      </c>
    </row>
    <row r="12" spans="1:14" ht="14.4" customHeight="1" x14ac:dyDescent="0.3">
      <c r="A12" s="295" t="s">
        <v>271</v>
      </c>
      <c r="B12" s="296" t="s">
        <v>273</v>
      </c>
      <c r="C12" s="297" t="s">
        <v>277</v>
      </c>
      <c r="D12" s="298" t="s">
        <v>278</v>
      </c>
      <c r="E12" s="297" t="s">
        <v>274</v>
      </c>
      <c r="F12" s="298" t="s">
        <v>275</v>
      </c>
      <c r="G12" s="297" t="s">
        <v>281</v>
      </c>
      <c r="H12" s="297" t="s">
        <v>308</v>
      </c>
      <c r="I12" s="297" t="s">
        <v>308</v>
      </c>
      <c r="J12" s="297" t="s">
        <v>309</v>
      </c>
      <c r="K12" s="297" t="s">
        <v>310</v>
      </c>
      <c r="L12" s="299">
        <v>49.13</v>
      </c>
      <c r="M12" s="299">
        <v>2</v>
      </c>
      <c r="N12" s="300">
        <v>98.26</v>
      </c>
    </row>
    <row r="13" spans="1:14" ht="14.4" customHeight="1" thickBot="1" x14ac:dyDescent="0.35">
      <c r="A13" s="301" t="s">
        <v>271</v>
      </c>
      <c r="B13" s="302" t="s">
        <v>273</v>
      </c>
      <c r="C13" s="303" t="s">
        <v>277</v>
      </c>
      <c r="D13" s="304" t="s">
        <v>278</v>
      </c>
      <c r="E13" s="303" t="s">
        <v>274</v>
      </c>
      <c r="F13" s="304" t="s">
        <v>275</v>
      </c>
      <c r="G13" s="303" t="s">
        <v>281</v>
      </c>
      <c r="H13" s="303" t="s">
        <v>311</v>
      </c>
      <c r="I13" s="303" t="s">
        <v>312</v>
      </c>
      <c r="J13" s="303" t="s">
        <v>313</v>
      </c>
      <c r="K13" s="303" t="s">
        <v>314</v>
      </c>
      <c r="L13" s="305">
        <v>34.32</v>
      </c>
      <c r="M13" s="305">
        <v>2</v>
      </c>
      <c r="N13" s="306">
        <v>68.64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228" t="s">
        <v>141</v>
      </c>
      <c r="B1" s="229"/>
      <c r="C1" s="229"/>
      <c r="D1" s="229"/>
      <c r="E1" s="229"/>
      <c r="F1" s="229"/>
      <c r="G1" s="202"/>
    </row>
    <row r="2" spans="1:8" ht="14.4" customHeight="1" thickBot="1" x14ac:dyDescent="0.35">
      <c r="A2" s="251" t="s">
        <v>155</v>
      </c>
      <c r="B2" s="83"/>
      <c r="C2" s="83"/>
      <c r="D2" s="83"/>
      <c r="E2" s="83"/>
      <c r="F2" s="83"/>
    </row>
    <row r="3" spans="1:8" ht="14.4" customHeight="1" thickBot="1" x14ac:dyDescent="0.35">
      <c r="A3" s="94" t="s">
        <v>0</v>
      </c>
      <c r="B3" s="95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145</v>
      </c>
    </row>
    <row r="4" spans="1:8" ht="14.4" customHeight="1" x14ac:dyDescent="0.3">
      <c r="A4" s="280" t="s">
        <v>271</v>
      </c>
      <c r="B4" s="281" t="s">
        <v>272</v>
      </c>
      <c r="C4" s="282" t="s">
        <v>273</v>
      </c>
      <c r="D4" s="282" t="s">
        <v>272</v>
      </c>
      <c r="E4" s="282" t="s">
        <v>272</v>
      </c>
      <c r="F4" s="283" t="s">
        <v>272</v>
      </c>
      <c r="G4" s="282" t="s">
        <v>272</v>
      </c>
      <c r="H4" s="282" t="s">
        <v>76</v>
      </c>
    </row>
    <row r="5" spans="1:8" ht="14.4" customHeight="1" x14ac:dyDescent="0.3">
      <c r="A5" s="280" t="s">
        <v>271</v>
      </c>
      <c r="B5" s="281" t="s">
        <v>315</v>
      </c>
      <c r="C5" s="282" t="s">
        <v>316</v>
      </c>
      <c r="D5" s="282">
        <v>427.89964793132702</v>
      </c>
      <c r="E5" s="282">
        <v>40</v>
      </c>
      <c r="F5" s="283">
        <v>9.3479861910097994E-2</v>
      </c>
      <c r="G5" s="282">
        <v>-387.89964793132702</v>
      </c>
      <c r="H5" s="282" t="s">
        <v>2</v>
      </c>
    </row>
    <row r="6" spans="1:8" ht="14.4" customHeight="1" x14ac:dyDescent="0.3">
      <c r="A6" s="280" t="s">
        <v>271</v>
      </c>
      <c r="B6" s="281" t="s">
        <v>6</v>
      </c>
      <c r="C6" s="282" t="s">
        <v>273</v>
      </c>
      <c r="D6" s="282">
        <v>1344.4789257556747</v>
      </c>
      <c r="E6" s="282">
        <v>40</v>
      </c>
      <c r="F6" s="283">
        <v>2.9751303076407606E-2</v>
      </c>
      <c r="G6" s="282">
        <v>-1304.4789257556747</v>
      </c>
      <c r="H6" s="282" t="s">
        <v>276</v>
      </c>
    </row>
    <row r="8" spans="1:8" ht="14.4" customHeight="1" x14ac:dyDescent="0.3">
      <c r="A8" s="280" t="s">
        <v>271</v>
      </c>
      <c r="B8" s="281" t="s">
        <v>272</v>
      </c>
      <c r="C8" s="282" t="s">
        <v>273</v>
      </c>
      <c r="D8" s="282" t="s">
        <v>272</v>
      </c>
      <c r="E8" s="282" t="s">
        <v>272</v>
      </c>
      <c r="F8" s="283" t="s">
        <v>272</v>
      </c>
      <c r="G8" s="282" t="s">
        <v>272</v>
      </c>
      <c r="H8" s="282" t="s">
        <v>76</v>
      </c>
    </row>
    <row r="9" spans="1:8" ht="14.4" customHeight="1" x14ac:dyDescent="0.3">
      <c r="A9" s="280" t="s">
        <v>277</v>
      </c>
      <c r="B9" s="281" t="s">
        <v>315</v>
      </c>
      <c r="C9" s="282" t="s">
        <v>316</v>
      </c>
      <c r="D9" s="282">
        <v>427.89964793132702</v>
      </c>
      <c r="E9" s="282">
        <v>40</v>
      </c>
      <c r="F9" s="283">
        <v>9.3479861910097994E-2</v>
      </c>
      <c r="G9" s="282">
        <v>-387.89964793132702</v>
      </c>
      <c r="H9" s="282" t="s">
        <v>2</v>
      </c>
    </row>
    <row r="10" spans="1:8" ht="14.4" customHeight="1" x14ac:dyDescent="0.3">
      <c r="A10" s="280" t="s">
        <v>277</v>
      </c>
      <c r="B10" s="281" t="s">
        <v>6</v>
      </c>
      <c r="C10" s="282" t="s">
        <v>278</v>
      </c>
      <c r="D10" s="282">
        <v>1344.4789257556747</v>
      </c>
      <c r="E10" s="282">
        <v>40</v>
      </c>
      <c r="F10" s="283">
        <v>2.9751303076407606E-2</v>
      </c>
      <c r="G10" s="282">
        <v>-1304.4789257556747</v>
      </c>
      <c r="H10" s="282" t="s">
        <v>279</v>
      </c>
    </row>
    <row r="11" spans="1:8" ht="14.4" customHeight="1" x14ac:dyDescent="0.3">
      <c r="A11" s="280" t="s">
        <v>272</v>
      </c>
      <c r="B11" s="281" t="s">
        <v>272</v>
      </c>
      <c r="C11" s="282" t="s">
        <v>272</v>
      </c>
      <c r="D11" s="282" t="s">
        <v>272</v>
      </c>
      <c r="E11" s="282" t="s">
        <v>272</v>
      </c>
      <c r="F11" s="283" t="s">
        <v>272</v>
      </c>
      <c r="G11" s="282" t="s">
        <v>272</v>
      </c>
      <c r="H11" s="282" t="s">
        <v>280</v>
      </c>
    </row>
    <row r="12" spans="1:8" ht="14.4" customHeight="1" x14ac:dyDescent="0.3">
      <c r="A12" s="280" t="s">
        <v>271</v>
      </c>
      <c r="B12" s="281" t="s">
        <v>6</v>
      </c>
      <c r="C12" s="282" t="s">
        <v>273</v>
      </c>
      <c r="D12" s="282">
        <v>1344.4789257556747</v>
      </c>
      <c r="E12" s="282">
        <v>40</v>
      </c>
      <c r="F12" s="283">
        <v>2.9751303076407606E-2</v>
      </c>
      <c r="G12" s="282">
        <v>-1304.4789257556747</v>
      </c>
      <c r="H12" s="282" t="s">
        <v>276</v>
      </c>
    </row>
  </sheetData>
  <autoFilter ref="A3:G3"/>
  <mergeCells count="1">
    <mergeCell ref="A1:G1"/>
  </mergeCells>
  <conditionalFormatting sqref="F7 F13:F65536">
    <cfRule type="cellIs" dxfId="19" priority="19" stopIfTrue="1" operator="greaterThan">
      <formula>1</formula>
    </cfRule>
  </conditionalFormatting>
  <conditionalFormatting sqref="G4:G6">
    <cfRule type="cellIs" dxfId="18" priority="12" operator="greaterThan">
      <formula>0</formula>
    </cfRule>
  </conditionalFormatting>
  <conditionalFormatting sqref="F4:F6">
    <cfRule type="cellIs" dxfId="17" priority="14" operator="greaterThan">
      <formula>1</formula>
    </cfRule>
  </conditionalFormatting>
  <conditionalFormatting sqref="B4:B6">
    <cfRule type="expression" dxfId="16" priority="18">
      <formula>AND(LEFT(H4,6)&lt;&gt;"mezera",H4&lt;&gt;"")</formula>
    </cfRule>
  </conditionalFormatting>
  <conditionalFormatting sqref="A4:A6">
    <cfRule type="expression" dxfId="15" priority="15">
      <formula>AND(H4&lt;&gt;"",H4&lt;&gt;"mezeraKL")</formula>
    </cfRule>
  </conditionalFormatting>
  <conditionalFormatting sqref="B4:G6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6">
    <cfRule type="expression" dxfId="12" priority="13">
      <formula>$H4&lt;&gt;""</formula>
    </cfRule>
  </conditionalFormatting>
  <conditionalFormatting sqref="F4:F6">
    <cfRule type="cellIs" dxfId="11" priority="9" operator="greaterThan">
      <formula>1</formula>
    </cfRule>
  </conditionalFormatting>
  <conditionalFormatting sqref="F4:F6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6">
    <cfRule type="expression" dxfId="8" priority="8">
      <formula>$H4&lt;&gt;""</formula>
    </cfRule>
  </conditionalFormatting>
  <conditionalFormatting sqref="G8:G12">
    <cfRule type="cellIs" dxfId="7" priority="1" operator="greaterThan">
      <formula>0</formula>
    </cfRule>
  </conditionalFormatting>
  <conditionalFormatting sqref="F8:F12">
    <cfRule type="cellIs" dxfId="6" priority="3" operator="greaterThan">
      <formula>1</formula>
    </cfRule>
  </conditionalFormatting>
  <conditionalFormatting sqref="B8:B12">
    <cfRule type="expression" dxfId="5" priority="7">
      <formula>AND(LEFT(H8,6)&lt;&gt;"mezera",H8&lt;&gt;"")</formula>
    </cfRule>
  </conditionalFormatting>
  <conditionalFormatting sqref="A8:A12">
    <cfRule type="expression" dxfId="4" priority="4">
      <formula>AND(H8&lt;&gt;"",H8&lt;&gt;"mezeraKL")</formula>
    </cfRule>
  </conditionalFormatting>
  <conditionalFormatting sqref="B8:G12">
    <cfRule type="expression" dxfId="3" priority="5">
      <formula>$H8="SumaNS"</formula>
    </cfRule>
    <cfRule type="expression" dxfId="2" priority="6">
      <formula>OR($H8="KL",$H8="SumaKL")</formula>
    </cfRule>
  </conditionalFormatting>
  <conditionalFormatting sqref="A8:G12">
    <cfRule type="expression" dxfId="1" priority="2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2013-12-28T11:37:55Z</dcterms:modified>
</cp:coreProperties>
</file>