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<sst xmlns="http://schemas.openxmlformats.org/spreadsheetml/2006/main" count="1211" uniqueCount="494">
  <si>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</si>
  <si>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</si>
  <si>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</si>
  <si>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</si>
  <si>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</si>
  <si>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</si>
  <si>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</si>
  <si>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</si>
  <si>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</si>
  <si>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</si>
  <si>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</si>
  <si>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</si>
  <si>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</si>
  <si>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</si>
  <si>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</si>
  <si>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</si>
  <si>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</si>
  <si>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</si>
  <si>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</si>
  <si>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</si>
  <si>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</si>
  <si>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</si>
  <si>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</si>
  <si>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</si>
  <si>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</si>
  <si>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</si>
  <si>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</si>
  <si>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</si>
  <si>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</si>
  <si>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</si>
  <si>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</si>
  <si>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</si>
  <si>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</si>
  <si>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</si>
  <si>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</si>
  <si>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</si>
  <si>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</si>
  <si>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</si>
  <si>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</si>
  <si>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</si>
  <si>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</si>
  <si>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</si>
  <si>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</si>
  <si>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</si>
  <si>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</si>
  <si>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</si>
  <si>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</si>
  <si>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</si>
  <si>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</si>
  <si>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</si>
  <si>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</si>
  <si>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</si>
  <si>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</si>
  <si>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</si>
  <si>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</si>
  <si>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</si>
  <si>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</si>
  <si>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</si>
  <si>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</si>
  <si>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</si>
  <si>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</si>
  <si>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</si>
  <si>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</si>
  <si>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</si>
  <si>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</si>
  <si>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</si>
  <si>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</si>
  <si>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</si>
  <si>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</si>
  <si>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</si>
  <si>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</si>
  <si>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</si>
  <si>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</si>
  <si>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</si>
  <si>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</si>
  <si>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</si>
  <si>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</si>
  <si>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</si>
  <si>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</si>
  <si>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</si>
  <si>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</si>
  <si>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</si>
  <si>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</si>
  <si>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</si>
  <si>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</si>
  <si>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</si>
  <si>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</si>
  <si>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</si>
  <si>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</si>
  <si>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</si>
  <si>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</si>
  <si>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</si>
  <si>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</si>
  <si>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</si>
  <si>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</si>
  <si>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</si>
  <si>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</si>
  <si>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</si>
  <si>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</si>
  <si>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</si>
  <si>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</si>
  <si>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</si>
  <si>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</si>
  <si>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</si>
  <si>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</si>
  <si>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</si>
  <si>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</si>
  <si>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</si>
  <si>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</si>
  <si>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</si>
  <si>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</si>
  <si>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</si>
  <si>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</si>
  <si>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</si>
  <si>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</si>
  <si>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</si>
  <si>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</si>
  <si>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</si>
  <si>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</si>
  <si>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</si>
  <si>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</si>
  <si>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</si>
  <si>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</si>
  <si>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</si>
  <si>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</si>
  <si>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</si>
  <si>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</si>
  <si>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</si>
  <si>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</si>
  <si>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</si>
  <si>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</si>
  <si>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</si>
  <si>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</si>
  <si>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</si>
  <si>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</si>
  <si>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</si>
  <si>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</si>
  <si>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</si>
  <si>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</si>
  <si>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</si>
  <si>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</si>
  <si>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</si>
  <si>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</si>
  <si>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</si>
  <si>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</si>
  <si>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</si>
  <si>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</si>
  <si>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</si>
  <si>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</si>
  <si>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</si>
  <si>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</si>
  <si>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</si>
  <si>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</si>
  <si>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</si>
  <si>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</si>
  <si>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</si>
  <si>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</si>
  <si>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</si>
  <si>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</si>
  <si>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</si>
  <si>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</si>
  <si>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</si>
  <si>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</si>
  <si>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</si>
  <si>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</si>
  <si>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</si>
  <si>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</si>
  <si>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</si>
  <si>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</si>
  <si>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</si>
  <si>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</si>
  <si>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</si>
  <si>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</si>
  <si>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</si>
  <si>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</si>
  <si>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</si>
  <si>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</si>
  <si>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</si>
  <si>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</si>
  <si>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</si>
  <si>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</si>
  <si>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</si>
  <si>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</si>
  <si>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</si>
  <si>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</si>
  <si>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</si>
  <si>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</si>
  <si>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</si>
  <si>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</si>
  <si>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</si>
  <si>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</si>
  <si>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</si>
  <si>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</si>
  <si>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</si>
  <si>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</si>
  <si>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</si>
  <si>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</si>
  <si>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</si>
  <si>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</si>
  <si>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</si>
  <si>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</si>
  <si>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</si>
  <si>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</si>
  <si>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</si>
  <si>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</si>
  <si>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</si>
  <si>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</si>
  <si>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</si>
  <si>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</si>
  <si>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</si>
  <si>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</si>
  <si>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</si>
  <si>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</si>
  <si>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</si>
  <si>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</si>
  <si>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</si>
  <si>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</si>
  <si>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</si>
  <si>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</si>
  <si>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</si>
  <si>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</si>
  <si>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</si>
  <si>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</si>
  <si>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</si>
  <si>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</si>
  <si>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</si>
  <si>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</si>
  <si>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</si>
  <si>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</si>
  <si>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</si>
  <si>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</si>
  <si>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</si>
  <si>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</si>
  <si>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</si>
  <si>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</si>
  <si>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</si>
  <si>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</si>
  <si>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</si>
  <si>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</si>
  <si>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</si>
  <si>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</si>
  <si>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</si>
  <si>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</si>
  <si>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</si>
  <si>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</si>
  <si>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</si>
  <si>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</si>
  <si>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logopedie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</si>
  <si>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</si>
  <si>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</si>
  <si>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</si>
  <si>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</si>
  <si>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</si>
  <si>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</si>
  <si>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</si>
  <si>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</si>
  <si>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</si>
  <si>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</si>
  <si>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</si>
  <si>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</si>
  <si>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</si>
  <si>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</si>
  <si>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</si>
  <si>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</si>
  <si>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</si>
  <si>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</si>
  <si>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</si>
  <si>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</si>
  <si>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</si>
  <si>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</si>
  <si>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</si>
  <si>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</si>
  <si>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</si>
  <si>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</si>
  <si>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</si>
  <si>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</si>
  <si>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</si>
  <si>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</si>
  <si>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</si>
  <si>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</si>
  <si>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</si>
  <si>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</si>
  <si>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</si>
  <si>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</si>
  <si>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</si>
  <si>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</si>
  <si>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</si>
  <si>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</si>
  <si>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</si>
  <si>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</si>
  <si>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</si>
  <si>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</si>
  <si>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</si>
  <si>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</si>
  <si>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</si>
  <si>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</si>
  <si>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</si>
  <si>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</si>
  <si>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</si>
  <si>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</si>
  <si>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</si>
  <si>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</si>
  <si>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</si>
  <si>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</si>
  <si>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</si>
  <si>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</si>
  <si>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</si>
  <si>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</si>
  <si>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</si>
  <si>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</si>
  <si>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</si>
  <si>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</si>
  <si>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</si>
  <si>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</si>
  <si>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</si>
  <si>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</si>
  <si>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</si>
  <si>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</si>
  <si>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</si>
  <si>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</si>
  <si>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</si>
  <si>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</si>
  <si>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</si>
  <si>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</si>
  <si>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</si>
  <si>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</si>
  <si>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</si>
  <si>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</si>
  <si>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</si>
  <si>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</si>
  <si>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</si>
  <si>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</si>
  <si>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</si>
  <si>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</si>
  <si>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</si>
  <si>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</si>
  <si>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</si>
  <si>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</si>
  <si>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</si>
  <si>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</si>
  <si>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</si>
  <si>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</si>
  <si>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</si>
  <si>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</si>
  <si>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</si>
  <si>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</si>
  <si>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</si>
  <si>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</si>
  <si>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</si>
  <si>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</si>
  <si>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</si>
  <si>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</si>
  <si>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</si>
  <si>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</si>
  <si>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</si>
  <si>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</si>
  <si>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</si>
  <si>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</si>
  <si>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</si>
  <si>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</si>
  <si>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</si>
  <si>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</si>
  <si>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</si>
  <si>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</si>
  <si>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</si>
  <si>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</si>
  <si>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</si>
  <si>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</si>
  <si>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</si>
  <si>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50113001</t>
  </si>
  <si>
    <t>O</t>
  </si>
  <si>
    <t>100802</t>
  </si>
  <si>
    <t>1000</t>
  </si>
  <si>
    <t>IR OG. OPHTHALMO-SEPTONEX</t>
  </si>
  <si>
    <t>GTT OPH 1X10ML</t>
  </si>
  <si>
    <t>192414</t>
  </si>
  <si>
    <t>92414</t>
  </si>
  <si>
    <t>SEPTONEX</t>
  </si>
  <si>
    <t>SPR 1X45ML</t>
  </si>
  <si>
    <t>840238</t>
  </si>
  <si>
    <t>Carbofit prášek 25g Čárkll</t>
  </si>
  <si>
    <t>Oddělení klinické logopedie, ambulance</t>
  </si>
  <si>
    <t>Lékárna - léčiva</t>
  </si>
  <si>
    <t>36 - Oddělení klinické logopedie</t>
  </si>
  <si>
    <t>3621 - ambulance</t>
  </si>
  <si>
    <t>50115040     laboratorní materiál (sk.Z_505)</t>
  </si>
  <si>
    <t>ZA429</t>
  </si>
  <si>
    <t>Obinadlo elastické idealtex   8 cm x 5 m 931061</t>
  </si>
  <si>
    <t>ZA443</t>
  </si>
  <si>
    <t>Šátek trojcípý pletený 125 x 85 x 85 cm 20001</t>
  </si>
  <si>
    <t>ZA450</t>
  </si>
  <si>
    <t>Náplast omniplast 1,25 cm x 9,1 m 9004520</t>
  </si>
  <si>
    <t>ZB404</t>
  </si>
  <si>
    <t>Náplast cosmos 8 cm x 1 m 5403353</t>
  </si>
  <si>
    <t>ZC854</t>
  </si>
  <si>
    <t>Kompresa NT 7,5 x 7,5 cm / 2 ks sterilní 26510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</si>
  <si>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</si>
  <si>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</si>
  <si>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</si>
  <si>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</si>
  <si>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</si>
  <si>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</si>
  <si>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</si>
  <si>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</si>
  <si>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</si>
  <si>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</si>
  <si>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</si>
  <si>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</si>
  <si>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</si>
  <si>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</si>
  <si>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</si>
  <si>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</si>
  <si>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ZB006</t>
  </si>
  <si>
    <t>Teploměr digitální thermoval basic 9250391</t>
  </si>
  <si>
    <t>ZB231</t>
  </si>
  <si>
    <t>Pinzeta anatomická P00894</t>
  </si>
  <si>
    <t>ZB844</t>
  </si>
  <si>
    <t>Esmarch 60 x 1250 KVS 06125</t>
  </si>
  <si>
    <t>ZC766</t>
  </si>
  <si>
    <t>Nůžky rovné chirurgické hrotnaté P00768</t>
  </si>
  <si>
    <t>50115050</t>
  </si>
  <si>
    <t>502 SZM obvazový (112 02 040)</t>
  </si>
  <si>
    <t>50115060</t>
  </si>
  <si>
    <t>503 SZM ostatní zdravotnický (112 02 100)</t>
  </si>
  <si>
    <t>Spotřeba zdravotnického materiálu - orientační přehled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</si>
  <si>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</si>
  <si>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</si>
  <si>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</si>
  <si>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</si>
  <si>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</si>
  <si>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</si>
  <si>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</si>
  <si>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Polášková Irena</t>
  </si>
  <si>
    <t>Vrtělová Milada</t>
  </si>
  <si>
    <t>Čecháčková Miloslava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</si>
  <si>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</si>
  <si>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</si>
  <si>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</si>
  <si>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</si>
  <si>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</si>
  <si>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72017</t>
  </si>
  <si>
    <t>KONTROLNÍ VYŠETŘENÍ KLINICKÝM LOGOPEDEM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</si>
  <si>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</si>
  <si>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</si>
  <si>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</si>
  <si>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</si>
  <si>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</si>
  <si>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</si>
  <si>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</si>
  <si>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SIGNÁLNÍ VÝKON KLINICKÉHO VYŠETŘENÍ / DO 31.12.201</t>
  </si>
  <si>
    <t>09523</t>
  </si>
  <si>
    <t>EDUKAČNÍ POHOVOR LÉKAŘE S NEMOCNÝM ČI RODINOU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</si>
  <si>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</si>
  <si>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</si>
  <si>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</si>
  <si>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</si>
  <si>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</si>
  <si>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</si>
  <si>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</si>
  <si>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</si>
  <si>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</si>
  <si>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</si>
  <si>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</si>
  <si>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</si>
  <si>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</si>
  <si>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</si>
  <si>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</si>
  <si>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</si>
  <si>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17 - Neurologická klinika</t>
  </si>
  <si>
    <t>18 - Klinika psychiatrie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</si>
  <si>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</si>
  <si>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</si>
  <si>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</si>
  <si>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</si>
  <si>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</si>
  <si>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</si>
  <si>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</si>
  <si>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</si>
  <si>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</si>
  <si>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</si>
  <si>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</si>
  <si>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07</t>
  </si>
  <si>
    <t>08</t>
  </si>
  <si>
    <t>10</t>
  </si>
  <si>
    <t>11</t>
  </si>
  <si>
    <t>17</t>
  </si>
  <si>
    <t>18</t>
  </si>
  <si>
    <t>21</t>
  </si>
  <si>
    <t>26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</si>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</sst>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0.34662513732624911</c:v>
                </c:pt>
                <c:pt idx="1">
                  <c:v>0.31268596157080125</c:v>
                </c:pt>
                <c:pt idx="2">
                  <c:v>0.29740581786655634</c:v>
                </c:pt>
                <c:pt idx="3">
                  <c:v>0.29782124809464594</c:v>
                </c:pt>
                <c:pt idx="4">
                  <c:v>0.3027589639859663</c:v>
                </c:pt>
                <c:pt idx="5">
                  <c:v>0.25686832153372546</c:v>
                </c:pt>
                <c:pt idx="6">
                  <c:v>0.2373437310688592</c:v>
                </c:pt>
                <c:pt idx="7">
                  <c:v>0.23237923305381711</c:v>
                </c:pt>
                <c:pt idx="8">
                  <c:v>0.22902496706463865</c:v>
                </c:pt>
                <c:pt idx="9">
                  <c:v>0.22766597675779623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24480"/>
        <c:axId val="-204152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0.21211845052608339</c:v>
                </c:pt>
                <c:pt idx="1">
                  <c:v>0.21211845052608339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23936"/>
        <c:axId val="-20413056"/>
      </c:scatterChart>
      <c:catAx>
        <c:axId val="-2042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1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15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24480"/>
        <c:crosses val="autoZero"/>
        <c:crossBetween val="between"/>
      </c:valAx>
      <c:valAx>
        <c:axId val="-204239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13056"/>
        <c:crosses val="max"/>
        <c:crossBetween val="midCat"/>
      </c:valAx>
      <c:valAx>
        <c:axId val="-204130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239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250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424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427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435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458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493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359</v>
      </c>
      <c r="B5" s="390" t="s">
        <v>360</v>
      </c>
      <c r="C5" s="391" t="s">
        <v>361</v>
      </c>
      <c r="D5" s="391" t="s">
        <v>361</v>
      </c>
      <c r="E5" s="391"/>
      <c r="F5" s="391" t="s">
        <v>361</v>
      </c>
      <c r="G5" s="391" t="s">
        <v>361</v>
      </c>
      <c r="H5" s="391" t="s">
        <v>361</v>
      </c>
      <c r="I5" s="392" t="s">
        <v>361</v>
      </c>
      <c r="J5" s="393" t="s">
        <v>55</v>
      </c>
    </row>
    <row r="6" spans="1:10" ht="14.4" customHeight="1" x14ac:dyDescent="0.3">
      <c r="A6" s="389" t="s">
        <v>359</v>
      </c>
      <c r="B6" s="390" t="s">
        <v>385</v>
      </c>
      <c r="C6" s="391">
        <v>0</v>
      </c>
      <c r="D6" s="391" t="s">
        <v>361</v>
      </c>
      <c r="E6" s="391"/>
      <c r="F6" s="391" t="s">
        <v>361</v>
      </c>
      <c r="G6" s="391" t="s">
        <v>361</v>
      </c>
      <c r="H6" s="391" t="s">
        <v>361</v>
      </c>
      <c r="I6" s="392" t="s">
        <v>361</v>
      </c>
      <c r="J6" s="393" t="s">
        <v>1</v>
      </c>
    </row>
    <row r="7" spans="1:10" ht="14.4" customHeight="1" x14ac:dyDescent="0.3">
      <c r="A7" s="389" t="s">
        <v>359</v>
      </c>
      <c r="B7" s="390" t="s">
        <v>257</v>
      </c>
      <c r="C7" s="391" t="s">
        <v>361</v>
      </c>
      <c r="D7" s="391" t="s">
        <v>361</v>
      </c>
      <c r="E7" s="391"/>
      <c r="F7" s="391">
        <v>0.28936000000000001</v>
      </c>
      <c r="G7" s="391">
        <v>0</v>
      </c>
      <c r="H7" s="391">
        <v>0.28936000000000001</v>
      </c>
      <c r="I7" s="392" t="s">
        <v>361</v>
      </c>
      <c r="J7" s="393" t="s">
        <v>1</v>
      </c>
    </row>
    <row r="8" spans="1:10" ht="14.4" customHeight="1" x14ac:dyDescent="0.3">
      <c r="A8" s="389" t="s">
        <v>359</v>
      </c>
      <c r="B8" s="390" t="s">
        <v>258</v>
      </c>
      <c r="C8" s="391">
        <v>0.04</v>
      </c>
      <c r="D8" s="391">
        <v>0</v>
      </c>
      <c r="E8" s="391"/>
      <c r="F8" s="391">
        <v>0.72186000000000006</v>
      </c>
      <c r="G8" s="391">
        <v>0</v>
      </c>
      <c r="H8" s="391">
        <v>0.72186000000000006</v>
      </c>
      <c r="I8" s="392" t="s">
        <v>361</v>
      </c>
      <c r="J8" s="393" t="s">
        <v>1</v>
      </c>
    </row>
    <row r="9" spans="1:10" ht="14.4" customHeight="1" x14ac:dyDescent="0.3">
      <c r="A9" s="389" t="s">
        <v>359</v>
      </c>
      <c r="B9" s="390" t="s">
        <v>362</v>
      </c>
      <c r="C9" s="391">
        <v>0.04</v>
      </c>
      <c r="D9" s="391">
        <v>0</v>
      </c>
      <c r="E9" s="391"/>
      <c r="F9" s="391">
        <v>1.01122</v>
      </c>
      <c r="G9" s="391">
        <v>0</v>
      </c>
      <c r="H9" s="391">
        <v>1.01122</v>
      </c>
      <c r="I9" s="392" t="s">
        <v>361</v>
      </c>
      <c r="J9" s="393" t="s">
        <v>363</v>
      </c>
    </row>
    <row r="11" spans="1:10" ht="14.4" customHeight="1" x14ac:dyDescent="0.3">
      <c r="A11" s="389" t="s">
        <v>359</v>
      </c>
      <c r="B11" s="390" t="s">
        <v>360</v>
      </c>
      <c r="C11" s="391" t="s">
        <v>361</v>
      </c>
      <c r="D11" s="391" t="s">
        <v>361</v>
      </c>
      <c r="E11" s="391"/>
      <c r="F11" s="391" t="s">
        <v>361</v>
      </c>
      <c r="G11" s="391" t="s">
        <v>361</v>
      </c>
      <c r="H11" s="391" t="s">
        <v>361</v>
      </c>
      <c r="I11" s="392" t="s">
        <v>361</v>
      </c>
      <c r="J11" s="393" t="s">
        <v>55</v>
      </c>
    </row>
    <row r="12" spans="1:10" ht="14.4" customHeight="1" x14ac:dyDescent="0.3">
      <c r="A12" s="389" t="s">
        <v>364</v>
      </c>
      <c r="B12" s="390" t="s">
        <v>365</v>
      </c>
      <c r="C12" s="391" t="s">
        <v>361</v>
      </c>
      <c r="D12" s="391" t="s">
        <v>361</v>
      </c>
      <c r="E12" s="391"/>
      <c r="F12" s="391" t="s">
        <v>361</v>
      </c>
      <c r="G12" s="391" t="s">
        <v>361</v>
      </c>
      <c r="H12" s="391" t="s">
        <v>361</v>
      </c>
      <c r="I12" s="392" t="s">
        <v>361</v>
      </c>
      <c r="J12" s="393" t="s">
        <v>0</v>
      </c>
    </row>
    <row r="13" spans="1:10" ht="14.4" customHeight="1" x14ac:dyDescent="0.3">
      <c r="A13" s="389" t="s">
        <v>364</v>
      </c>
      <c r="B13" s="390" t="s">
        <v>385</v>
      </c>
      <c r="C13" s="391">
        <v>0</v>
      </c>
      <c r="D13" s="391" t="s">
        <v>361</v>
      </c>
      <c r="E13" s="391"/>
      <c r="F13" s="391" t="s">
        <v>361</v>
      </c>
      <c r="G13" s="391" t="s">
        <v>361</v>
      </c>
      <c r="H13" s="391" t="s">
        <v>361</v>
      </c>
      <c r="I13" s="392" t="s">
        <v>361</v>
      </c>
      <c r="J13" s="393" t="s">
        <v>1</v>
      </c>
    </row>
    <row r="14" spans="1:10" ht="14.4" customHeight="1" x14ac:dyDescent="0.3">
      <c r="A14" s="389" t="s">
        <v>364</v>
      </c>
      <c r="B14" s="390" t="s">
        <v>257</v>
      </c>
      <c r="C14" s="391" t="s">
        <v>361</v>
      </c>
      <c r="D14" s="391" t="s">
        <v>361</v>
      </c>
      <c r="E14" s="391"/>
      <c r="F14" s="391">
        <v>0.28936000000000001</v>
      </c>
      <c r="G14" s="391">
        <v>0</v>
      </c>
      <c r="H14" s="391">
        <v>0.28936000000000001</v>
      </c>
      <c r="I14" s="392" t="s">
        <v>361</v>
      </c>
      <c r="J14" s="393" t="s">
        <v>1</v>
      </c>
    </row>
    <row r="15" spans="1:10" ht="14.4" customHeight="1" x14ac:dyDescent="0.3">
      <c r="A15" s="389" t="s">
        <v>364</v>
      </c>
      <c r="B15" s="390" t="s">
        <v>258</v>
      </c>
      <c r="C15" s="391">
        <v>0.04</v>
      </c>
      <c r="D15" s="391">
        <v>0</v>
      </c>
      <c r="E15" s="391"/>
      <c r="F15" s="391">
        <v>0.72186000000000006</v>
      </c>
      <c r="G15" s="391">
        <v>0</v>
      </c>
      <c r="H15" s="391">
        <v>0.72186000000000006</v>
      </c>
      <c r="I15" s="392" t="s">
        <v>361</v>
      </c>
      <c r="J15" s="393" t="s">
        <v>1</v>
      </c>
    </row>
    <row r="16" spans="1:10" ht="14.4" customHeight="1" x14ac:dyDescent="0.3">
      <c r="A16" s="389" t="s">
        <v>364</v>
      </c>
      <c r="B16" s="390" t="s">
        <v>366</v>
      </c>
      <c r="C16" s="391">
        <v>0.04</v>
      </c>
      <c r="D16" s="391">
        <v>0</v>
      </c>
      <c r="E16" s="391"/>
      <c r="F16" s="391">
        <v>1.01122</v>
      </c>
      <c r="G16" s="391">
        <v>0</v>
      </c>
      <c r="H16" s="391">
        <v>1.01122</v>
      </c>
      <c r="I16" s="392" t="s">
        <v>361</v>
      </c>
      <c r="J16" s="393" t="s">
        <v>367</v>
      </c>
    </row>
    <row r="17" spans="1:10" ht="14.4" customHeight="1" x14ac:dyDescent="0.3">
      <c r="A17" s="389" t="s">
        <v>361</v>
      </c>
      <c r="B17" s="390" t="s">
        <v>361</v>
      </c>
      <c r="C17" s="391" t="s">
        <v>361</v>
      </c>
      <c r="D17" s="391" t="s">
        <v>361</v>
      </c>
      <c r="E17" s="391"/>
      <c r="F17" s="391" t="s">
        <v>361</v>
      </c>
      <c r="G17" s="391" t="s">
        <v>361</v>
      </c>
      <c r="H17" s="391" t="s">
        <v>361</v>
      </c>
      <c r="I17" s="392" t="s">
        <v>361</v>
      </c>
      <c r="J17" s="393" t="s">
        <v>368</v>
      </c>
    </row>
    <row r="18" spans="1:10" ht="14.4" customHeight="1" x14ac:dyDescent="0.3">
      <c r="A18" s="389" t="s">
        <v>359</v>
      </c>
      <c r="B18" s="390" t="s">
        <v>362</v>
      </c>
      <c r="C18" s="391">
        <v>0.04</v>
      </c>
      <c r="D18" s="391">
        <v>0</v>
      </c>
      <c r="E18" s="391"/>
      <c r="F18" s="391">
        <v>1.01122</v>
      </c>
      <c r="G18" s="391">
        <v>0</v>
      </c>
      <c r="H18" s="391">
        <v>1.01122</v>
      </c>
      <c r="I18" s="392" t="s">
        <v>361</v>
      </c>
      <c r="J18" s="393" t="s">
        <v>363</v>
      </c>
    </row>
  </sheetData>
  <mergeCells count="3">
    <mergeCell ref="A1:I1"/>
    <mergeCell ref="F3:I3"/>
    <mergeCell ref="C4:D4"/>
  </mergeCells>
  <conditionalFormatting sqref="F10 F19:F65537">
    <cfRule type="cellIs" dxfId="20" priority="18" stopIfTrue="1" operator="greaterThan">
      <formula>1</formula>
    </cfRule>
  </conditionalFormatting>
  <conditionalFormatting sqref="H5:H9">
    <cfRule type="expression" dxfId="19" priority="14">
      <formula>$H5&gt;0</formula>
    </cfRule>
  </conditionalFormatting>
  <conditionalFormatting sqref="I5:I9">
    <cfRule type="expression" dxfId="18" priority="15">
      <formula>$I5&gt;1</formula>
    </cfRule>
  </conditionalFormatting>
  <conditionalFormatting sqref="B5:B9">
    <cfRule type="expression" dxfId="17" priority="11">
      <formula>OR($J5="NS",$J5="SumaNS",$J5="Účet")</formula>
    </cfRule>
  </conditionalFormatting>
  <conditionalFormatting sqref="F5:I9 B5:D9">
    <cfRule type="expression" dxfId="16" priority="17">
      <formula>AND($J5&lt;&gt;"",$J5&lt;&gt;"mezeraKL")</formula>
    </cfRule>
  </conditionalFormatting>
  <conditionalFormatting sqref="B5:D9 F5:I9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4" priority="13">
      <formula>OR($J5="SumaNS",$J5="NS")</formula>
    </cfRule>
  </conditionalFormatting>
  <conditionalFormatting sqref="A5:A9">
    <cfRule type="expression" dxfId="13" priority="9">
      <formula>AND($J5&lt;&gt;"mezeraKL",$J5&lt;&gt;"")</formula>
    </cfRule>
  </conditionalFormatting>
  <conditionalFormatting sqref="A5:A9">
    <cfRule type="expression" dxfId="12" priority="10">
      <formula>AND($J5&lt;&gt;"",$J5&lt;&gt;"mezeraKL")</formula>
    </cfRule>
  </conditionalFormatting>
  <conditionalFormatting sqref="H11:H18">
    <cfRule type="expression" dxfId="11" priority="5">
      <formula>$H11&gt;0</formula>
    </cfRule>
  </conditionalFormatting>
  <conditionalFormatting sqref="A11:A18">
    <cfRule type="expression" dxfId="10" priority="2">
      <formula>AND($J11&lt;&gt;"mezeraKL",$J11&lt;&gt;"")</formula>
    </cfRule>
  </conditionalFormatting>
  <conditionalFormatting sqref="I11:I18">
    <cfRule type="expression" dxfId="9" priority="6">
      <formula>$I11&gt;1</formula>
    </cfRule>
  </conditionalFormatting>
  <conditionalFormatting sqref="B11:B18">
    <cfRule type="expression" dxfId="8" priority="1">
      <formula>OR($J11="NS",$J11="SumaNS",$J11="Účet")</formula>
    </cfRule>
  </conditionalFormatting>
  <conditionalFormatting sqref="A11:D18 F11:I18">
    <cfRule type="expression" dxfId="7" priority="8">
      <formula>AND($J11&lt;&gt;"",$J11&lt;&gt;"mezeraKL")</formula>
    </cfRule>
  </conditionalFormatting>
  <conditionalFormatting sqref="B11:D18 F11:I18">
    <cfRule type="expression" dxfId="6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5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424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16.853666666666665</v>
      </c>
      <c r="J3" s="74">
        <f>SUBTOTAL(9,J5:J1048576)</f>
        <v>60</v>
      </c>
      <c r="K3" s="75">
        <f>SUBTOTAL(9,K5:K1048576)</f>
        <v>1011.22</v>
      </c>
    </row>
    <row r="4" spans="1:11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399" t="s">
        <v>359</v>
      </c>
      <c r="B5" s="400" t="s">
        <v>360</v>
      </c>
      <c r="C5" s="401" t="s">
        <v>364</v>
      </c>
      <c r="D5" s="402" t="s">
        <v>381</v>
      </c>
      <c r="E5" s="401" t="s">
        <v>420</v>
      </c>
      <c r="F5" s="402" t="s">
        <v>421</v>
      </c>
      <c r="G5" s="401" t="s">
        <v>386</v>
      </c>
      <c r="H5" s="401" t="s">
        <v>387</v>
      </c>
      <c r="I5" s="403">
        <v>11.41</v>
      </c>
      <c r="J5" s="403">
        <v>2</v>
      </c>
      <c r="K5" s="404">
        <v>22.82</v>
      </c>
    </row>
    <row r="6" spans="1:11" ht="14.4" customHeight="1" x14ac:dyDescent="0.3">
      <c r="A6" s="405" t="s">
        <v>359</v>
      </c>
      <c r="B6" s="406" t="s">
        <v>360</v>
      </c>
      <c r="C6" s="407" t="s">
        <v>364</v>
      </c>
      <c r="D6" s="408" t="s">
        <v>381</v>
      </c>
      <c r="E6" s="407" t="s">
        <v>420</v>
      </c>
      <c r="F6" s="408" t="s">
        <v>421</v>
      </c>
      <c r="G6" s="407" t="s">
        <v>388</v>
      </c>
      <c r="H6" s="407" t="s">
        <v>389</v>
      </c>
      <c r="I6" s="409">
        <v>9.76</v>
      </c>
      <c r="J6" s="409">
        <v>2</v>
      </c>
      <c r="K6" s="410">
        <v>19.52</v>
      </c>
    </row>
    <row r="7" spans="1:11" ht="14.4" customHeight="1" x14ac:dyDescent="0.3">
      <c r="A7" s="405" t="s">
        <v>359</v>
      </c>
      <c r="B7" s="406" t="s">
        <v>360</v>
      </c>
      <c r="C7" s="407" t="s">
        <v>364</v>
      </c>
      <c r="D7" s="408" t="s">
        <v>381</v>
      </c>
      <c r="E7" s="407" t="s">
        <v>420</v>
      </c>
      <c r="F7" s="408" t="s">
        <v>421</v>
      </c>
      <c r="G7" s="407" t="s">
        <v>390</v>
      </c>
      <c r="H7" s="407" t="s">
        <v>391</v>
      </c>
      <c r="I7" s="409">
        <v>14.8</v>
      </c>
      <c r="J7" s="409">
        <v>2</v>
      </c>
      <c r="K7" s="410">
        <v>29.6</v>
      </c>
    </row>
    <row r="8" spans="1:11" ht="14.4" customHeight="1" x14ac:dyDescent="0.3">
      <c r="A8" s="405" t="s">
        <v>359</v>
      </c>
      <c r="B8" s="406" t="s">
        <v>360</v>
      </c>
      <c r="C8" s="407" t="s">
        <v>364</v>
      </c>
      <c r="D8" s="408" t="s">
        <v>381</v>
      </c>
      <c r="E8" s="407" t="s">
        <v>420</v>
      </c>
      <c r="F8" s="408" t="s">
        <v>421</v>
      </c>
      <c r="G8" s="407" t="s">
        <v>392</v>
      </c>
      <c r="H8" s="407" t="s">
        <v>393</v>
      </c>
      <c r="I8" s="409">
        <v>13.02</v>
      </c>
      <c r="J8" s="409">
        <v>2</v>
      </c>
      <c r="K8" s="410">
        <v>26.04</v>
      </c>
    </row>
    <row r="9" spans="1:11" ht="14.4" customHeight="1" x14ac:dyDescent="0.3">
      <c r="A9" s="405" t="s">
        <v>359</v>
      </c>
      <c r="B9" s="406" t="s">
        <v>360</v>
      </c>
      <c r="C9" s="407" t="s">
        <v>364</v>
      </c>
      <c r="D9" s="408" t="s">
        <v>381</v>
      </c>
      <c r="E9" s="407" t="s">
        <v>420</v>
      </c>
      <c r="F9" s="408" t="s">
        <v>421</v>
      </c>
      <c r="G9" s="407" t="s">
        <v>394</v>
      </c>
      <c r="H9" s="407" t="s">
        <v>395</v>
      </c>
      <c r="I9" s="409">
        <v>1.17</v>
      </c>
      <c r="J9" s="409">
        <v>4</v>
      </c>
      <c r="K9" s="410">
        <v>4.68</v>
      </c>
    </row>
    <row r="10" spans="1:11" ht="14.4" customHeight="1" x14ac:dyDescent="0.3">
      <c r="A10" s="405" t="s">
        <v>359</v>
      </c>
      <c r="B10" s="406" t="s">
        <v>360</v>
      </c>
      <c r="C10" s="407" t="s">
        <v>364</v>
      </c>
      <c r="D10" s="408" t="s">
        <v>381</v>
      </c>
      <c r="E10" s="407" t="s">
        <v>420</v>
      </c>
      <c r="F10" s="408" t="s">
        <v>421</v>
      </c>
      <c r="G10" s="407" t="s">
        <v>396</v>
      </c>
      <c r="H10" s="407" t="s">
        <v>397</v>
      </c>
      <c r="I10" s="409">
        <v>0.31</v>
      </c>
      <c r="J10" s="409">
        <v>6</v>
      </c>
      <c r="K10" s="410">
        <v>1.86</v>
      </c>
    </row>
    <row r="11" spans="1:11" ht="14.4" customHeight="1" x14ac:dyDescent="0.3">
      <c r="A11" s="405" t="s">
        <v>359</v>
      </c>
      <c r="B11" s="406" t="s">
        <v>360</v>
      </c>
      <c r="C11" s="407" t="s">
        <v>364</v>
      </c>
      <c r="D11" s="408" t="s">
        <v>381</v>
      </c>
      <c r="E11" s="407" t="s">
        <v>420</v>
      </c>
      <c r="F11" s="408" t="s">
        <v>421</v>
      </c>
      <c r="G11" s="407" t="s">
        <v>398</v>
      </c>
      <c r="H11" s="407" t="s">
        <v>399</v>
      </c>
      <c r="I11" s="409">
        <v>11.74</v>
      </c>
      <c r="J11" s="409">
        <v>2</v>
      </c>
      <c r="K11" s="410">
        <v>23.48</v>
      </c>
    </row>
    <row r="12" spans="1:11" ht="14.4" customHeight="1" x14ac:dyDescent="0.3">
      <c r="A12" s="405" t="s">
        <v>359</v>
      </c>
      <c r="B12" s="406" t="s">
        <v>360</v>
      </c>
      <c r="C12" s="407" t="s">
        <v>364</v>
      </c>
      <c r="D12" s="408" t="s">
        <v>381</v>
      </c>
      <c r="E12" s="407" t="s">
        <v>420</v>
      </c>
      <c r="F12" s="408" t="s">
        <v>421</v>
      </c>
      <c r="G12" s="407" t="s">
        <v>400</v>
      </c>
      <c r="H12" s="407" t="s">
        <v>401</v>
      </c>
      <c r="I12" s="409">
        <v>14.09</v>
      </c>
      <c r="J12" s="409">
        <v>2</v>
      </c>
      <c r="K12" s="410">
        <v>28.18</v>
      </c>
    </row>
    <row r="13" spans="1:11" ht="14.4" customHeight="1" x14ac:dyDescent="0.3">
      <c r="A13" s="405" t="s">
        <v>359</v>
      </c>
      <c r="B13" s="406" t="s">
        <v>360</v>
      </c>
      <c r="C13" s="407" t="s">
        <v>364</v>
      </c>
      <c r="D13" s="408" t="s">
        <v>381</v>
      </c>
      <c r="E13" s="407" t="s">
        <v>420</v>
      </c>
      <c r="F13" s="408" t="s">
        <v>421</v>
      </c>
      <c r="G13" s="407" t="s">
        <v>402</v>
      </c>
      <c r="H13" s="407" t="s">
        <v>403</v>
      </c>
      <c r="I13" s="409">
        <v>7.1</v>
      </c>
      <c r="J13" s="409">
        <v>4</v>
      </c>
      <c r="K13" s="410">
        <v>28.4</v>
      </c>
    </row>
    <row r="14" spans="1:11" ht="14.4" customHeight="1" x14ac:dyDescent="0.3">
      <c r="A14" s="405" t="s">
        <v>359</v>
      </c>
      <c r="B14" s="406" t="s">
        <v>360</v>
      </c>
      <c r="C14" s="407" t="s">
        <v>364</v>
      </c>
      <c r="D14" s="408" t="s">
        <v>381</v>
      </c>
      <c r="E14" s="407" t="s">
        <v>420</v>
      </c>
      <c r="F14" s="408" t="s">
        <v>421</v>
      </c>
      <c r="G14" s="407" t="s">
        <v>404</v>
      </c>
      <c r="H14" s="407" t="s">
        <v>405</v>
      </c>
      <c r="I14" s="409">
        <v>9.41</v>
      </c>
      <c r="J14" s="409">
        <v>2</v>
      </c>
      <c r="K14" s="410">
        <v>18.82</v>
      </c>
    </row>
    <row r="15" spans="1:11" ht="14.4" customHeight="1" x14ac:dyDescent="0.3">
      <c r="A15" s="405" t="s">
        <v>359</v>
      </c>
      <c r="B15" s="406" t="s">
        <v>360</v>
      </c>
      <c r="C15" s="407" t="s">
        <v>364</v>
      </c>
      <c r="D15" s="408" t="s">
        <v>381</v>
      </c>
      <c r="E15" s="407" t="s">
        <v>420</v>
      </c>
      <c r="F15" s="408" t="s">
        <v>421</v>
      </c>
      <c r="G15" s="407" t="s">
        <v>406</v>
      </c>
      <c r="H15" s="407" t="s">
        <v>407</v>
      </c>
      <c r="I15" s="409">
        <v>8.2799999999999994</v>
      </c>
      <c r="J15" s="409">
        <v>2</v>
      </c>
      <c r="K15" s="410">
        <v>16.559999999999999</v>
      </c>
    </row>
    <row r="16" spans="1:11" ht="14.4" customHeight="1" x14ac:dyDescent="0.3">
      <c r="A16" s="405" t="s">
        <v>359</v>
      </c>
      <c r="B16" s="406" t="s">
        <v>360</v>
      </c>
      <c r="C16" s="407" t="s">
        <v>364</v>
      </c>
      <c r="D16" s="408" t="s">
        <v>381</v>
      </c>
      <c r="E16" s="407" t="s">
        <v>420</v>
      </c>
      <c r="F16" s="408" t="s">
        <v>421</v>
      </c>
      <c r="G16" s="407" t="s">
        <v>408</v>
      </c>
      <c r="H16" s="407" t="s">
        <v>409</v>
      </c>
      <c r="I16" s="409">
        <v>5.92</v>
      </c>
      <c r="J16" s="409">
        <v>4</v>
      </c>
      <c r="K16" s="410">
        <v>23.68</v>
      </c>
    </row>
    <row r="17" spans="1:11" ht="14.4" customHeight="1" x14ac:dyDescent="0.3">
      <c r="A17" s="405" t="s">
        <v>359</v>
      </c>
      <c r="B17" s="406" t="s">
        <v>360</v>
      </c>
      <c r="C17" s="407" t="s">
        <v>364</v>
      </c>
      <c r="D17" s="408" t="s">
        <v>381</v>
      </c>
      <c r="E17" s="407" t="s">
        <v>420</v>
      </c>
      <c r="F17" s="408" t="s">
        <v>421</v>
      </c>
      <c r="G17" s="407" t="s">
        <v>410</v>
      </c>
      <c r="H17" s="407" t="s">
        <v>411</v>
      </c>
      <c r="I17" s="409">
        <v>2.54</v>
      </c>
      <c r="J17" s="409">
        <v>18</v>
      </c>
      <c r="K17" s="410">
        <v>45.72</v>
      </c>
    </row>
    <row r="18" spans="1:11" ht="14.4" customHeight="1" x14ac:dyDescent="0.3">
      <c r="A18" s="405" t="s">
        <v>359</v>
      </c>
      <c r="B18" s="406" t="s">
        <v>360</v>
      </c>
      <c r="C18" s="407" t="s">
        <v>364</v>
      </c>
      <c r="D18" s="408" t="s">
        <v>381</v>
      </c>
      <c r="E18" s="407" t="s">
        <v>422</v>
      </c>
      <c r="F18" s="408" t="s">
        <v>423</v>
      </c>
      <c r="G18" s="407" t="s">
        <v>412</v>
      </c>
      <c r="H18" s="407" t="s">
        <v>413</v>
      </c>
      <c r="I18" s="409">
        <v>68.53</v>
      </c>
      <c r="J18" s="409">
        <v>2</v>
      </c>
      <c r="K18" s="410">
        <v>137.06</v>
      </c>
    </row>
    <row r="19" spans="1:11" ht="14.4" customHeight="1" x14ac:dyDescent="0.3">
      <c r="A19" s="405" t="s">
        <v>359</v>
      </c>
      <c r="B19" s="406" t="s">
        <v>360</v>
      </c>
      <c r="C19" s="407" t="s">
        <v>364</v>
      </c>
      <c r="D19" s="408" t="s">
        <v>381</v>
      </c>
      <c r="E19" s="407" t="s">
        <v>422</v>
      </c>
      <c r="F19" s="408" t="s">
        <v>423</v>
      </c>
      <c r="G19" s="407" t="s">
        <v>414</v>
      </c>
      <c r="H19" s="407" t="s">
        <v>415</v>
      </c>
      <c r="I19" s="409">
        <v>94.38</v>
      </c>
      <c r="J19" s="409">
        <v>2</v>
      </c>
      <c r="K19" s="410">
        <v>188.76</v>
      </c>
    </row>
    <row r="20" spans="1:11" ht="14.4" customHeight="1" x14ac:dyDescent="0.3">
      <c r="A20" s="405" t="s">
        <v>359</v>
      </c>
      <c r="B20" s="406" t="s">
        <v>360</v>
      </c>
      <c r="C20" s="407" t="s">
        <v>364</v>
      </c>
      <c r="D20" s="408" t="s">
        <v>381</v>
      </c>
      <c r="E20" s="407" t="s">
        <v>422</v>
      </c>
      <c r="F20" s="408" t="s">
        <v>423</v>
      </c>
      <c r="G20" s="407" t="s">
        <v>416</v>
      </c>
      <c r="H20" s="407" t="s">
        <v>417</v>
      </c>
      <c r="I20" s="409">
        <v>33.880000000000003</v>
      </c>
      <c r="J20" s="409">
        <v>2</v>
      </c>
      <c r="K20" s="410">
        <v>67.760000000000005</v>
      </c>
    </row>
    <row r="21" spans="1:11" ht="14.4" customHeight="1" thickBot="1" x14ac:dyDescent="0.35">
      <c r="A21" s="411" t="s">
        <v>359</v>
      </c>
      <c r="B21" s="412" t="s">
        <v>360</v>
      </c>
      <c r="C21" s="413" t="s">
        <v>364</v>
      </c>
      <c r="D21" s="414" t="s">
        <v>381</v>
      </c>
      <c r="E21" s="413" t="s">
        <v>422</v>
      </c>
      <c r="F21" s="414" t="s">
        <v>423</v>
      </c>
      <c r="G21" s="413" t="s">
        <v>418</v>
      </c>
      <c r="H21" s="413" t="s">
        <v>419</v>
      </c>
      <c r="I21" s="415">
        <v>164.14</v>
      </c>
      <c r="J21" s="415">
        <v>2</v>
      </c>
      <c r="K21" s="416">
        <v>328.28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8" width="13.109375" hidden="1" customWidth="1"/>
    <col min="19" max="19" width="13.109375" customWidth="1"/>
    <col min="20" max="33" width="13.109375" hidden="1" customWidth="1"/>
    <col min="34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5">
        <v>930</v>
      </c>
      <c r="AI3" s="461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6" t="s">
        <v>172</v>
      </c>
      <c r="AI4" s="461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7"/>
      <c r="AI5" s="461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5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0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5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0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0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0</v>
      </c>
      <c r="AH6" s="448">
        <f xml:space="preserve">
TRUNC(IF($A$4&lt;=12,SUMIFS('ON Data'!AN:AN,'ON Data'!$D:$D,$A$4,'ON Data'!$E:$E,1),SUMIFS('ON Data'!AN:AN,'ON Data'!$E:$E,1)/'ON Data'!$D$3),1)</f>
        <v>0</v>
      </c>
      <c r="AI6" s="461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8"/>
      <c r="AI7" s="461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8"/>
      <c r="AI8" s="461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49"/>
      <c r="AI9" s="461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0"/>
      <c r="AI10" s="461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7656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0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7656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0</v>
      </c>
      <c r="V11" s="231">
        <f xml:space="preserve">
IF($A$4&lt;=12,SUMIFS('ON Data'!AA:AA,'ON Data'!$D:$D,$A$4,'ON Data'!$E:$E,2),SUMIFS('ON Data'!AA:AA,'ON Data'!$E:$E,2))</f>
        <v>0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0</v>
      </c>
      <c r="AH11" s="451">
        <f xml:space="preserve">
IF($A$4&lt;=12,SUMIFS('ON Data'!AN:AN,'ON Data'!$D:$D,$A$4,'ON Data'!$E:$E,2),SUMIFS('ON Data'!AN:AN,'ON Data'!$E:$E,2))</f>
        <v>0</v>
      </c>
      <c r="AI11" s="461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0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1">
        <f xml:space="preserve">
IF($A$4&lt;=12,SUMIFS('ON Data'!AN:AN,'ON Data'!$D:$D,$A$4,'ON Data'!$E:$E,3),SUMIFS('ON Data'!AN:AN,'ON Data'!$E:$E,3))</f>
        <v>0</v>
      </c>
      <c r="AI12" s="461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0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1">
        <f xml:space="preserve">
IF($A$4&lt;=12,SUMIFS('ON Data'!AN:AN,'ON Data'!$D:$D,$A$4,'ON Data'!$E:$E,4),SUMIFS('ON Data'!AN:AN,'ON Data'!$E:$E,4))</f>
        <v>0</v>
      </c>
      <c r="AI13" s="461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0</v>
      </c>
      <c r="C14" s="233">
        <f xml:space="preserve">
IF($A$4&lt;=12,SUMIFS('ON Data'!G:G,'ON Data'!$D:$D,$A$4,'ON Data'!$E:$E,5),SUMIFS('ON Data'!G:G,'ON Data'!$E:$E,5))</f>
        <v>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2">
        <f xml:space="preserve">
IF($A$4&lt;=12,SUMIFS('ON Data'!AN:AN,'ON Data'!$D:$D,$A$4,'ON Data'!$E:$E,5),SUMIFS('ON Data'!AN:AN,'ON Data'!$E:$E,5))</f>
        <v>0</v>
      </c>
      <c r="AI14" s="461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3"/>
      <c r="AI15" s="461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1">
        <f xml:space="preserve">
IF($A$4&lt;=12,SUMIFS('ON Data'!AN:AN,'ON Data'!$D:$D,$A$4,'ON Data'!$E:$E,7),SUMIFS('ON Data'!AN:AN,'ON Data'!$E:$E,7))</f>
        <v>0</v>
      </c>
      <c r="AI16" s="461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1">
        <f xml:space="preserve">
IF($A$4&lt;=12,SUMIFS('ON Data'!AN:AN,'ON Data'!$D:$D,$A$4,'ON Data'!$E:$E,8),SUMIFS('ON Data'!AN:AN,'ON Data'!$E:$E,8))</f>
        <v>0</v>
      </c>
      <c r="AI17" s="461"/>
    </row>
    <row r="18" spans="1:35" x14ac:dyDescent="0.3">
      <c r="A18" s="214" t="s">
        <v>162</v>
      </c>
      <c r="B18" s="229">
        <f xml:space="preserve">
B19-B16-B17</f>
        <v>189845</v>
      </c>
      <c r="C18" s="230">
        <f t="shared" ref="C18:G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0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189845</v>
      </c>
      <c r="T18" s="231">
        <f t="shared" si="1"/>
        <v>0</v>
      </c>
      <c r="U18" s="231">
        <f t="shared" si="1"/>
        <v>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0</v>
      </c>
      <c r="AE18" s="231">
        <f t="shared" si="1"/>
        <v>0</v>
      </c>
      <c r="AF18" s="231">
        <f t="shared" si="1"/>
        <v>0</v>
      </c>
      <c r="AG18" s="231">
        <f t="shared" si="1"/>
        <v>0</v>
      </c>
      <c r="AH18" s="451">
        <f t="shared" si="1"/>
        <v>0</v>
      </c>
      <c r="AI18" s="461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189845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0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189845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0</v>
      </c>
      <c r="AH19" s="454">
        <f xml:space="preserve">
IF($A$4&lt;=12,SUMIFS('ON Data'!AN:AN,'ON Data'!$D:$D,$A$4,'ON Data'!$E:$E,9),SUMIFS('ON Data'!AN:AN,'ON Data'!$E:$E,9))</f>
        <v>0</v>
      </c>
      <c r="AI19" s="461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2000654</v>
      </c>
      <c r="C20" s="242">
        <f xml:space="preserve">
IF($A$4&lt;=12,SUMIFS('ON Data'!G:G,'ON Data'!$D:$D,$A$4,'ON Data'!$E:$E,6),SUMIFS('ON Data'!G:G,'ON Data'!$E:$E,6))</f>
        <v>0</v>
      </c>
      <c r="D20" s="243">
        <f xml:space="preserve">
IF($A$4&lt;=12,SUMIFS('ON Data'!H:H,'ON Data'!$D:$D,$A$4,'ON Data'!$E:$E,6),SUMIFS('ON Data'!H:H,'ON Data'!$E:$E,6))</f>
        <v>0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0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1967557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0</v>
      </c>
      <c r="V20" s="243">
        <f xml:space="preserve">
IF($A$4&lt;=12,SUMIFS('ON Data'!AA:AA,'ON Data'!$D:$D,$A$4,'ON Data'!$E:$E,6),SUMIFS('ON Data'!AA:AA,'ON Data'!$E:$E,6))</f>
        <v>0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0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0</v>
      </c>
      <c r="AH20" s="455">
        <f xml:space="preserve">
IF($A$4&lt;=12,SUMIFS('ON Data'!AN:AN,'ON Data'!$D:$D,$A$4,'ON Data'!$E:$E,6),SUMIFS('ON Data'!AN:AN,'ON Data'!$E:$E,6))</f>
        <v>33097</v>
      </c>
      <c r="AI20" s="461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1">
        <f xml:space="preserve">
IF($A$4&lt;=12,SUMIFS('ON Data'!AN:AN,'ON Data'!$D:$D,$A$4,'ON Data'!$E:$E,12),SUMIFS('ON Data'!AN:AN,'ON Data'!$E:$E,12))</f>
        <v>0</v>
      </c>
      <c r="AI21" s="461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6" t="str">
        <f t="shared" si="3"/>
        <v/>
      </c>
      <c r="AI22" s="461"/>
    </row>
    <row r="23" spans="1:35" ht="15" hidden="1" outlineLevel="1" thickBot="1" x14ac:dyDescent="0.35">
      <c r="A23" s="217" t="s">
        <v>54</v>
      </c>
      <c r="B23" s="232">
        <f xml:space="preserve">
IF(B21="","",B20-B21)</f>
        <v>2000654</v>
      </c>
      <c r="C23" s="233">
        <f t="shared" ref="C23:G23" si="4" xml:space="preserve">
IF(C21="","",C20-C21)</f>
        <v>0</v>
      </c>
      <c r="D23" s="234">
        <f t="shared" si="4"/>
        <v>0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0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1967557</v>
      </c>
      <c r="T23" s="234">
        <f t="shared" si="5"/>
        <v>0</v>
      </c>
      <c r="U23" s="234">
        <f t="shared" si="5"/>
        <v>0</v>
      </c>
      <c r="V23" s="234">
        <f t="shared" si="5"/>
        <v>0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0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0</v>
      </c>
      <c r="AE23" s="234">
        <f t="shared" si="5"/>
        <v>0</v>
      </c>
      <c r="AF23" s="234">
        <f t="shared" si="5"/>
        <v>0</v>
      </c>
      <c r="AG23" s="234">
        <f t="shared" si="5"/>
        <v>0</v>
      </c>
      <c r="AH23" s="452">
        <f t="shared" si="5"/>
        <v>33097</v>
      </c>
      <c r="AI23" s="461"/>
    </row>
    <row r="24" spans="1:35" x14ac:dyDescent="0.3">
      <c r="A24" s="211" t="s">
        <v>164</v>
      </c>
      <c r="B24" s="258" t="s">
        <v>3</v>
      </c>
      <c r="C24" s="462" t="s">
        <v>175</v>
      </c>
      <c r="D24" s="436"/>
      <c r="E24" s="437"/>
      <c r="F24" s="437" t="s">
        <v>176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57" t="s">
        <v>177</v>
      </c>
      <c r="AI24" s="461"/>
    </row>
    <row r="25" spans="1:35" x14ac:dyDescent="0.3">
      <c r="A25" s="212" t="s">
        <v>59</v>
      </c>
      <c r="B25" s="229">
        <f xml:space="preserve">
SUM(C25:AH25)</f>
        <v>2250</v>
      </c>
      <c r="C25" s="463">
        <f xml:space="preserve">
IF($A$4&lt;=12,SUMIFS('ON Data'!H:H,'ON Data'!$D:$D,$A$4,'ON Data'!$E:$E,10),SUMIFS('ON Data'!H:H,'ON Data'!$E:$E,10))</f>
        <v>0</v>
      </c>
      <c r="D25" s="438"/>
      <c r="E25" s="439"/>
      <c r="F25" s="439">
        <f xml:space="preserve">
IF($A$4&lt;=12,SUMIFS('ON Data'!K:K,'ON Data'!$D:$D,$A$4,'ON Data'!$E:$E,10),SUMIFS('ON Data'!K:K,'ON Data'!$E:$E,10))</f>
        <v>2250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58">
        <f xml:space="preserve">
IF($A$4&lt;=12,SUMIFS('ON Data'!AN:AN,'ON Data'!$D:$D,$A$4,'ON Data'!$E:$E,10),SUMIFS('ON Data'!AN:AN,'ON Data'!$E:$E,10))</f>
        <v>0</v>
      </c>
      <c r="AI25" s="461"/>
    </row>
    <row r="26" spans="1:35" x14ac:dyDescent="0.3">
      <c r="A26" s="218" t="s">
        <v>174</v>
      </c>
      <c r="B26" s="238">
        <f xml:space="preserve">
SUM(C26:AH26)</f>
        <v>8333.3333333333321</v>
      </c>
      <c r="C26" s="463">
        <f xml:space="preserve">
IF($A$4&lt;=12,SUMIFS('ON Data'!H:H,'ON Data'!$D:$D,$A$4,'ON Data'!$E:$E,11),SUMIFS('ON Data'!H:H,'ON Data'!$E:$E,11))</f>
        <v>0</v>
      </c>
      <c r="D26" s="438"/>
      <c r="E26" s="439"/>
      <c r="F26" s="440">
        <f xml:space="preserve">
IF($A$4&lt;=12,SUMIFS('ON Data'!K:K,'ON Data'!$D:$D,$A$4,'ON Data'!$E:$E,11),SUMIFS('ON Data'!K:K,'ON Data'!$E:$E,11))</f>
        <v>8333.3333333333321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58">
        <f xml:space="preserve">
IF($A$4&lt;=12,SUMIFS('ON Data'!AN:AN,'ON Data'!$D:$D,$A$4,'ON Data'!$E:$E,11),SUMIFS('ON Data'!AN:AN,'ON Data'!$E:$E,11))</f>
        <v>0</v>
      </c>
      <c r="AI26" s="461"/>
    </row>
    <row r="27" spans="1:35" x14ac:dyDescent="0.3">
      <c r="A27" s="218" t="s">
        <v>61</v>
      </c>
      <c r="B27" s="259">
        <f xml:space="preserve">
IF(B26=0,0,B25/B26)</f>
        <v>0.27</v>
      </c>
      <c r="C27" s="464">
        <f xml:space="preserve">
IF(C26=0,0,C25/C26)</f>
        <v>0</v>
      </c>
      <c r="D27" s="441"/>
      <c r="E27" s="442"/>
      <c r="F27" s="442">
        <f xml:space="preserve">
IF(F26=0,0,F25/F26)</f>
        <v>0.27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59">
        <f xml:space="preserve">
IF(AH26=0,0,AH25/AH26)</f>
        <v>0</v>
      </c>
      <c r="AI27" s="461"/>
    </row>
    <row r="28" spans="1:35" ht="15" thickBot="1" x14ac:dyDescent="0.35">
      <c r="A28" s="218" t="s">
        <v>173</v>
      </c>
      <c r="B28" s="238">
        <f xml:space="preserve">
SUM(C28:AH28)</f>
        <v>6083.3333333333321</v>
      </c>
      <c r="C28" s="465">
        <f xml:space="preserve">
C26-C25</f>
        <v>0</v>
      </c>
      <c r="D28" s="443"/>
      <c r="E28" s="444"/>
      <c r="F28" s="444">
        <f xml:space="preserve">
F26-F25</f>
        <v>6083.3333333333321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60">
        <f xml:space="preserve">
AH26-AH25</f>
        <v>0</v>
      </c>
      <c r="AI28" s="461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7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425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10</v>
      </c>
      <c r="F3" s="199">
        <f>SUMIF($E5:$E1048576,"&lt;10",F5:F1048576)</f>
        <v>2198205</v>
      </c>
      <c r="G3" s="199">
        <f t="shared" ref="G3:AO3" si="0">SUMIF($E5:$E1048576,"&lt;10",G5:G1048576)</f>
        <v>0</v>
      </c>
      <c r="H3" s="199">
        <f t="shared" si="0"/>
        <v>0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2165108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33097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36</v>
      </c>
      <c r="D5" s="198">
        <v>1</v>
      </c>
      <c r="E5" s="198">
        <v>1</v>
      </c>
      <c r="F5" s="198">
        <v>5</v>
      </c>
      <c r="G5" s="198">
        <v>0</v>
      </c>
      <c r="H5" s="198">
        <v>0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5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0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36</v>
      </c>
      <c r="D6" s="198">
        <v>1</v>
      </c>
      <c r="E6" s="198">
        <v>2</v>
      </c>
      <c r="F6" s="198">
        <v>880</v>
      </c>
      <c r="G6" s="198">
        <v>0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880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0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36</v>
      </c>
      <c r="D7" s="198">
        <v>1</v>
      </c>
      <c r="E7" s="198">
        <v>6</v>
      </c>
      <c r="F7" s="198">
        <v>187860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184500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3360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36</v>
      </c>
      <c r="D8" s="198">
        <v>1</v>
      </c>
      <c r="E8" s="198">
        <v>11</v>
      </c>
      <c r="F8" s="198">
        <v>833.33333333333337</v>
      </c>
      <c r="G8" s="198">
        <v>0</v>
      </c>
      <c r="H8" s="198">
        <v>0</v>
      </c>
      <c r="I8" s="198">
        <v>0</v>
      </c>
      <c r="J8" s="198">
        <v>0</v>
      </c>
      <c r="K8" s="198">
        <v>833.33333333333337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36</v>
      </c>
      <c r="D9" s="198">
        <v>2</v>
      </c>
      <c r="E9" s="198">
        <v>1</v>
      </c>
      <c r="F9" s="198">
        <v>5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5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36</v>
      </c>
      <c r="D10" s="198">
        <v>2</v>
      </c>
      <c r="E10" s="198">
        <v>2</v>
      </c>
      <c r="F10" s="198">
        <v>736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736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36</v>
      </c>
      <c r="D11" s="198">
        <v>2</v>
      </c>
      <c r="E11" s="198">
        <v>6</v>
      </c>
      <c r="F11" s="198">
        <v>187424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183912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3512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36</v>
      </c>
      <c r="D12" s="198">
        <v>2</v>
      </c>
      <c r="E12" s="198">
        <v>10</v>
      </c>
      <c r="F12" s="198">
        <v>2250</v>
      </c>
      <c r="G12" s="198">
        <v>0</v>
      </c>
      <c r="H12" s="198">
        <v>0</v>
      </c>
      <c r="I12" s="198">
        <v>0</v>
      </c>
      <c r="J12" s="198">
        <v>0</v>
      </c>
      <c r="K12" s="198">
        <v>2250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36</v>
      </c>
      <c r="D13" s="198">
        <v>2</v>
      </c>
      <c r="E13" s="198">
        <v>11</v>
      </c>
      <c r="F13" s="198">
        <v>833.33333333333337</v>
      </c>
      <c r="G13" s="198">
        <v>0</v>
      </c>
      <c r="H13" s="198">
        <v>0</v>
      </c>
      <c r="I13" s="198">
        <v>0</v>
      </c>
      <c r="J13" s="198">
        <v>0</v>
      </c>
      <c r="K13" s="198">
        <v>833.33333333333337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36</v>
      </c>
      <c r="D14" s="198">
        <v>3</v>
      </c>
      <c r="E14" s="198">
        <v>1</v>
      </c>
      <c r="F14" s="198">
        <v>5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5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36</v>
      </c>
      <c r="D15" s="198">
        <v>3</v>
      </c>
      <c r="E15" s="198">
        <v>2</v>
      </c>
      <c r="F15" s="198">
        <v>800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800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36</v>
      </c>
      <c r="D16" s="198">
        <v>3</v>
      </c>
      <c r="E16" s="198">
        <v>6</v>
      </c>
      <c r="F16" s="198">
        <v>176492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172796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3696</v>
      </c>
      <c r="AO16" s="198">
        <v>0</v>
      </c>
    </row>
    <row r="17" spans="3:41" x14ac:dyDescent="0.3">
      <c r="C17" s="198">
        <v>36</v>
      </c>
      <c r="D17" s="198">
        <v>3</v>
      </c>
      <c r="E17" s="198">
        <v>11</v>
      </c>
      <c r="F17" s="198">
        <v>833.33333333333337</v>
      </c>
      <c r="G17" s="198">
        <v>0</v>
      </c>
      <c r="H17" s="198">
        <v>0</v>
      </c>
      <c r="I17" s="198">
        <v>0</v>
      </c>
      <c r="J17" s="198">
        <v>0</v>
      </c>
      <c r="K17" s="198">
        <v>833.33333333333337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36</v>
      </c>
      <c r="D18" s="198">
        <v>4</v>
      </c>
      <c r="E18" s="198">
        <v>1</v>
      </c>
      <c r="F18" s="198">
        <v>5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5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36</v>
      </c>
      <c r="D19" s="198">
        <v>4</v>
      </c>
      <c r="E19" s="198">
        <v>2</v>
      </c>
      <c r="F19" s="198">
        <v>848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848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</row>
    <row r="20" spans="3:41" x14ac:dyDescent="0.3">
      <c r="C20" s="198">
        <v>36</v>
      </c>
      <c r="D20" s="198">
        <v>4</v>
      </c>
      <c r="E20" s="198">
        <v>6</v>
      </c>
      <c r="F20" s="198">
        <v>188568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185040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3528</v>
      </c>
      <c r="AO20" s="198">
        <v>0</v>
      </c>
    </row>
    <row r="21" spans="3:41" x14ac:dyDescent="0.3">
      <c r="C21" s="198">
        <v>36</v>
      </c>
      <c r="D21" s="198">
        <v>4</v>
      </c>
      <c r="E21" s="198">
        <v>11</v>
      </c>
      <c r="F21" s="198">
        <v>833.33333333333337</v>
      </c>
      <c r="G21" s="198">
        <v>0</v>
      </c>
      <c r="H21" s="198">
        <v>0</v>
      </c>
      <c r="I21" s="198">
        <v>0</v>
      </c>
      <c r="J21" s="198">
        <v>0</v>
      </c>
      <c r="K21" s="198">
        <v>833.33333333333337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36</v>
      </c>
      <c r="D22" s="198">
        <v>5</v>
      </c>
      <c r="E22" s="198">
        <v>1</v>
      </c>
      <c r="F22" s="198">
        <v>5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5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36</v>
      </c>
      <c r="D23" s="198">
        <v>5</v>
      </c>
      <c r="E23" s="198">
        <v>2</v>
      </c>
      <c r="F23" s="198">
        <v>696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696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36</v>
      </c>
      <c r="D24" s="198">
        <v>5</v>
      </c>
      <c r="E24" s="198">
        <v>6</v>
      </c>
      <c r="F24" s="198">
        <v>157774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154254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3520</v>
      </c>
      <c r="AO24" s="198">
        <v>0</v>
      </c>
    </row>
    <row r="25" spans="3:41" x14ac:dyDescent="0.3">
      <c r="C25" s="198">
        <v>36</v>
      </c>
      <c r="D25" s="198">
        <v>5</v>
      </c>
      <c r="E25" s="198">
        <v>11</v>
      </c>
      <c r="F25" s="198">
        <v>833.33333333333337</v>
      </c>
      <c r="G25" s="198">
        <v>0</v>
      </c>
      <c r="H25" s="198">
        <v>0</v>
      </c>
      <c r="I25" s="198">
        <v>0</v>
      </c>
      <c r="J25" s="198">
        <v>0</v>
      </c>
      <c r="K25" s="198">
        <v>833.33333333333337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</row>
    <row r="26" spans="3:41" x14ac:dyDescent="0.3">
      <c r="C26" s="198">
        <v>36</v>
      </c>
      <c r="D26" s="198">
        <v>6</v>
      </c>
      <c r="E26" s="198">
        <v>1</v>
      </c>
      <c r="F26" s="198">
        <v>5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5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36</v>
      </c>
      <c r="D27" s="198">
        <v>6</v>
      </c>
      <c r="E27" s="198">
        <v>2</v>
      </c>
      <c r="F27" s="198">
        <v>720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720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36</v>
      </c>
      <c r="D28" s="198">
        <v>6</v>
      </c>
      <c r="E28" s="198">
        <v>6</v>
      </c>
      <c r="F28" s="198">
        <v>267997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264469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3528</v>
      </c>
      <c r="AO28" s="198">
        <v>0</v>
      </c>
    </row>
    <row r="29" spans="3:41" x14ac:dyDescent="0.3">
      <c r="C29" s="198">
        <v>36</v>
      </c>
      <c r="D29" s="198">
        <v>6</v>
      </c>
      <c r="E29" s="198">
        <v>9</v>
      </c>
      <c r="F29" s="198">
        <v>110000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110000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</row>
    <row r="30" spans="3:41" x14ac:dyDescent="0.3">
      <c r="C30" s="198">
        <v>36</v>
      </c>
      <c r="D30" s="198">
        <v>6</v>
      </c>
      <c r="E30" s="198">
        <v>11</v>
      </c>
      <c r="F30" s="198">
        <v>833.33333333333337</v>
      </c>
      <c r="G30" s="198">
        <v>0</v>
      </c>
      <c r="H30" s="198">
        <v>0</v>
      </c>
      <c r="I30" s="198">
        <v>0</v>
      </c>
      <c r="J30" s="198">
        <v>0</v>
      </c>
      <c r="K30" s="198">
        <v>833.33333333333337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36</v>
      </c>
      <c r="D31" s="198">
        <v>7</v>
      </c>
      <c r="E31" s="198">
        <v>1</v>
      </c>
      <c r="F31" s="198">
        <v>5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5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</row>
    <row r="32" spans="3:41" x14ac:dyDescent="0.3">
      <c r="C32" s="198">
        <v>36</v>
      </c>
      <c r="D32" s="198">
        <v>7</v>
      </c>
      <c r="E32" s="198">
        <v>2</v>
      </c>
      <c r="F32" s="198">
        <v>752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752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</row>
    <row r="33" spans="3:41" x14ac:dyDescent="0.3">
      <c r="C33" s="198">
        <v>36</v>
      </c>
      <c r="D33" s="198">
        <v>7</v>
      </c>
      <c r="E33" s="198">
        <v>6</v>
      </c>
      <c r="F33" s="198">
        <v>268327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266078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2249</v>
      </c>
      <c r="AO33" s="198">
        <v>0</v>
      </c>
    </row>
    <row r="34" spans="3:41" x14ac:dyDescent="0.3">
      <c r="C34" s="198">
        <v>36</v>
      </c>
      <c r="D34" s="198">
        <v>7</v>
      </c>
      <c r="E34" s="198">
        <v>9</v>
      </c>
      <c r="F34" s="198">
        <v>79845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79845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</row>
    <row r="35" spans="3:41" x14ac:dyDescent="0.3">
      <c r="C35" s="198">
        <v>36</v>
      </c>
      <c r="D35" s="198">
        <v>7</v>
      </c>
      <c r="E35" s="198">
        <v>11</v>
      </c>
      <c r="F35" s="198">
        <v>833.33333333333337</v>
      </c>
      <c r="G35" s="198">
        <v>0</v>
      </c>
      <c r="H35" s="198">
        <v>0</v>
      </c>
      <c r="I35" s="198">
        <v>0</v>
      </c>
      <c r="J35" s="198">
        <v>0</v>
      </c>
      <c r="K35" s="198">
        <v>833.33333333333337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</row>
    <row r="36" spans="3:41" x14ac:dyDescent="0.3">
      <c r="C36" s="198">
        <v>36</v>
      </c>
      <c r="D36" s="198">
        <v>8</v>
      </c>
      <c r="E36" s="198">
        <v>1</v>
      </c>
      <c r="F36" s="198">
        <v>5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5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36</v>
      </c>
      <c r="D37" s="198">
        <v>8</v>
      </c>
      <c r="E37" s="198">
        <v>2</v>
      </c>
      <c r="F37" s="198">
        <v>640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640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36</v>
      </c>
      <c r="D38" s="198">
        <v>8</v>
      </c>
      <c r="E38" s="198">
        <v>6</v>
      </c>
      <c r="F38" s="198">
        <v>185975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183159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2816</v>
      </c>
      <c r="AO38" s="198">
        <v>0</v>
      </c>
    </row>
    <row r="39" spans="3:41" x14ac:dyDescent="0.3">
      <c r="C39" s="198">
        <v>36</v>
      </c>
      <c r="D39" s="198">
        <v>8</v>
      </c>
      <c r="E39" s="198">
        <v>11</v>
      </c>
      <c r="F39" s="198">
        <v>833.33333333333337</v>
      </c>
      <c r="G39" s="198">
        <v>0</v>
      </c>
      <c r="H39" s="198">
        <v>0</v>
      </c>
      <c r="I39" s="198">
        <v>0</v>
      </c>
      <c r="J39" s="198">
        <v>0</v>
      </c>
      <c r="K39" s="198">
        <v>833.33333333333337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</row>
    <row r="40" spans="3:41" x14ac:dyDescent="0.3">
      <c r="C40" s="198">
        <v>36</v>
      </c>
      <c r="D40" s="198">
        <v>9</v>
      </c>
      <c r="E40" s="198">
        <v>1</v>
      </c>
      <c r="F40" s="198">
        <v>5</v>
      </c>
      <c r="G40" s="198">
        <v>0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5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</row>
    <row r="41" spans="3:41" x14ac:dyDescent="0.3">
      <c r="C41" s="198">
        <v>36</v>
      </c>
      <c r="D41" s="198">
        <v>9</v>
      </c>
      <c r="E41" s="198">
        <v>2</v>
      </c>
      <c r="F41" s="198">
        <v>824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824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36</v>
      </c>
      <c r="D42" s="198">
        <v>9</v>
      </c>
      <c r="E42" s="198">
        <v>6</v>
      </c>
      <c r="F42" s="198">
        <v>189081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185721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3360</v>
      </c>
      <c r="AO42" s="198">
        <v>0</v>
      </c>
    </row>
    <row r="43" spans="3:41" x14ac:dyDescent="0.3">
      <c r="C43" s="198">
        <v>36</v>
      </c>
      <c r="D43" s="198">
        <v>9</v>
      </c>
      <c r="E43" s="198">
        <v>11</v>
      </c>
      <c r="F43" s="198">
        <v>833.33333333333337</v>
      </c>
      <c r="G43" s="198">
        <v>0</v>
      </c>
      <c r="H43" s="198">
        <v>0</v>
      </c>
      <c r="I43" s="198">
        <v>0</v>
      </c>
      <c r="J43" s="198">
        <v>0</v>
      </c>
      <c r="K43" s="198">
        <v>833.33333333333337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</row>
    <row r="44" spans="3:41" x14ac:dyDescent="0.3">
      <c r="C44" s="198">
        <v>36</v>
      </c>
      <c r="D44" s="198">
        <v>10</v>
      </c>
      <c r="E44" s="198">
        <v>1</v>
      </c>
      <c r="F44" s="198">
        <v>5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5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</row>
    <row r="45" spans="3:41" x14ac:dyDescent="0.3">
      <c r="C45" s="198">
        <v>36</v>
      </c>
      <c r="D45" s="198">
        <v>10</v>
      </c>
      <c r="E45" s="198">
        <v>2</v>
      </c>
      <c r="F45" s="198">
        <v>760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760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</row>
    <row r="46" spans="3:41" x14ac:dyDescent="0.3">
      <c r="C46" s="198">
        <v>36</v>
      </c>
      <c r="D46" s="198">
        <v>10</v>
      </c>
      <c r="E46" s="198">
        <v>6</v>
      </c>
      <c r="F46" s="198">
        <v>191156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187628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3528</v>
      </c>
      <c r="AO46" s="198">
        <v>0</v>
      </c>
    </row>
    <row r="47" spans="3:41" x14ac:dyDescent="0.3">
      <c r="C47" s="198">
        <v>36</v>
      </c>
      <c r="D47" s="198">
        <v>10</v>
      </c>
      <c r="E47" s="198">
        <v>11</v>
      </c>
      <c r="F47" s="198">
        <v>833.33333333333337</v>
      </c>
      <c r="G47" s="198">
        <v>0</v>
      </c>
      <c r="H47" s="198">
        <v>0</v>
      </c>
      <c r="I47" s="198">
        <v>0</v>
      </c>
      <c r="J47" s="198">
        <v>0</v>
      </c>
      <c r="K47" s="198">
        <v>833.33333333333337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427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590095</v>
      </c>
      <c r="C3" s="190">
        <f t="shared" ref="C3:R3" si="0">SUBTOTAL(9,C6:C1048576)</f>
        <v>2</v>
      </c>
      <c r="D3" s="190">
        <f>SUBTOTAL(9,D6:D1048576)/2</f>
        <v>635316</v>
      </c>
      <c r="E3" s="190">
        <f t="shared" si="0"/>
        <v>2.1532668468636404</v>
      </c>
      <c r="F3" s="190">
        <f>SUBTOTAL(9,F6:F1048576)/2</f>
        <v>657562</v>
      </c>
      <c r="G3" s="191">
        <f>IF(B3&lt;&gt;0,F3/B3,"")</f>
        <v>1.1143324379972717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thickBot="1" x14ac:dyDescent="0.35">
      <c r="A6" s="472" t="s">
        <v>426</v>
      </c>
      <c r="B6" s="470">
        <v>590095</v>
      </c>
      <c r="C6" s="471">
        <v>1</v>
      </c>
      <c r="D6" s="470">
        <v>635316</v>
      </c>
      <c r="E6" s="471">
        <v>1.0766334234318202</v>
      </c>
      <c r="F6" s="470">
        <v>657562</v>
      </c>
      <c r="G6" s="270">
        <v>1.1143324379972717</v>
      </c>
      <c r="H6" s="470"/>
      <c r="I6" s="471"/>
      <c r="J6" s="470"/>
      <c r="K6" s="471"/>
      <c r="L6" s="470"/>
      <c r="M6" s="270"/>
      <c r="N6" s="470"/>
      <c r="O6" s="471"/>
      <c r="P6" s="470"/>
      <c r="Q6" s="471"/>
      <c r="R6" s="470"/>
      <c r="S6" s="271"/>
    </row>
    <row r="7" spans="1:19" ht="14.4" customHeight="1" thickBot="1" x14ac:dyDescent="0.35"/>
    <row r="8" spans="1:19" ht="14.4" customHeight="1" thickBot="1" x14ac:dyDescent="0.35">
      <c r="A8" s="472" t="s">
        <v>364</v>
      </c>
      <c r="B8" s="470">
        <v>590095</v>
      </c>
      <c r="C8" s="471">
        <v>1</v>
      </c>
      <c r="D8" s="470">
        <v>635316</v>
      </c>
      <c r="E8" s="471">
        <v>1.0766334234318202</v>
      </c>
      <c r="F8" s="470">
        <v>657562</v>
      </c>
      <c r="G8" s="270">
        <v>1.1143324379972717</v>
      </c>
      <c r="H8" s="470"/>
      <c r="I8" s="471"/>
      <c r="J8" s="470"/>
      <c r="K8" s="471"/>
      <c r="L8" s="470"/>
      <c r="M8" s="270"/>
      <c r="N8" s="470"/>
      <c r="O8" s="471"/>
      <c r="P8" s="470"/>
      <c r="Q8" s="471"/>
      <c r="R8" s="470"/>
      <c r="S8" s="271"/>
    </row>
    <row r="9" spans="1:19" ht="14.4" customHeight="1" x14ac:dyDescent="0.3">
      <c r="A9" s="473" t="s">
        <v>428</v>
      </c>
    </row>
    <row r="10" spans="1:19" ht="14.4" customHeight="1" x14ac:dyDescent="0.3">
      <c r="A10" s="474" t="s">
        <v>429</v>
      </c>
    </row>
    <row r="11" spans="1:19" ht="14.4" customHeight="1" x14ac:dyDescent="0.3">
      <c r="A11" s="473" t="s">
        <v>430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435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1328</v>
      </c>
      <c r="C3" s="283">
        <f t="shared" si="0"/>
        <v>1399</v>
      </c>
      <c r="D3" s="283">
        <f t="shared" si="0"/>
        <v>1488</v>
      </c>
      <c r="E3" s="192">
        <f t="shared" si="0"/>
        <v>590095</v>
      </c>
      <c r="F3" s="190">
        <f t="shared" si="0"/>
        <v>635316</v>
      </c>
      <c r="G3" s="284">
        <f t="shared" si="0"/>
        <v>657562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5">
        <v>2015</v>
      </c>
    </row>
    <row r="6" spans="1:7" ht="14.4" customHeight="1" x14ac:dyDescent="0.3">
      <c r="A6" s="423" t="s">
        <v>431</v>
      </c>
      <c r="B6" s="403">
        <v>1292</v>
      </c>
      <c r="C6" s="403">
        <v>1358</v>
      </c>
      <c r="D6" s="403">
        <v>1488</v>
      </c>
      <c r="E6" s="476">
        <v>590095</v>
      </c>
      <c r="F6" s="476">
        <v>635316</v>
      </c>
      <c r="G6" s="477">
        <v>657562</v>
      </c>
    </row>
    <row r="7" spans="1:7" ht="14.4" customHeight="1" x14ac:dyDescent="0.3">
      <c r="A7" s="482" t="s">
        <v>432</v>
      </c>
      <c r="B7" s="409">
        <v>7</v>
      </c>
      <c r="C7" s="409">
        <v>4</v>
      </c>
      <c r="D7" s="409"/>
      <c r="E7" s="478">
        <v>0</v>
      </c>
      <c r="F7" s="478">
        <v>0</v>
      </c>
      <c r="G7" s="479"/>
    </row>
    <row r="8" spans="1:7" ht="14.4" customHeight="1" x14ac:dyDescent="0.3">
      <c r="A8" s="482" t="s">
        <v>433</v>
      </c>
      <c r="B8" s="409">
        <v>29</v>
      </c>
      <c r="C8" s="409">
        <v>36</v>
      </c>
      <c r="D8" s="409"/>
      <c r="E8" s="478">
        <v>0</v>
      </c>
      <c r="F8" s="478">
        <v>0</v>
      </c>
      <c r="G8" s="479"/>
    </row>
    <row r="9" spans="1:7" ht="14.4" customHeight="1" thickBot="1" x14ac:dyDescent="0.35">
      <c r="A9" s="483" t="s">
        <v>434</v>
      </c>
      <c r="B9" s="415"/>
      <c r="C9" s="415">
        <v>1</v>
      </c>
      <c r="D9" s="415"/>
      <c r="E9" s="480"/>
      <c r="F9" s="480">
        <v>0</v>
      </c>
      <c r="G9" s="481"/>
    </row>
    <row r="10" spans="1:7" ht="14.4" customHeight="1" x14ac:dyDescent="0.3">
      <c r="A10" s="473" t="s">
        <v>428</v>
      </c>
    </row>
    <row r="11" spans="1:7" ht="14.4" customHeight="1" x14ac:dyDescent="0.3">
      <c r="A11" s="474" t="s">
        <v>429</v>
      </c>
    </row>
    <row r="12" spans="1:7" ht="14.4" customHeight="1" x14ac:dyDescent="0.3">
      <c r="A12" s="473" t="s">
        <v>430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458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1328</v>
      </c>
      <c r="G3" s="78">
        <f t="shared" si="0"/>
        <v>590095</v>
      </c>
      <c r="H3" s="58"/>
      <c r="I3" s="58"/>
      <c r="J3" s="78">
        <f t="shared" si="0"/>
        <v>1399</v>
      </c>
      <c r="K3" s="78">
        <f t="shared" si="0"/>
        <v>635316</v>
      </c>
      <c r="L3" s="58"/>
      <c r="M3" s="58"/>
      <c r="N3" s="78">
        <f t="shared" si="0"/>
        <v>1488</v>
      </c>
      <c r="O3" s="78">
        <f t="shared" si="0"/>
        <v>657562</v>
      </c>
      <c r="P3" s="59">
        <f>IF(G3=0,0,O3/G3)</f>
        <v>1.1143324379972717</v>
      </c>
      <c r="Q3" s="79">
        <f>IF(N3=0,0,O3/N3)</f>
        <v>441.90994623655916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4"/>
      <c r="B5" s="485"/>
      <c r="C5" s="486"/>
      <c r="D5" s="487"/>
      <c r="E5" s="488"/>
      <c r="F5" s="489" t="s">
        <v>58</v>
      </c>
      <c r="G5" s="490" t="s">
        <v>14</v>
      </c>
      <c r="H5" s="491"/>
      <c r="I5" s="491"/>
      <c r="J5" s="489" t="s">
        <v>58</v>
      </c>
      <c r="K5" s="490" t="s">
        <v>14</v>
      </c>
      <c r="L5" s="491"/>
      <c r="M5" s="491"/>
      <c r="N5" s="489" t="s">
        <v>58</v>
      </c>
      <c r="O5" s="490" t="s">
        <v>14</v>
      </c>
      <c r="P5" s="492"/>
      <c r="Q5" s="493"/>
    </row>
    <row r="6" spans="1:17" ht="14.4" customHeight="1" x14ac:dyDescent="0.3">
      <c r="A6" s="399" t="s">
        <v>436</v>
      </c>
      <c r="B6" s="400" t="s">
        <v>364</v>
      </c>
      <c r="C6" s="400" t="s">
        <v>437</v>
      </c>
      <c r="D6" s="400" t="s">
        <v>438</v>
      </c>
      <c r="E6" s="400" t="s">
        <v>439</v>
      </c>
      <c r="F6" s="403"/>
      <c r="G6" s="403"/>
      <c r="H6" s="400"/>
      <c r="I6" s="400"/>
      <c r="J6" s="403"/>
      <c r="K6" s="403"/>
      <c r="L6" s="400"/>
      <c r="M6" s="400"/>
      <c r="N6" s="403">
        <v>3</v>
      </c>
      <c r="O6" s="403">
        <v>105</v>
      </c>
      <c r="P6" s="424"/>
      <c r="Q6" s="404">
        <v>35</v>
      </c>
    </row>
    <row r="7" spans="1:17" ht="14.4" customHeight="1" x14ac:dyDescent="0.3">
      <c r="A7" s="405" t="s">
        <v>436</v>
      </c>
      <c r="B7" s="406" t="s">
        <v>364</v>
      </c>
      <c r="C7" s="406" t="s">
        <v>437</v>
      </c>
      <c r="D7" s="406" t="s">
        <v>440</v>
      </c>
      <c r="E7" s="406" t="s">
        <v>441</v>
      </c>
      <c r="F7" s="409"/>
      <c r="G7" s="409"/>
      <c r="H7" s="406"/>
      <c r="I7" s="406"/>
      <c r="J7" s="409"/>
      <c r="K7" s="409"/>
      <c r="L7" s="406"/>
      <c r="M7" s="406"/>
      <c r="N7" s="409">
        <v>1</v>
      </c>
      <c r="O7" s="409">
        <v>133</v>
      </c>
      <c r="P7" s="494"/>
      <c r="Q7" s="410">
        <v>133</v>
      </c>
    </row>
    <row r="8" spans="1:17" ht="14.4" customHeight="1" x14ac:dyDescent="0.3">
      <c r="A8" s="405" t="s">
        <v>436</v>
      </c>
      <c r="B8" s="406" t="s">
        <v>364</v>
      </c>
      <c r="C8" s="406" t="s">
        <v>437</v>
      </c>
      <c r="D8" s="406" t="s">
        <v>442</v>
      </c>
      <c r="E8" s="406" t="s">
        <v>443</v>
      </c>
      <c r="F8" s="409">
        <v>84</v>
      </c>
      <c r="G8" s="409">
        <v>22176</v>
      </c>
      <c r="H8" s="406">
        <v>1</v>
      </c>
      <c r="I8" s="406">
        <v>264</v>
      </c>
      <c r="J8" s="409">
        <v>71</v>
      </c>
      <c r="K8" s="409">
        <v>18876</v>
      </c>
      <c r="L8" s="406">
        <v>0.85119047619047616</v>
      </c>
      <c r="M8" s="406">
        <v>265.85915492957747</v>
      </c>
      <c r="N8" s="409">
        <v>195</v>
      </c>
      <c r="O8" s="409">
        <v>52260</v>
      </c>
      <c r="P8" s="494">
        <v>2.3566017316017316</v>
      </c>
      <c r="Q8" s="410">
        <v>268</v>
      </c>
    </row>
    <row r="9" spans="1:17" ht="14.4" customHeight="1" x14ac:dyDescent="0.3">
      <c r="A9" s="405" t="s">
        <v>436</v>
      </c>
      <c r="B9" s="406" t="s">
        <v>364</v>
      </c>
      <c r="C9" s="406" t="s">
        <v>437</v>
      </c>
      <c r="D9" s="406" t="s">
        <v>444</v>
      </c>
      <c r="E9" s="406" t="s">
        <v>445</v>
      </c>
      <c r="F9" s="409">
        <v>794</v>
      </c>
      <c r="G9" s="409">
        <v>406528</v>
      </c>
      <c r="H9" s="406">
        <v>1</v>
      </c>
      <c r="I9" s="406">
        <v>512</v>
      </c>
      <c r="J9" s="409">
        <v>932</v>
      </c>
      <c r="K9" s="409">
        <v>477892</v>
      </c>
      <c r="L9" s="406">
        <v>1.1755451039042821</v>
      </c>
      <c r="M9" s="406">
        <v>512.75965665236049</v>
      </c>
      <c r="N9" s="409">
        <v>844</v>
      </c>
      <c r="O9" s="409">
        <v>437192</v>
      </c>
      <c r="P9" s="494">
        <v>1.0754289987405541</v>
      </c>
      <c r="Q9" s="410">
        <v>518</v>
      </c>
    </row>
    <row r="10" spans="1:17" ht="14.4" customHeight="1" x14ac:dyDescent="0.3">
      <c r="A10" s="405" t="s">
        <v>436</v>
      </c>
      <c r="B10" s="406" t="s">
        <v>364</v>
      </c>
      <c r="C10" s="406" t="s">
        <v>437</v>
      </c>
      <c r="D10" s="406" t="s">
        <v>446</v>
      </c>
      <c r="E10" s="406" t="s">
        <v>447</v>
      </c>
      <c r="F10" s="409"/>
      <c r="G10" s="409"/>
      <c r="H10" s="406"/>
      <c r="I10" s="406"/>
      <c r="J10" s="409">
        <v>2</v>
      </c>
      <c r="K10" s="409">
        <v>0</v>
      </c>
      <c r="L10" s="406"/>
      <c r="M10" s="406">
        <v>0</v>
      </c>
      <c r="N10" s="409"/>
      <c r="O10" s="409"/>
      <c r="P10" s="494"/>
      <c r="Q10" s="410"/>
    </row>
    <row r="11" spans="1:17" ht="14.4" customHeight="1" x14ac:dyDescent="0.3">
      <c r="A11" s="405" t="s">
        <v>436</v>
      </c>
      <c r="B11" s="406" t="s">
        <v>364</v>
      </c>
      <c r="C11" s="406" t="s">
        <v>437</v>
      </c>
      <c r="D11" s="406" t="s">
        <v>448</v>
      </c>
      <c r="E11" s="406" t="s">
        <v>449</v>
      </c>
      <c r="F11" s="409">
        <v>37</v>
      </c>
      <c r="G11" s="409">
        <v>0</v>
      </c>
      <c r="H11" s="406"/>
      <c r="I11" s="406">
        <v>0</v>
      </c>
      <c r="J11" s="409">
        <v>40</v>
      </c>
      <c r="K11" s="409">
        <v>0</v>
      </c>
      <c r="L11" s="406"/>
      <c r="M11" s="406">
        <v>0</v>
      </c>
      <c r="N11" s="409">
        <v>12</v>
      </c>
      <c r="O11" s="409">
        <v>100</v>
      </c>
      <c r="P11" s="494"/>
      <c r="Q11" s="410">
        <v>8.3333333333333339</v>
      </c>
    </row>
    <row r="12" spans="1:17" ht="14.4" customHeight="1" x14ac:dyDescent="0.3">
      <c r="A12" s="405" t="s">
        <v>436</v>
      </c>
      <c r="B12" s="406" t="s">
        <v>364</v>
      </c>
      <c r="C12" s="406" t="s">
        <v>437</v>
      </c>
      <c r="D12" s="406" t="s">
        <v>450</v>
      </c>
      <c r="E12" s="406" t="s">
        <v>451</v>
      </c>
      <c r="F12" s="409"/>
      <c r="G12" s="409"/>
      <c r="H12" s="406"/>
      <c r="I12" s="406"/>
      <c r="J12" s="409">
        <v>1</v>
      </c>
      <c r="K12" s="409">
        <v>209</v>
      </c>
      <c r="L12" s="406"/>
      <c r="M12" s="406">
        <v>209</v>
      </c>
      <c r="N12" s="409"/>
      <c r="O12" s="409"/>
      <c r="P12" s="494"/>
      <c r="Q12" s="410"/>
    </row>
    <row r="13" spans="1:17" ht="14.4" customHeight="1" x14ac:dyDescent="0.3">
      <c r="A13" s="405" t="s">
        <v>436</v>
      </c>
      <c r="B13" s="406" t="s">
        <v>364</v>
      </c>
      <c r="C13" s="406" t="s">
        <v>437</v>
      </c>
      <c r="D13" s="406" t="s">
        <v>452</v>
      </c>
      <c r="E13" s="406" t="s">
        <v>453</v>
      </c>
      <c r="F13" s="409">
        <v>37</v>
      </c>
      <c r="G13" s="409">
        <v>12765</v>
      </c>
      <c r="H13" s="406">
        <v>1</v>
      </c>
      <c r="I13" s="406">
        <v>345</v>
      </c>
      <c r="J13" s="409">
        <v>40</v>
      </c>
      <c r="K13" s="409">
        <v>13887</v>
      </c>
      <c r="L13" s="406">
        <v>1.0878965922444184</v>
      </c>
      <c r="M13" s="406">
        <v>347.17500000000001</v>
      </c>
      <c r="N13" s="409">
        <v>42</v>
      </c>
      <c r="O13" s="409">
        <v>14700</v>
      </c>
      <c r="P13" s="494">
        <v>1.1515863689776733</v>
      </c>
      <c r="Q13" s="410">
        <v>350</v>
      </c>
    </row>
    <row r="14" spans="1:17" ht="14.4" customHeight="1" x14ac:dyDescent="0.3">
      <c r="A14" s="405" t="s">
        <v>436</v>
      </c>
      <c r="B14" s="406" t="s">
        <v>364</v>
      </c>
      <c r="C14" s="406" t="s">
        <v>437</v>
      </c>
      <c r="D14" s="406" t="s">
        <v>454</v>
      </c>
      <c r="E14" s="406" t="s">
        <v>455</v>
      </c>
      <c r="F14" s="409">
        <v>374</v>
      </c>
      <c r="G14" s="409">
        <v>148104</v>
      </c>
      <c r="H14" s="406">
        <v>1</v>
      </c>
      <c r="I14" s="406">
        <v>396</v>
      </c>
      <c r="J14" s="409">
        <v>310</v>
      </c>
      <c r="K14" s="409">
        <v>123660</v>
      </c>
      <c r="L14" s="406">
        <v>0.83495381623723874</v>
      </c>
      <c r="M14" s="406">
        <v>398.90322580645159</v>
      </c>
      <c r="N14" s="409">
        <v>361</v>
      </c>
      <c r="O14" s="409">
        <v>145122</v>
      </c>
      <c r="P14" s="494">
        <v>0.97986549991897587</v>
      </c>
      <c r="Q14" s="410">
        <v>402</v>
      </c>
    </row>
    <row r="15" spans="1:17" ht="14.4" customHeight="1" thickBot="1" x14ac:dyDescent="0.35">
      <c r="A15" s="411" t="s">
        <v>436</v>
      </c>
      <c r="B15" s="412" t="s">
        <v>364</v>
      </c>
      <c r="C15" s="412" t="s">
        <v>437</v>
      </c>
      <c r="D15" s="412" t="s">
        <v>456</v>
      </c>
      <c r="E15" s="412" t="s">
        <v>457</v>
      </c>
      <c r="F15" s="415">
        <v>2</v>
      </c>
      <c r="G15" s="415">
        <v>522</v>
      </c>
      <c r="H15" s="412">
        <v>1</v>
      </c>
      <c r="I15" s="412">
        <v>261</v>
      </c>
      <c r="J15" s="415">
        <v>3</v>
      </c>
      <c r="K15" s="415">
        <v>792</v>
      </c>
      <c r="L15" s="412">
        <v>1.5172413793103448</v>
      </c>
      <c r="M15" s="412">
        <v>264</v>
      </c>
      <c r="N15" s="415">
        <v>30</v>
      </c>
      <c r="O15" s="415">
        <v>7950</v>
      </c>
      <c r="P15" s="426">
        <v>15.229885057471265</v>
      </c>
      <c r="Q15" s="416">
        <v>265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616549</v>
      </c>
      <c r="C3" s="190">
        <f t="shared" ref="C3:R3" si="0">SUBTOTAL(9,C6:C1048576)</f>
        <v>8</v>
      </c>
      <c r="D3" s="190">
        <f t="shared" si="0"/>
        <v>712209</v>
      </c>
      <c r="E3" s="190">
        <f t="shared" si="0"/>
        <v>7.7186013213984213</v>
      </c>
      <c r="F3" s="190">
        <f t="shared" si="0"/>
        <v>1113372.3200000003</v>
      </c>
      <c r="G3" s="193">
        <f>IF(B3&lt;&gt;0,F3/B3,"")</f>
        <v>1.8058131957070733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459</v>
      </c>
      <c r="B6" s="476">
        <v>3929</v>
      </c>
      <c r="C6" s="400">
        <v>1</v>
      </c>
      <c r="D6" s="476">
        <v>6249</v>
      </c>
      <c r="E6" s="400">
        <v>1.590481038432171</v>
      </c>
      <c r="F6" s="476">
        <v>6048</v>
      </c>
      <c r="G6" s="424">
        <v>1.5393229829473147</v>
      </c>
      <c r="H6" s="476"/>
      <c r="I6" s="400"/>
      <c r="J6" s="476"/>
      <c r="K6" s="400"/>
      <c r="L6" s="476"/>
      <c r="M6" s="424"/>
      <c r="N6" s="476"/>
      <c r="O6" s="400"/>
      <c r="P6" s="476"/>
      <c r="Q6" s="400"/>
      <c r="R6" s="476"/>
      <c r="S6" s="425"/>
    </row>
    <row r="7" spans="1:19" ht="14.4" customHeight="1" x14ac:dyDescent="0.3">
      <c r="A7" s="482" t="s">
        <v>460</v>
      </c>
      <c r="B7" s="478">
        <v>1285</v>
      </c>
      <c r="C7" s="406">
        <v>1</v>
      </c>
      <c r="D7" s="478">
        <v>1296</v>
      </c>
      <c r="E7" s="406">
        <v>1.0085603112840467</v>
      </c>
      <c r="F7" s="478">
        <v>2072</v>
      </c>
      <c r="G7" s="494">
        <v>1.6124513618677043</v>
      </c>
      <c r="H7" s="478"/>
      <c r="I7" s="406"/>
      <c r="J7" s="478"/>
      <c r="K7" s="406"/>
      <c r="L7" s="478"/>
      <c r="M7" s="494"/>
      <c r="N7" s="478"/>
      <c r="O7" s="406"/>
      <c r="P7" s="478"/>
      <c r="Q7" s="406"/>
      <c r="R7" s="478"/>
      <c r="S7" s="495"/>
    </row>
    <row r="8" spans="1:19" ht="14.4" customHeight="1" x14ac:dyDescent="0.3">
      <c r="A8" s="482" t="s">
        <v>461</v>
      </c>
      <c r="B8" s="478"/>
      <c r="C8" s="406"/>
      <c r="D8" s="478">
        <v>1032</v>
      </c>
      <c r="E8" s="406"/>
      <c r="F8" s="478">
        <v>3108</v>
      </c>
      <c r="G8" s="494"/>
      <c r="H8" s="478"/>
      <c r="I8" s="406"/>
      <c r="J8" s="478"/>
      <c r="K8" s="406"/>
      <c r="L8" s="478"/>
      <c r="M8" s="494"/>
      <c r="N8" s="478"/>
      <c r="O8" s="406"/>
      <c r="P8" s="478"/>
      <c r="Q8" s="406"/>
      <c r="R8" s="478"/>
      <c r="S8" s="495"/>
    </row>
    <row r="9" spans="1:19" ht="14.4" customHeight="1" x14ac:dyDescent="0.3">
      <c r="A9" s="482" t="s">
        <v>462</v>
      </c>
      <c r="B9" s="478"/>
      <c r="C9" s="406"/>
      <c r="D9" s="478"/>
      <c r="E9" s="406"/>
      <c r="F9" s="478">
        <v>1554</v>
      </c>
      <c r="G9" s="494"/>
      <c r="H9" s="478"/>
      <c r="I9" s="406"/>
      <c r="J9" s="478"/>
      <c r="K9" s="406"/>
      <c r="L9" s="478"/>
      <c r="M9" s="494"/>
      <c r="N9" s="478"/>
      <c r="O9" s="406"/>
      <c r="P9" s="478"/>
      <c r="Q9" s="406"/>
      <c r="R9" s="478"/>
      <c r="S9" s="495"/>
    </row>
    <row r="10" spans="1:19" ht="14.4" customHeight="1" x14ac:dyDescent="0.3">
      <c r="A10" s="482" t="s">
        <v>463</v>
      </c>
      <c r="B10" s="478">
        <v>9180</v>
      </c>
      <c r="C10" s="406">
        <v>1</v>
      </c>
      <c r="D10" s="478">
        <v>15000</v>
      </c>
      <c r="E10" s="406">
        <v>1.6339869281045751</v>
      </c>
      <c r="F10" s="478">
        <v>12728</v>
      </c>
      <c r="G10" s="494">
        <v>1.386492374727669</v>
      </c>
      <c r="H10" s="478"/>
      <c r="I10" s="406"/>
      <c r="J10" s="478"/>
      <c r="K10" s="406"/>
      <c r="L10" s="478"/>
      <c r="M10" s="494"/>
      <c r="N10" s="478"/>
      <c r="O10" s="406"/>
      <c r="P10" s="478"/>
      <c r="Q10" s="406"/>
      <c r="R10" s="478"/>
      <c r="S10" s="495"/>
    </row>
    <row r="11" spans="1:19" ht="14.4" customHeight="1" x14ac:dyDescent="0.3">
      <c r="A11" s="482" t="s">
        <v>464</v>
      </c>
      <c r="B11" s="478"/>
      <c r="C11" s="406"/>
      <c r="D11" s="478"/>
      <c r="E11" s="406"/>
      <c r="F11" s="478">
        <v>350</v>
      </c>
      <c r="G11" s="494"/>
      <c r="H11" s="478"/>
      <c r="I11" s="406"/>
      <c r="J11" s="478"/>
      <c r="K11" s="406"/>
      <c r="L11" s="478"/>
      <c r="M11" s="494"/>
      <c r="N11" s="478"/>
      <c r="O11" s="406"/>
      <c r="P11" s="478"/>
      <c r="Q11" s="406"/>
      <c r="R11" s="478"/>
      <c r="S11" s="495"/>
    </row>
    <row r="12" spans="1:19" ht="14.4" customHeight="1" x14ac:dyDescent="0.3">
      <c r="A12" s="482" t="s">
        <v>465</v>
      </c>
      <c r="B12" s="478"/>
      <c r="C12" s="406"/>
      <c r="D12" s="478"/>
      <c r="E12" s="406"/>
      <c r="F12" s="478">
        <v>4494</v>
      </c>
      <c r="G12" s="494"/>
      <c r="H12" s="478"/>
      <c r="I12" s="406"/>
      <c r="J12" s="478"/>
      <c r="K12" s="406"/>
      <c r="L12" s="478"/>
      <c r="M12" s="494"/>
      <c r="N12" s="478"/>
      <c r="O12" s="406"/>
      <c r="P12" s="478"/>
      <c r="Q12" s="406"/>
      <c r="R12" s="478"/>
      <c r="S12" s="495"/>
    </row>
    <row r="13" spans="1:19" ht="14.4" customHeight="1" x14ac:dyDescent="0.3">
      <c r="A13" s="482" t="s">
        <v>466</v>
      </c>
      <c r="B13" s="478">
        <v>6028</v>
      </c>
      <c r="C13" s="406">
        <v>1</v>
      </c>
      <c r="D13" s="478"/>
      <c r="E13" s="406"/>
      <c r="F13" s="478"/>
      <c r="G13" s="494"/>
      <c r="H13" s="478"/>
      <c r="I13" s="406"/>
      <c r="J13" s="478"/>
      <c r="K13" s="406"/>
      <c r="L13" s="478"/>
      <c r="M13" s="494"/>
      <c r="N13" s="478"/>
      <c r="O13" s="406"/>
      <c r="P13" s="478"/>
      <c r="Q13" s="406"/>
      <c r="R13" s="478"/>
      <c r="S13" s="495"/>
    </row>
    <row r="14" spans="1:19" ht="14.4" customHeight="1" x14ac:dyDescent="0.3">
      <c r="A14" s="482" t="s">
        <v>467</v>
      </c>
      <c r="B14" s="478">
        <v>1024</v>
      </c>
      <c r="C14" s="406">
        <v>1</v>
      </c>
      <c r="D14" s="478"/>
      <c r="E14" s="406"/>
      <c r="F14" s="478"/>
      <c r="G14" s="494"/>
      <c r="H14" s="478"/>
      <c r="I14" s="406"/>
      <c r="J14" s="478"/>
      <c r="K14" s="406"/>
      <c r="L14" s="478"/>
      <c r="M14" s="494"/>
      <c r="N14" s="478"/>
      <c r="O14" s="406"/>
      <c r="P14" s="478"/>
      <c r="Q14" s="406"/>
      <c r="R14" s="478"/>
      <c r="S14" s="495"/>
    </row>
    <row r="15" spans="1:19" ht="14.4" customHeight="1" x14ac:dyDescent="0.3">
      <c r="A15" s="482" t="s">
        <v>468</v>
      </c>
      <c r="B15" s="478">
        <v>239483</v>
      </c>
      <c r="C15" s="406">
        <v>1</v>
      </c>
      <c r="D15" s="478">
        <v>275857</v>
      </c>
      <c r="E15" s="406">
        <v>1.1518855200577911</v>
      </c>
      <c r="F15" s="478">
        <v>557510.00000000012</v>
      </c>
      <c r="G15" s="494">
        <v>2.3279731755489954</v>
      </c>
      <c r="H15" s="478"/>
      <c r="I15" s="406"/>
      <c r="J15" s="478"/>
      <c r="K15" s="406"/>
      <c r="L15" s="478"/>
      <c r="M15" s="494"/>
      <c r="N15" s="478"/>
      <c r="O15" s="406"/>
      <c r="P15" s="478"/>
      <c r="Q15" s="406"/>
      <c r="R15" s="478"/>
      <c r="S15" s="495"/>
    </row>
    <row r="16" spans="1:19" ht="14.4" customHeight="1" x14ac:dyDescent="0.3">
      <c r="A16" s="482" t="s">
        <v>469</v>
      </c>
      <c r="B16" s="478"/>
      <c r="C16" s="406"/>
      <c r="D16" s="478"/>
      <c r="E16" s="406"/>
      <c r="F16" s="478">
        <v>1554</v>
      </c>
      <c r="G16" s="494"/>
      <c r="H16" s="478"/>
      <c r="I16" s="406"/>
      <c r="J16" s="478"/>
      <c r="K16" s="406"/>
      <c r="L16" s="478"/>
      <c r="M16" s="494"/>
      <c r="N16" s="478"/>
      <c r="O16" s="406"/>
      <c r="P16" s="478"/>
      <c r="Q16" s="406"/>
      <c r="R16" s="478"/>
      <c r="S16" s="495"/>
    </row>
    <row r="17" spans="1:19" ht="14.4" customHeight="1" x14ac:dyDescent="0.3">
      <c r="A17" s="482" t="s">
        <v>470</v>
      </c>
      <c r="B17" s="478"/>
      <c r="C17" s="406"/>
      <c r="D17" s="478">
        <v>5389</v>
      </c>
      <c r="E17" s="406"/>
      <c r="F17" s="478">
        <v>3205</v>
      </c>
      <c r="G17" s="494"/>
      <c r="H17" s="478"/>
      <c r="I17" s="406"/>
      <c r="J17" s="478"/>
      <c r="K17" s="406"/>
      <c r="L17" s="478"/>
      <c r="M17" s="494"/>
      <c r="N17" s="478"/>
      <c r="O17" s="406"/>
      <c r="P17" s="478"/>
      <c r="Q17" s="406"/>
      <c r="R17" s="478"/>
      <c r="S17" s="495"/>
    </row>
    <row r="18" spans="1:19" ht="14.4" customHeight="1" x14ac:dyDescent="0.3">
      <c r="A18" s="482" t="s">
        <v>471</v>
      </c>
      <c r="B18" s="478">
        <v>138334</v>
      </c>
      <c r="C18" s="406">
        <v>1</v>
      </c>
      <c r="D18" s="478">
        <v>198363</v>
      </c>
      <c r="E18" s="406">
        <v>1.4339424870241588</v>
      </c>
      <c r="F18" s="478">
        <v>292044.66000000003</v>
      </c>
      <c r="G18" s="494">
        <v>2.1111560426214817</v>
      </c>
      <c r="H18" s="478"/>
      <c r="I18" s="406"/>
      <c r="J18" s="478"/>
      <c r="K18" s="406"/>
      <c r="L18" s="478"/>
      <c r="M18" s="494"/>
      <c r="N18" s="478"/>
      <c r="O18" s="406"/>
      <c r="P18" s="478"/>
      <c r="Q18" s="406"/>
      <c r="R18" s="478"/>
      <c r="S18" s="495"/>
    </row>
    <row r="19" spans="1:19" ht="14.4" customHeight="1" x14ac:dyDescent="0.3">
      <c r="A19" s="482" t="s">
        <v>472</v>
      </c>
      <c r="B19" s="478">
        <v>217286</v>
      </c>
      <c r="C19" s="406">
        <v>1</v>
      </c>
      <c r="D19" s="478">
        <v>195502</v>
      </c>
      <c r="E19" s="406">
        <v>0.8997450364956785</v>
      </c>
      <c r="F19" s="478">
        <v>222791.33000000002</v>
      </c>
      <c r="G19" s="494">
        <v>1.0253367911416291</v>
      </c>
      <c r="H19" s="478"/>
      <c r="I19" s="406"/>
      <c r="J19" s="478"/>
      <c r="K19" s="406"/>
      <c r="L19" s="478"/>
      <c r="M19" s="494"/>
      <c r="N19" s="478"/>
      <c r="O19" s="406"/>
      <c r="P19" s="478"/>
      <c r="Q19" s="406"/>
      <c r="R19" s="478"/>
      <c r="S19" s="495"/>
    </row>
    <row r="20" spans="1:19" ht="14.4" customHeight="1" x14ac:dyDescent="0.3">
      <c r="A20" s="482" t="s">
        <v>473</v>
      </c>
      <c r="B20" s="478"/>
      <c r="C20" s="406"/>
      <c r="D20" s="478">
        <v>11109</v>
      </c>
      <c r="E20" s="406"/>
      <c r="F20" s="478"/>
      <c r="G20" s="494"/>
      <c r="H20" s="478"/>
      <c r="I20" s="406"/>
      <c r="J20" s="478"/>
      <c r="K20" s="406"/>
      <c r="L20" s="478"/>
      <c r="M20" s="494"/>
      <c r="N20" s="478"/>
      <c r="O20" s="406"/>
      <c r="P20" s="478"/>
      <c r="Q20" s="406"/>
      <c r="R20" s="478"/>
      <c r="S20" s="495"/>
    </row>
    <row r="21" spans="1:19" ht="14.4" customHeight="1" x14ac:dyDescent="0.3">
      <c r="A21" s="482" t="s">
        <v>474</v>
      </c>
      <c r="B21" s="478"/>
      <c r="C21" s="406"/>
      <c r="D21" s="478">
        <v>2412</v>
      </c>
      <c r="E21" s="406"/>
      <c r="F21" s="478">
        <v>5395.33</v>
      </c>
      <c r="G21" s="494"/>
      <c r="H21" s="478"/>
      <c r="I21" s="406"/>
      <c r="J21" s="478"/>
      <c r="K21" s="406"/>
      <c r="L21" s="478"/>
      <c r="M21" s="494"/>
      <c r="N21" s="478"/>
      <c r="O21" s="406"/>
      <c r="P21" s="478"/>
      <c r="Q21" s="406"/>
      <c r="R21" s="478"/>
      <c r="S21" s="495"/>
    </row>
    <row r="22" spans="1:19" ht="14.4" customHeight="1" thickBot="1" x14ac:dyDescent="0.35">
      <c r="A22" s="483" t="s">
        <v>475</v>
      </c>
      <c r="B22" s="480"/>
      <c r="C22" s="412"/>
      <c r="D22" s="480"/>
      <c r="E22" s="412"/>
      <c r="F22" s="480">
        <v>518</v>
      </c>
      <c r="G22" s="426"/>
      <c r="H22" s="480"/>
      <c r="I22" s="412"/>
      <c r="J22" s="480"/>
      <c r="K22" s="412"/>
      <c r="L22" s="480"/>
      <c r="M22" s="426"/>
      <c r="N22" s="480"/>
      <c r="O22" s="412"/>
      <c r="P22" s="480"/>
      <c r="Q22" s="412"/>
      <c r="R22" s="480"/>
      <c r="S22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493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1237</v>
      </c>
      <c r="G3" s="78">
        <f t="shared" si="0"/>
        <v>616549</v>
      </c>
      <c r="H3" s="78"/>
      <c r="I3" s="78"/>
      <c r="J3" s="78">
        <f t="shared" si="0"/>
        <v>1559</v>
      </c>
      <c r="K3" s="78">
        <f t="shared" si="0"/>
        <v>712209</v>
      </c>
      <c r="L3" s="78"/>
      <c r="M3" s="78"/>
      <c r="N3" s="78">
        <f t="shared" si="0"/>
        <v>2335</v>
      </c>
      <c r="O3" s="78">
        <f t="shared" si="0"/>
        <v>1113372.3200000003</v>
      </c>
      <c r="P3" s="59">
        <f>IF(G3=0,0,O3/G3)</f>
        <v>1.8058131957070733</v>
      </c>
      <c r="Q3" s="79">
        <f>IF(N3=0,0,O3/N3)</f>
        <v>476.81898072805154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6"/>
      <c r="B5" s="484"/>
      <c r="C5" s="486"/>
      <c r="D5" s="496"/>
      <c r="E5" s="488"/>
      <c r="F5" s="497" t="s">
        <v>58</v>
      </c>
      <c r="G5" s="498" t="s">
        <v>14</v>
      </c>
      <c r="H5" s="499"/>
      <c r="I5" s="499"/>
      <c r="J5" s="497" t="s">
        <v>58</v>
      </c>
      <c r="K5" s="498" t="s">
        <v>14</v>
      </c>
      <c r="L5" s="499"/>
      <c r="M5" s="499"/>
      <c r="N5" s="497" t="s">
        <v>58</v>
      </c>
      <c r="O5" s="498" t="s">
        <v>14</v>
      </c>
      <c r="P5" s="500"/>
      <c r="Q5" s="493"/>
    </row>
    <row r="6" spans="1:17" ht="14.4" customHeight="1" x14ac:dyDescent="0.3">
      <c r="A6" s="399" t="s">
        <v>476</v>
      </c>
      <c r="B6" s="400" t="s">
        <v>436</v>
      </c>
      <c r="C6" s="400" t="s">
        <v>437</v>
      </c>
      <c r="D6" s="400" t="s">
        <v>444</v>
      </c>
      <c r="E6" s="400" t="s">
        <v>445</v>
      </c>
      <c r="F6" s="403">
        <v>7</v>
      </c>
      <c r="G6" s="403">
        <v>3584</v>
      </c>
      <c r="H6" s="403">
        <v>1</v>
      </c>
      <c r="I6" s="403">
        <v>512</v>
      </c>
      <c r="J6" s="403">
        <v>11</v>
      </c>
      <c r="K6" s="403">
        <v>5640</v>
      </c>
      <c r="L6" s="403">
        <v>1.5736607142857142</v>
      </c>
      <c r="M6" s="403">
        <v>512.72727272727275</v>
      </c>
      <c r="N6" s="403">
        <v>11</v>
      </c>
      <c r="O6" s="403">
        <v>5698</v>
      </c>
      <c r="P6" s="424">
        <v>1.58984375</v>
      </c>
      <c r="Q6" s="404">
        <v>518</v>
      </c>
    </row>
    <row r="7" spans="1:17" ht="14.4" customHeight="1" x14ac:dyDescent="0.3">
      <c r="A7" s="405" t="s">
        <v>476</v>
      </c>
      <c r="B7" s="406" t="s">
        <v>436</v>
      </c>
      <c r="C7" s="406" t="s">
        <v>437</v>
      </c>
      <c r="D7" s="406" t="s">
        <v>448</v>
      </c>
      <c r="E7" s="406" t="s">
        <v>449</v>
      </c>
      <c r="F7" s="409"/>
      <c r="G7" s="409"/>
      <c r="H7" s="409"/>
      <c r="I7" s="409"/>
      <c r="J7" s="409"/>
      <c r="K7" s="409"/>
      <c r="L7" s="409"/>
      <c r="M7" s="409"/>
      <c r="N7" s="409">
        <v>1</v>
      </c>
      <c r="O7" s="409">
        <v>0</v>
      </c>
      <c r="P7" s="494"/>
      <c r="Q7" s="410">
        <v>0</v>
      </c>
    </row>
    <row r="8" spans="1:17" ht="14.4" customHeight="1" x14ac:dyDescent="0.3">
      <c r="A8" s="405" t="s">
        <v>476</v>
      </c>
      <c r="B8" s="406" t="s">
        <v>436</v>
      </c>
      <c r="C8" s="406" t="s">
        <v>437</v>
      </c>
      <c r="D8" s="406" t="s">
        <v>452</v>
      </c>
      <c r="E8" s="406" t="s">
        <v>453</v>
      </c>
      <c r="F8" s="409">
        <v>1</v>
      </c>
      <c r="G8" s="409">
        <v>345</v>
      </c>
      <c r="H8" s="409">
        <v>1</v>
      </c>
      <c r="I8" s="409">
        <v>345</v>
      </c>
      <c r="J8" s="409">
        <v>1</v>
      </c>
      <c r="K8" s="409">
        <v>345</v>
      </c>
      <c r="L8" s="409">
        <v>1</v>
      </c>
      <c r="M8" s="409">
        <v>345</v>
      </c>
      <c r="N8" s="409">
        <v>1</v>
      </c>
      <c r="O8" s="409">
        <v>350</v>
      </c>
      <c r="P8" s="494">
        <v>1.0144927536231885</v>
      </c>
      <c r="Q8" s="410">
        <v>350</v>
      </c>
    </row>
    <row r="9" spans="1:17" ht="14.4" customHeight="1" x14ac:dyDescent="0.3">
      <c r="A9" s="405" t="s">
        <v>476</v>
      </c>
      <c r="B9" s="406" t="s">
        <v>436</v>
      </c>
      <c r="C9" s="406" t="s">
        <v>437</v>
      </c>
      <c r="D9" s="406" t="s">
        <v>456</v>
      </c>
      <c r="E9" s="406" t="s">
        <v>457</v>
      </c>
      <c r="F9" s="409"/>
      <c r="G9" s="409"/>
      <c r="H9" s="409"/>
      <c r="I9" s="409"/>
      <c r="J9" s="409">
        <v>1</v>
      </c>
      <c r="K9" s="409">
        <v>264</v>
      </c>
      <c r="L9" s="409"/>
      <c r="M9" s="409">
        <v>264</v>
      </c>
      <c r="N9" s="409"/>
      <c r="O9" s="409"/>
      <c r="P9" s="494"/>
      <c r="Q9" s="410"/>
    </row>
    <row r="10" spans="1:17" ht="14.4" customHeight="1" x14ac:dyDescent="0.3">
      <c r="A10" s="405" t="s">
        <v>477</v>
      </c>
      <c r="B10" s="406" t="s">
        <v>436</v>
      </c>
      <c r="C10" s="406" t="s">
        <v>437</v>
      </c>
      <c r="D10" s="406" t="s">
        <v>444</v>
      </c>
      <c r="E10" s="406" t="s">
        <v>445</v>
      </c>
      <c r="F10" s="409">
        <v>2</v>
      </c>
      <c r="G10" s="409">
        <v>1024</v>
      </c>
      <c r="H10" s="409">
        <v>1</v>
      </c>
      <c r="I10" s="409">
        <v>512</v>
      </c>
      <c r="J10" s="409">
        <v>2</v>
      </c>
      <c r="K10" s="409">
        <v>1032</v>
      </c>
      <c r="L10" s="409">
        <v>1.0078125</v>
      </c>
      <c r="M10" s="409">
        <v>516</v>
      </c>
      <c r="N10" s="409">
        <v>4</v>
      </c>
      <c r="O10" s="409">
        <v>2072</v>
      </c>
      <c r="P10" s="494">
        <v>2.0234375</v>
      </c>
      <c r="Q10" s="410">
        <v>518</v>
      </c>
    </row>
    <row r="11" spans="1:17" ht="14.4" customHeight="1" x14ac:dyDescent="0.3">
      <c r="A11" s="405" t="s">
        <v>477</v>
      </c>
      <c r="B11" s="406" t="s">
        <v>436</v>
      </c>
      <c r="C11" s="406" t="s">
        <v>437</v>
      </c>
      <c r="D11" s="406" t="s">
        <v>456</v>
      </c>
      <c r="E11" s="406" t="s">
        <v>457</v>
      </c>
      <c r="F11" s="409">
        <v>1</v>
      </c>
      <c r="G11" s="409">
        <v>261</v>
      </c>
      <c r="H11" s="409">
        <v>1</v>
      </c>
      <c r="I11" s="409">
        <v>261</v>
      </c>
      <c r="J11" s="409">
        <v>1</v>
      </c>
      <c r="K11" s="409">
        <v>264</v>
      </c>
      <c r="L11" s="409">
        <v>1.0114942528735633</v>
      </c>
      <c r="M11" s="409">
        <v>264</v>
      </c>
      <c r="N11" s="409"/>
      <c r="O11" s="409"/>
      <c r="P11" s="494"/>
      <c r="Q11" s="410"/>
    </row>
    <row r="12" spans="1:17" ht="14.4" customHeight="1" x14ac:dyDescent="0.3">
      <c r="A12" s="405" t="s">
        <v>478</v>
      </c>
      <c r="B12" s="406" t="s">
        <v>436</v>
      </c>
      <c r="C12" s="406" t="s">
        <v>437</v>
      </c>
      <c r="D12" s="406" t="s">
        <v>444</v>
      </c>
      <c r="E12" s="406" t="s">
        <v>445</v>
      </c>
      <c r="F12" s="409"/>
      <c r="G12" s="409"/>
      <c r="H12" s="409"/>
      <c r="I12" s="409"/>
      <c r="J12" s="409">
        <v>2</v>
      </c>
      <c r="K12" s="409">
        <v>1032</v>
      </c>
      <c r="L12" s="409"/>
      <c r="M12" s="409">
        <v>516</v>
      </c>
      <c r="N12" s="409">
        <v>6</v>
      </c>
      <c r="O12" s="409">
        <v>3108</v>
      </c>
      <c r="P12" s="494"/>
      <c r="Q12" s="410">
        <v>518</v>
      </c>
    </row>
    <row r="13" spans="1:17" ht="14.4" customHeight="1" x14ac:dyDescent="0.3">
      <c r="A13" s="405" t="s">
        <v>479</v>
      </c>
      <c r="B13" s="406" t="s">
        <v>436</v>
      </c>
      <c r="C13" s="406" t="s">
        <v>437</v>
      </c>
      <c r="D13" s="406" t="s">
        <v>444</v>
      </c>
      <c r="E13" s="406" t="s">
        <v>445</v>
      </c>
      <c r="F13" s="409"/>
      <c r="G13" s="409"/>
      <c r="H13" s="409"/>
      <c r="I13" s="409"/>
      <c r="J13" s="409"/>
      <c r="K13" s="409"/>
      <c r="L13" s="409"/>
      <c r="M13" s="409"/>
      <c r="N13" s="409">
        <v>3</v>
      </c>
      <c r="O13" s="409">
        <v>1554</v>
      </c>
      <c r="P13" s="494"/>
      <c r="Q13" s="410">
        <v>518</v>
      </c>
    </row>
    <row r="14" spans="1:17" ht="14.4" customHeight="1" x14ac:dyDescent="0.3">
      <c r="A14" s="405" t="s">
        <v>479</v>
      </c>
      <c r="B14" s="406" t="s">
        <v>436</v>
      </c>
      <c r="C14" s="406" t="s">
        <v>437</v>
      </c>
      <c r="D14" s="406" t="s">
        <v>452</v>
      </c>
      <c r="E14" s="406" t="s">
        <v>453</v>
      </c>
      <c r="F14" s="409"/>
      <c r="G14" s="409"/>
      <c r="H14" s="409"/>
      <c r="I14" s="409"/>
      <c r="J14" s="409"/>
      <c r="K14" s="409"/>
      <c r="L14" s="409"/>
      <c r="M14" s="409"/>
      <c r="N14" s="409">
        <v>0</v>
      </c>
      <c r="O14" s="409">
        <v>0</v>
      </c>
      <c r="P14" s="494"/>
      <c r="Q14" s="410"/>
    </row>
    <row r="15" spans="1:17" ht="14.4" customHeight="1" x14ac:dyDescent="0.3">
      <c r="A15" s="405" t="s">
        <v>480</v>
      </c>
      <c r="B15" s="406" t="s">
        <v>436</v>
      </c>
      <c r="C15" s="406" t="s">
        <v>437</v>
      </c>
      <c r="D15" s="406" t="s">
        <v>440</v>
      </c>
      <c r="E15" s="406" t="s">
        <v>441</v>
      </c>
      <c r="F15" s="409">
        <v>1</v>
      </c>
      <c r="G15" s="409">
        <v>131</v>
      </c>
      <c r="H15" s="409">
        <v>1</v>
      </c>
      <c r="I15" s="409">
        <v>131</v>
      </c>
      <c r="J15" s="409"/>
      <c r="K15" s="409"/>
      <c r="L15" s="409"/>
      <c r="M15" s="409"/>
      <c r="N15" s="409"/>
      <c r="O15" s="409"/>
      <c r="P15" s="494"/>
      <c r="Q15" s="410"/>
    </row>
    <row r="16" spans="1:17" ht="14.4" customHeight="1" x14ac:dyDescent="0.3">
      <c r="A16" s="405" t="s">
        <v>480</v>
      </c>
      <c r="B16" s="406" t="s">
        <v>436</v>
      </c>
      <c r="C16" s="406" t="s">
        <v>437</v>
      </c>
      <c r="D16" s="406" t="s">
        <v>444</v>
      </c>
      <c r="E16" s="406" t="s">
        <v>445</v>
      </c>
      <c r="F16" s="409">
        <v>17</v>
      </c>
      <c r="G16" s="409">
        <v>8704</v>
      </c>
      <c r="H16" s="409">
        <v>1</v>
      </c>
      <c r="I16" s="409">
        <v>512</v>
      </c>
      <c r="J16" s="409">
        <v>23</v>
      </c>
      <c r="K16" s="409">
        <v>11868</v>
      </c>
      <c r="L16" s="409">
        <v>1.3635110294117647</v>
      </c>
      <c r="M16" s="409">
        <v>516</v>
      </c>
      <c r="N16" s="409">
        <v>21</v>
      </c>
      <c r="O16" s="409">
        <v>10878</v>
      </c>
      <c r="P16" s="494">
        <v>1.2497702205882353</v>
      </c>
      <c r="Q16" s="410">
        <v>518</v>
      </c>
    </row>
    <row r="17" spans="1:17" ht="14.4" customHeight="1" x14ac:dyDescent="0.3">
      <c r="A17" s="405" t="s">
        <v>480</v>
      </c>
      <c r="B17" s="406" t="s">
        <v>436</v>
      </c>
      <c r="C17" s="406" t="s">
        <v>437</v>
      </c>
      <c r="D17" s="406" t="s">
        <v>448</v>
      </c>
      <c r="E17" s="406" t="s">
        <v>449</v>
      </c>
      <c r="F17" s="409"/>
      <c r="G17" s="409"/>
      <c r="H17" s="409"/>
      <c r="I17" s="409"/>
      <c r="J17" s="409"/>
      <c r="K17" s="409"/>
      <c r="L17" s="409"/>
      <c r="M17" s="409"/>
      <c r="N17" s="409">
        <v>3</v>
      </c>
      <c r="O17" s="409">
        <v>100</v>
      </c>
      <c r="P17" s="494"/>
      <c r="Q17" s="410">
        <v>33.333333333333336</v>
      </c>
    </row>
    <row r="18" spans="1:17" ht="14.4" customHeight="1" x14ac:dyDescent="0.3">
      <c r="A18" s="405" t="s">
        <v>480</v>
      </c>
      <c r="B18" s="406" t="s">
        <v>436</v>
      </c>
      <c r="C18" s="406" t="s">
        <v>437</v>
      </c>
      <c r="D18" s="406" t="s">
        <v>452</v>
      </c>
      <c r="E18" s="406" t="s">
        <v>453</v>
      </c>
      <c r="F18" s="409">
        <v>1</v>
      </c>
      <c r="G18" s="409">
        <v>345</v>
      </c>
      <c r="H18" s="409">
        <v>1</v>
      </c>
      <c r="I18" s="409">
        <v>345</v>
      </c>
      <c r="J18" s="409">
        <v>9</v>
      </c>
      <c r="K18" s="409">
        <v>3132</v>
      </c>
      <c r="L18" s="409">
        <v>9.0782608695652183</v>
      </c>
      <c r="M18" s="409">
        <v>348</v>
      </c>
      <c r="N18" s="409">
        <v>5</v>
      </c>
      <c r="O18" s="409">
        <v>1750</v>
      </c>
      <c r="P18" s="494">
        <v>5.0724637681159424</v>
      </c>
      <c r="Q18" s="410">
        <v>350</v>
      </c>
    </row>
    <row r="19" spans="1:17" ht="14.4" customHeight="1" x14ac:dyDescent="0.3">
      <c r="A19" s="405" t="s">
        <v>481</v>
      </c>
      <c r="B19" s="406" t="s">
        <v>436</v>
      </c>
      <c r="C19" s="406" t="s">
        <v>437</v>
      </c>
      <c r="D19" s="406" t="s">
        <v>448</v>
      </c>
      <c r="E19" s="406" t="s">
        <v>449</v>
      </c>
      <c r="F19" s="409"/>
      <c r="G19" s="409"/>
      <c r="H19" s="409"/>
      <c r="I19" s="409"/>
      <c r="J19" s="409"/>
      <c r="K19" s="409"/>
      <c r="L19" s="409"/>
      <c r="M19" s="409"/>
      <c r="N19" s="409">
        <v>0</v>
      </c>
      <c r="O19" s="409">
        <v>0</v>
      </c>
      <c r="P19" s="494"/>
      <c r="Q19" s="410"/>
    </row>
    <row r="20" spans="1:17" ht="14.4" customHeight="1" x14ac:dyDescent="0.3">
      <c r="A20" s="405" t="s">
        <v>481</v>
      </c>
      <c r="B20" s="406" t="s">
        <v>436</v>
      </c>
      <c r="C20" s="406" t="s">
        <v>437</v>
      </c>
      <c r="D20" s="406" t="s">
        <v>452</v>
      </c>
      <c r="E20" s="406" t="s">
        <v>453</v>
      </c>
      <c r="F20" s="409"/>
      <c r="G20" s="409"/>
      <c r="H20" s="409"/>
      <c r="I20" s="409"/>
      <c r="J20" s="409"/>
      <c r="K20" s="409"/>
      <c r="L20" s="409"/>
      <c r="M20" s="409"/>
      <c r="N20" s="409">
        <v>1</v>
      </c>
      <c r="O20" s="409">
        <v>350</v>
      </c>
      <c r="P20" s="494"/>
      <c r="Q20" s="410">
        <v>350</v>
      </c>
    </row>
    <row r="21" spans="1:17" ht="14.4" customHeight="1" x14ac:dyDescent="0.3">
      <c r="A21" s="405" t="s">
        <v>482</v>
      </c>
      <c r="B21" s="406" t="s">
        <v>436</v>
      </c>
      <c r="C21" s="406" t="s">
        <v>437</v>
      </c>
      <c r="D21" s="406" t="s">
        <v>444</v>
      </c>
      <c r="E21" s="406" t="s">
        <v>445</v>
      </c>
      <c r="F21" s="409"/>
      <c r="G21" s="409"/>
      <c r="H21" s="409"/>
      <c r="I21" s="409"/>
      <c r="J21" s="409"/>
      <c r="K21" s="409"/>
      <c r="L21" s="409"/>
      <c r="M21" s="409"/>
      <c r="N21" s="409">
        <v>8</v>
      </c>
      <c r="O21" s="409">
        <v>4144</v>
      </c>
      <c r="P21" s="494"/>
      <c r="Q21" s="410">
        <v>518</v>
      </c>
    </row>
    <row r="22" spans="1:17" ht="14.4" customHeight="1" x14ac:dyDescent="0.3">
      <c r="A22" s="405" t="s">
        <v>482</v>
      </c>
      <c r="B22" s="406" t="s">
        <v>436</v>
      </c>
      <c r="C22" s="406" t="s">
        <v>437</v>
      </c>
      <c r="D22" s="406" t="s">
        <v>448</v>
      </c>
      <c r="E22" s="406" t="s">
        <v>449</v>
      </c>
      <c r="F22" s="409"/>
      <c r="G22" s="409"/>
      <c r="H22" s="409"/>
      <c r="I22" s="409"/>
      <c r="J22" s="409"/>
      <c r="K22" s="409"/>
      <c r="L22" s="409"/>
      <c r="M22" s="409"/>
      <c r="N22" s="409">
        <v>1</v>
      </c>
      <c r="O22" s="409">
        <v>0</v>
      </c>
      <c r="P22" s="494"/>
      <c r="Q22" s="410">
        <v>0</v>
      </c>
    </row>
    <row r="23" spans="1:17" ht="14.4" customHeight="1" x14ac:dyDescent="0.3">
      <c r="A23" s="405" t="s">
        <v>482</v>
      </c>
      <c r="B23" s="406" t="s">
        <v>436</v>
      </c>
      <c r="C23" s="406" t="s">
        <v>437</v>
      </c>
      <c r="D23" s="406" t="s">
        <v>452</v>
      </c>
      <c r="E23" s="406" t="s">
        <v>453</v>
      </c>
      <c r="F23" s="409"/>
      <c r="G23" s="409"/>
      <c r="H23" s="409"/>
      <c r="I23" s="409"/>
      <c r="J23" s="409"/>
      <c r="K23" s="409"/>
      <c r="L23" s="409"/>
      <c r="M23" s="409"/>
      <c r="N23" s="409">
        <v>1</v>
      </c>
      <c r="O23" s="409">
        <v>350</v>
      </c>
      <c r="P23" s="494"/>
      <c r="Q23" s="410">
        <v>350</v>
      </c>
    </row>
    <row r="24" spans="1:17" ht="14.4" customHeight="1" x14ac:dyDescent="0.3">
      <c r="A24" s="405" t="s">
        <v>483</v>
      </c>
      <c r="B24" s="406" t="s">
        <v>436</v>
      </c>
      <c r="C24" s="406" t="s">
        <v>437</v>
      </c>
      <c r="D24" s="406" t="s">
        <v>444</v>
      </c>
      <c r="E24" s="406" t="s">
        <v>445</v>
      </c>
      <c r="F24" s="409">
        <v>11</v>
      </c>
      <c r="G24" s="409">
        <v>5632</v>
      </c>
      <c r="H24" s="409">
        <v>1</v>
      </c>
      <c r="I24" s="409">
        <v>512</v>
      </c>
      <c r="J24" s="409"/>
      <c r="K24" s="409"/>
      <c r="L24" s="409"/>
      <c r="M24" s="409"/>
      <c r="N24" s="409"/>
      <c r="O24" s="409"/>
      <c r="P24" s="494"/>
      <c r="Q24" s="410"/>
    </row>
    <row r="25" spans="1:17" ht="14.4" customHeight="1" x14ac:dyDescent="0.3">
      <c r="A25" s="405" t="s">
        <v>483</v>
      </c>
      <c r="B25" s="406" t="s">
        <v>436</v>
      </c>
      <c r="C25" s="406" t="s">
        <v>437</v>
      </c>
      <c r="D25" s="406" t="s">
        <v>454</v>
      </c>
      <c r="E25" s="406" t="s">
        <v>455</v>
      </c>
      <c r="F25" s="409">
        <v>1</v>
      </c>
      <c r="G25" s="409">
        <v>396</v>
      </c>
      <c r="H25" s="409">
        <v>1</v>
      </c>
      <c r="I25" s="409">
        <v>396</v>
      </c>
      <c r="J25" s="409"/>
      <c r="K25" s="409"/>
      <c r="L25" s="409"/>
      <c r="M25" s="409"/>
      <c r="N25" s="409"/>
      <c r="O25" s="409"/>
      <c r="P25" s="494"/>
      <c r="Q25" s="410"/>
    </row>
    <row r="26" spans="1:17" ht="14.4" customHeight="1" x14ac:dyDescent="0.3">
      <c r="A26" s="405" t="s">
        <v>484</v>
      </c>
      <c r="B26" s="406" t="s">
        <v>436</v>
      </c>
      <c r="C26" s="406" t="s">
        <v>437</v>
      </c>
      <c r="D26" s="406" t="s">
        <v>444</v>
      </c>
      <c r="E26" s="406" t="s">
        <v>445</v>
      </c>
      <c r="F26" s="409">
        <v>2</v>
      </c>
      <c r="G26" s="409">
        <v>1024</v>
      </c>
      <c r="H26" s="409">
        <v>1</v>
      </c>
      <c r="I26" s="409">
        <v>512</v>
      </c>
      <c r="J26" s="409"/>
      <c r="K26" s="409"/>
      <c r="L26" s="409"/>
      <c r="M26" s="409"/>
      <c r="N26" s="409"/>
      <c r="O26" s="409"/>
      <c r="P26" s="494"/>
      <c r="Q26" s="410"/>
    </row>
    <row r="27" spans="1:17" ht="14.4" customHeight="1" x14ac:dyDescent="0.3">
      <c r="A27" s="405" t="s">
        <v>485</v>
      </c>
      <c r="B27" s="406" t="s">
        <v>436</v>
      </c>
      <c r="C27" s="406" t="s">
        <v>437</v>
      </c>
      <c r="D27" s="406" t="s">
        <v>440</v>
      </c>
      <c r="E27" s="406" t="s">
        <v>441</v>
      </c>
      <c r="F27" s="409"/>
      <c r="G27" s="409"/>
      <c r="H27" s="409"/>
      <c r="I27" s="409"/>
      <c r="J27" s="409"/>
      <c r="K27" s="409"/>
      <c r="L27" s="409"/>
      <c r="M27" s="409"/>
      <c r="N27" s="409">
        <v>1</v>
      </c>
      <c r="O27" s="409">
        <v>133</v>
      </c>
      <c r="P27" s="494"/>
      <c r="Q27" s="410">
        <v>133</v>
      </c>
    </row>
    <row r="28" spans="1:17" ht="14.4" customHeight="1" x14ac:dyDescent="0.3">
      <c r="A28" s="405" t="s">
        <v>485</v>
      </c>
      <c r="B28" s="406" t="s">
        <v>436</v>
      </c>
      <c r="C28" s="406" t="s">
        <v>437</v>
      </c>
      <c r="D28" s="406" t="s">
        <v>444</v>
      </c>
      <c r="E28" s="406" t="s">
        <v>445</v>
      </c>
      <c r="F28" s="409">
        <v>424</v>
      </c>
      <c r="G28" s="409">
        <v>217088</v>
      </c>
      <c r="H28" s="409">
        <v>1</v>
      </c>
      <c r="I28" s="409">
        <v>512</v>
      </c>
      <c r="J28" s="409">
        <v>561</v>
      </c>
      <c r="K28" s="409">
        <v>243568</v>
      </c>
      <c r="L28" s="409">
        <v>1.1219781839622642</v>
      </c>
      <c r="M28" s="409">
        <v>434.16755793226383</v>
      </c>
      <c r="N28" s="409">
        <v>954</v>
      </c>
      <c r="O28" s="409">
        <v>494172</v>
      </c>
      <c r="P28" s="494">
        <v>2.2763671875</v>
      </c>
      <c r="Q28" s="410">
        <v>518</v>
      </c>
    </row>
    <row r="29" spans="1:17" ht="14.4" customHeight="1" x14ac:dyDescent="0.3">
      <c r="A29" s="405" t="s">
        <v>485</v>
      </c>
      <c r="B29" s="406" t="s">
        <v>436</v>
      </c>
      <c r="C29" s="406" t="s">
        <v>437</v>
      </c>
      <c r="D29" s="406" t="s">
        <v>448</v>
      </c>
      <c r="E29" s="406" t="s">
        <v>449</v>
      </c>
      <c r="F29" s="409"/>
      <c r="G29" s="409"/>
      <c r="H29" s="409"/>
      <c r="I29" s="409"/>
      <c r="J29" s="409"/>
      <c r="K29" s="409"/>
      <c r="L29" s="409"/>
      <c r="M29" s="409"/>
      <c r="N29" s="409">
        <v>86</v>
      </c>
      <c r="O29" s="409">
        <v>1800</v>
      </c>
      <c r="P29" s="494"/>
      <c r="Q29" s="410">
        <v>20.930232558139537</v>
      </c>
    </row>
    <row r="30" spans="1:17" ht="14.4" customHeight="1" x14ac:dyDescent="0.3">
      <c r="A30" s="405" t="s">
        <v>485</v>
      </c>
      <c r="B30" s="406" t="s">
        <v>436</v>
      </c>
      <c r="C30" s="406" t="s">
        <v>437</v>
      </c>
      <c r="D30" s="406" t="s">
        <v>452</v>
      </c>
      <c r="E30" s="406" t="s">
        <v>453</v>
      </c>
      <c r="F30" s="409">
        <v>46</v>
      </c>
      <c r="G30" s="409">
        <v>15870</v>
      </c>
      <c r="H30" s="409">
        <v>1</v>
      </c>
      <c r="I30" s="409">
        <v>345</v>
      </c>
      <c r="J30" s="409">
        <v>90</v>
      </c>
      <c r="K30" s="409">
        <v>25698</v>
      </c>
      <c r="L30" s="409">
        <v>1.6192816635160681</v>
      </c>
      <c r="M30" s="409">
        <v>285.53333333333336</v>
      </c>
      <c r="N30" s="409">
        <v>155</v>
      </c>
      <c r="O30" s="409">
        <v>54250</v>
      </c>
      <c r="P30" s="494">
        <v>3.4183994959042217</v>
      </c>
      <c r="Q30" s="410">
        <v>350</v>
      </c>
    </row>
    <row r="31" spans="1:17" ht="14.4" customHeight="1" x14ac:dyDescent="0.3">
      <c r="A31" s="405" t="s">
        <v>485</v>
      </c>
      <c r="B31" s="406" t="s">
        <v>436</v>
      </c>
      <c r="C31" s="406" t="s">
        <v>437</v>
      </c>
      <c r="D31" s="406" t="s">
        <v>456</v>
      </c>
      <c r="E31" s="406" t="s">
        <v>457</v>
      </c>
      <c r="F31" s="409">
        <v>25</v>
      </c>
      <c r="G31" s="409">
        <v>6525</v>
      </c>
      <c r="H31" s="409">
        <v>1</v>
      </c>
      <c r="I31" s="409">
        <v>261</v>
      </c>
      <c r="J31" s="409">
        <v>33</v>
      </c>
      <c r="K31" s="409">
        <v>6591</v>
      </c>
      <c r="L31" s="409">
        <v>1.0101149425287357</v>
      </c>
      <c r="M31" s="409">
        <v>199.72727272727272</v>
      </c>
      <c r="N31" s="409">
        <v>27</v>
      </c>
      <c r="O31" s="409">
        <v>7155</v>
      </c>
      <c r="P31" s="494">
        <v>1.096551724137931</v>
      </c>
      <c r="Q31" s="410">
        <v>265</v>
      </c>
    </row>
    <row r="32" spans="1:17" ht="14.4" customHeight="1" x14ac:dyDescent="0.3">
      <c r="A32" s="405" t="s">
        <v>486</v>
      </c>
      <c r="B32" s="406" t="s">
        <v>436</v>
      </c>
      <c r="C32" s="406" t="s">
        <v>437</v>
      </c>
      <c r="D32" s="406" t="s">
        <v>444</v>
      </c>
      <c r="E32" s="406" t="s">
        <v>445</v>
      </c>
      <c r="F32" s="409"/>
      <c r="G32" s="409"/>
      <c r="H32" s="409"/>
      <c r="I32" s="409"/>
      <c r="J32" s="409"/>
      <c r="K32" s="409"/>
      <c r="L32" s="409"/>
      <c r="M32" s="409"/>
      <c r="N32" s="409">
        <v>3</v>
      </c>
      <c r="O32" s="409">
        <v>1554</v>
      </c>
      <c r="P32" s="494"/>
      <c r="Q32" s="410">
        <v>518</v>
      </c>
    </row>
    <row r="33" spans="1:17" ht="14.4" customHeight="1" x14ac:dyDescent="0.3">
      <c r="A33" s="405" t="s">
        <v>487</v>
      </c>
      <c r="B33" s="406" t="s">
        <v>436</v>
      </c>
      <c r="C33" s="406" t="s">
        <v>437</v>
      </c>
      <c r="D33" s="406" t="s">
        <v>444</v>
      </c>
      <c r="E33" s="406" t="s">
        <v>445</v>
      </c>
      <c r="F33" s="409"/>
      <c r="G33" s="409"/>
      <c r="H33" s="409"/>
      <c r="I33" s="409"/>
      <c r="J33" s="409">
        <v>10</v>
      </c>
      <c r="K33" s="409">
        <v>5128</v>
      </c>
      <c r="L33" s="409"/>
      <c r="M33" s="409">
        <v>512.79999999999995</v>
      </c>
      <c r="N33" s="409">
        <v>5</v>
      </c>
      <c r="O33" s="409">
        <v>2590</v>
      </c>
      <c r="P33" s="494"/>
      <c r="Q33" s="410">
        <v>518</v>
      </c>
    </row>
    <row r="34" spans="1:17" ht="14.4" customHeight="1" x14ac:dyDescent="0.3">
      <c r="A34" s="405" t="s">
        <v>487</v>
      </c>
      <c r="B34" s="406" t="s">
        <v>436</v>
      </c>
      <c r="C34" s="406" t="s">
        <v>437</v>
      </c>
      <c r="D34" s="406" t="s">
        <v>448</v>
      </c>
      <c r="E34" s="406" t="s">
        <v>449</v>
      </c>
      <c r="F34" s="409"/>
      <c r="G34" s="409"/>
      <c r="H34" s="409"/>
      <c r="I34" s="409"/>
      <c r="J34" s="409"/>
      <c r="K34" s="409"/>
      <c r="L34" s="409"/>
      <c r="M34" s="409"/>
      <c r="N34" s="409">
        <v>2</v>
      </c>
      <c r="O34" s="409">
        <v>0</v>
      </c>
      <c r="P34" s="494"/>
      <c r="Q34" s="410">
        <v>0</v>
      </c>
    </row>
    <row r="35" spans="1:17" ht="14.4" customHeight="1" x14ac:dyDescent="0.3">
      <c r="A35" s="405" t="s">
        <v>487</v>
      </c>
      <c r="B35" s="406" t="s">
        <v>436</v>
      </c>
      <c r="C35" s="406" t="s">
        <v>437</v>
      </c>
      <c r="D35" s="406" t="s">
        <v>452</v>
      </c>
      <c r="E35" s="406" t="s">
        <v>453</v>
      </c>
      <c r="F35" s="409"/>
      <c r="G35" s="409"/>
      <c r="H35" s="409"/>
      <c r="I35" s="409"/>
      <c r="J35" s="409"/>
      <c r="K35" s="409"/>
      <c r="L35" s="409"/>
      <c r="M35" s="409"/>
      <c r="N35" s="409">
        <v>1</v>
      </c>
      <c r="O35" s="409">
        <v>350</v>
      </c>
      <c r="P35" s="494"/>
      <c r="Q35" s="410">
        <v>350</v>
      </c>
    </row>
    <row r="36" spans="1:17" ht="14.4" customHeight="1" x14ac:dyDescent="0.3">
      <c r="A36" s="405" t="s">
        <v>487</v>
      </c>
      <c r="B36" s="406" t="s">
        <v>436</v>
      </c>
      <c r="C36" s="406" t="s">
        <v>437</v>
      </c>
      <c r="D36" s="406" t="s">
        <v>456</v>
      </c>
      <c r="E36" s="406" t="s">
        <v>457</v>
      </c>
      <c r="F36" s="409"/>
      <c r="G36" s="409"/>
      <c r="H36" s="409"/>
      <c r="I36" s="409"/>
      <c r="J36" s="409">
        <v>1</v>
      </c>
      <c r="K36" s="409">
        <v>261</v>
      </c>
      <c r="L36" s="409"/>
      <c r="M36" s="409">
        <v>261</v>
      </c>
      <c r="N36" s="409">
        <v>1</v>
      </c>
      <c r="O36" s="409">
        <v>265</v>
      </c>
      <c r="P36" s="494"/>
      <c r="Q36" s="410">
        <v>265</v>
      </c>
    </row>
    <row r="37" spans="1:17" ht="14.4" customHeight="1" x14ac:dyDescent="0.3">
      <c r="A37" s="405" t="s">
        <v>488</v>
      </c>
      <c r="B37" s="406" t="s">
        <v>436</v>
      </c>
      <c r="C37" s="406" t="s">
        <v>437</v>
      </c>
      <c r="D37" s="406" t="s">
        <v>440</v>
      </c>
      <c r="E37" s="406" t="s">
        <v>441</v>
      </c>
      <c r="F37" s="409"/>
      <c r="G37" s="409"/>
      <c r="H37" s="409"/>
      <c r="I37" s="409"/>
      <c r="J37" s="409">
        <v>2</v>
      </c>
      <c r="K37" s="409">
        <v>263</v>
      </c>
      <c r="L37" s="409"/>
      <c r="M37" s="409">
        <v>131.5</v>
      </c>
      <c r="N37" s="409">
        <v>6</v>
      </c>
      <c r="O37" s="409">
        <v>798</v>
      </c>
      <c r="P37" s="494"/>
      <c r="Q37" s="410">
        <v>133</v>
      </c>
    </row>
    <row r="38" spans="1:17" ht="14.4" customHeight="1" x14ac:dyDescent="0.3">
      <c r="A38" s="405" t="s">
        <v>488</v>
      </c>
      <c r="B38" s="406" t="s">
        <v>436</v>
      </c>
      <c r="C38" s="406" t="s">
        <v>437</v>
      </c>
      <c r="D38" s="406" t="s">
        <v>444</v>
      </c>
      <c r="E38" s="406" t="s">
        <v>445</v>
      </c>
      <c r="F38" s="409">
        <v>269</v>
      </c>
      <c r="G38" s="409">
        <v>137728</v>
      </c>
      <c r="H38" s="409">
        <v>1</v>
      </c>
      <c r="I38" s="409">
        <v>512</v>
      </c>
      <c r="J38" s="409">
        <v>378</v>
      </c>
      <c r="K38" s="409">
        <v>194776</v>
      </c>
      <c r="L38" s="409">
        <v>1.4142077137546469</v>
      </c>
      <c r="M38" s="409">
        <v>515.28042328042329</v>
      </c>
      <c r="N38" s="409">
        <v>555</v>
      </c>
      <c r="O38" s="409">
        <v>287490</v>
      </c>
      <c r="P38" s="494">
        <v>2.0873751161710037</v>
      </c>
      <c r="Q38" s="410">
        <v>518</v>
      </c>
    </row>
    <row r="39" spans="1:17" ht="14.4" customHeight="1" x14ac:dyDescent="0.3">
      <c r="A39" s="405" t="s">
        <v>488</v>
      </c>
      <c r="B39" s="406" t="s">
        <v>436</v>
      </c>
      <c r="C39" s="406" t="s">
        <v>437</v>
      </c>
      <c r="D39" s="406" t="s">
        <v>448</v>
      </c>
      <c r="E39" s="406" t="s">
        <v>449</v>
      </c>
      <c r="F39" s="409"/>
      <c r="G39" s="409"/>
      <c r="H39" s="409"/>
      <c r="I39" s="409"/>
      <c r="J39" s="409"/>
      <c r="K39" s="409"/>
      <c r="L39" s="409"/>
      <c r="M39" s="409"/>
      <c r="N39" s="409">
        <v>3</v>
      </c>
      <c r="O39" s="409">
        <v>66.66</v>
      </c>
      <c r="P39" s="494"/>
      <c r="Q39" s="410">
        <v>22.22</v>
      </c>
    </row>
    <row r="40" spans="1:17" ht="14.4" customHeight="1" x14ac:dyDescent="0.3">
      <c r="A40" s="405" t="s">
        <v>488</v>
      </c>
      <c r="B40" s="406" t="s">
        <v>436</v>
      </c>
      <c r="C40" s="406" t="s">
        <v>437</v>
      </c>
      <c r="D40" s="406" t="s">
        <v>452</v>
      </c>
      <c r="E40" s="406" t="s">
        <v>453</v>
      </c>
      <c r="F40" s="409">
        <v>1</v>
      </c>
      <c r="G40" s="409">
        <v>345</v>
      </c>
      <c r="H40" s="409">
        <v>1</v>
      </c>
      <c r="I40" s="409">
        <v>345</v>
      </c>
      <c r="J40" s="409">
        <v>5</v>
      </c>
      <c r="K40" s="409">
        <v>1740</v>
      </c>
      <c r="L40" s="409">
        <v>5.0434782608695654</v>
      </c>
      <c r="M40" s="409">
        <v>348</v>
      </c>
      <c r="N40" s="409">
        <v>6</v>
      </c>
      <c r="O40" s="409">
        <v>2100</v>
      </c>
      <c r="P40" s="494">
        <v>6.0869565217391308</v>
      </c>
      <c r="Q40" s="410">
        <v>350</v>
      </c>
    </row>
    <row r="41" spans="1:17" ht="14.4" customHeight="1" x14ac:dyDescent="0.3">
      <c r="A41" s="405" t="s">
        <v>488</v>
      </c>
      <c r="B41" s="406" t="s">
        <v>436</v>
      </c>
      <c r="C41" s="406" t="s">
        <v>437</v>
      </c>
      <c r="D41" s="406" t="s">
        <v>456</v>
      </c>
      <c r="E41" s="406" t="s">
        <v>457</v>
      </c>
      <c r="F41" s="409">
        <v>1</v>
      </c>
      <c r="G41" s="409">
        <v>261</v>
      </c>
      <c r="H41" s="409">
        <v>1</v>
      </c>
      <c r="I41" s="409">
        <v>261</v>
      </c>
      <c r="J41" s="409">
        <v>6</v>
      </c>
      <c r="K41" s="409">
        <v>1584</v>
      </c>
      <c r="L41" s="409">
        <v>6.068965517241379</v>
      </c>
      <c r="M41" s="409">
        <v>264</v>
      </c>
      <c r="N41" s="409">
        <v>6</v>
      </c>
      <c r="O41" s="409">
        <v>1590</v>
      </c>
      <c r="P41" s="494">
        <v>6.0919540229885056</v>
      </c>
      <c r="Q41" s="410">
        <v>265</v>
      </c>
    </row>
    <row r="42" spans="1:17" ht="14.4" customHeight="1" x14ac:dyDescent="0.3">
      <c r="A42" s="405" t="s">
        <v>489</v>
      </c>
      <c r="B42" s="406" t="s">
        <v>436</v>
      </c>
      <c r="C42" s="406" t="s">
        <v>437</v>
      </c>
      <c r="D42" s="406" t="s">
        <v>440</v>
      </c>
      <c r="E42" s="406" t="s">
        <v>441</v>
      </c>
      <c r="F42" s="409"/>
      <c r="G42" s="409"/>
      <c r="H42" s="409"/>
      <c r="I42" s="409"/>
      <c r="J42" s="409">
        <v>1</v>
      </c>
      <c r="K42" s="409">
        <v>132</v>
      </c>
      <c r="L42" s="409"/>
      <c r="M42" s="409">
        <v>132</v>
      </c>
      <c r="N42" s="409">
        <v>3</v>
      </c>
      <c r="O42" s="409">
        <v>399</v>
      </c>
      <c r="P42" s="494"/>
      <c r="Q42" s="410">
        <v>133</v>
      </c>
    </row>
    <row r="43" spans="1:17" ht="14.4" customHeight="1" x14ac:dyDescent="0.3">
      <c r="A43" s="405" t="s">
        <v>489</v>
      </c>
      <c r="B43" s="406" t="s">
        <v>436</v>
      </c>
      <c r="C43" s="406" t="s">
        <v>437</v>
      </c>
      <c r="D43" s="406" t="s">
        <v>444</v>
      </c>
      <c r="E43" s="406" t="s">
        <v>445</v>
      </c>
      <c r="F43" s="409">
        <v>421</v>
      </c>
      <c r="G43" s="409">
        <v>215552</v>
      </c>
      <c r="H43" s="409">
        <v>1</v>
      </c>
      <c r="I43" s="409">
        <v>512</v>
      </c>
      <c r="J43" s="409">
        <v>386</v>
      </c>
      <c r="K43" s="409">
        <v>192496</v>
      </c>
      <c r="L43" s="409">
        <v>0.89303741092636579</v>
      </c>
      <c r="M43" s="409">
        <v>498.6943005181347</v>
      </c>
      <c r="N43" s="409">
        <v>423</v>
      </c>
      <c r="O43" s="409">
        <v>219114</v>
      </c>
      <c r="P43" s="494">
        <v>1.0165250148456058</v>
      </c>
      <c r="Q43" s="410">
        <v>518</v>
      </c>
    </row>
    <row r="44" spans="1:17" ht="14.4" customHeight="1" x14ac:dyDescent="0.3">
      <c r="A44" s="405" t="s">
        <v>489</v>
      </c>
      <c r="B44" s="406" t="s">
        <v>436</v>
      </c>
      <c r="C44" s="406" t="s">
        <v>437</v>
      </c>
      <c r="D44" s="406" t="s">
        <v>448</v>
      </c>
      <c r="E44" s="406" t="s">
        <v>449</v>
      </c>
      <c r="F44" s="409"/>
      <c r="G44" s="409"/>
      <c r="H44" s="409"/>
      <c r="I44" s="409"/>
      <c r="J44" s="409"/>
      <c r="K44" s="409"/>
      <c r="L44" s="409"/>
      <c r="M44" s="409"/>
      <c r="N44" s="409">
        <v>9</v>
      </c>
      <c r="O44" s="409">
        <v>33.33</v>
      </c>
      <c r="P44" s="494"/>
      <c r="Q44" s="410">
        <v>3.7033333333333331</v>
      </c>
    </row>
    <row r="45" spans="1:17" ht="14.4" customHeight="1" x14ac:dyDescent="0.3">
      <c r="A45" s="405" t="s">
        <v>489</v>
      </c>
      <c r="B45" s="406" t="s">
        <v>436</v>
      </c>
      <c r="C45" s="406" t="s">
        <v>437</v>
      </c>
      <c r="D45" s="406" t="s">
        <v>452</v>
      </c>
      <c r="E45" s="406" t="s">
        <v>453</v>
      </c>
      <c r="F45" s="409">
        <v>2</v>
      </c>
      <c r="G45" s="409">
        <v>690</v>
      </c>
      <c r="H45" s="409">
        <v>1</v>
      </c>
      <c r="I45" s="409">
        <v>345</v>
      </c>
      <c r="J45" s="409">
        <v>6</v>
      </c>
      <c r="K45" s="409">
        <v>2085</v>
      </c>
      <c r="L45" s="409">
        <v>3.0217391304347827</v>
      </c>
      <c r="M45" s="409">
        <v>347.5</v>
      </c>
      <c r="N45" s="409">
        <v>7</v>
      </c>
      <c r="O45" s="409">
        <v>2450</v>
      </c>
      <c r="P45" s="494">
        <v>3.5507246376811592</v>
      </c>
      <c r="Q45" s="410">
        <v>350</v>
      </c>
    </row>
    <row r="46" spans="1:17" ht="14.4" customHeight="1" x14ac:dyDescent="0.3">
      <c r="A46" s="405" t="s">
        <v>489</v>
      </c>
      <c r="B46" s="406" t="s">
        <v>436</v>
      </c>
      <c r="C46" s="406" t="s">
        <v>437</v>
      </c>
      <c r="D46" s="406" t="s">
        <v>456</v>
      </c>
      <c r="E46" s="406" t="s">
        <v>457</v>
      </c>
      <c r="F46" s="409">
        <v>4</v>
      </c>
      <c r="G46" s="409">
        <v>1044</v>
      </c>
      <c r="H46" s="409">
        <v>1</v>
      </c>
      <c r="I46" s="409">
        <v>261</v>
      </c>
      <c r="J46" s="409">
        <v>3</v>
      </c>
      <c r="K46" s="409">
        <v>789</v>
      </c>
      <c r="L46" s="409">
        <v>0.75574712643678166</v>
      </c>
      <c r="M46" s="409">
        <v>263</v>
      </c>
      <c r="N46" s="409">
        <v>3</v>
      </c>
      <c r="O46" s="409">
        <v>795</v>
      </c>
      <c r="P46" s="494">
        <v>0.7614942528735632</v>
      </c>
      <c r="Q46" s="410">
        <v>265</v>
      </c>
    </row>
    <row r="47" spans="1:17" ht="14.4" customHeight="1" x14ac:dyDescent="0.3">
      <c r="A47" s="405" t="s">
        <v>490</v>
      </c>
      <c r="B47" s="406" t="s">
        <v>436</v>
      </c>
      <c r="C47" s="406" t="s">
        <v>437</v>
      </c>
      <c r="D47" s="406" t="s">
        <v>444</v>
      </c>
      <c r="E47" s="406" t="s">
        <v>445</v>
      </c>
      <c r="F47" s="409"/>
      <c r="G47" s="409"/>
      <c r="H47" s="409"/>
      <c r="I47" s="409"/>
      <c r="J47" s="409">
        <v>21</v>
      </c>
      <c r="K47" s="409">
        <v>10764</v>
      </c>
      <c r="L47" s="409"/>
      <c r="M47" s="409">
        <v>512.57142857142856</v>
      </c>
      <c r="N47" s="409"/>
      <c r="O47" s="409"/>
      <c r="P47" s="494"/>
      <c r="Q47" s="410"/>
    </row>
    <row r="48" spans="1:17" ht="14.4" customHeight="1" x14ac:dyDescent="0.3">
      <c r="A48" s="405" t="s">
        <v>490</v>
      </c>
      <c r="B48" s="406" t="s">
        <v>436</v>
      </c>
      <c r="C48" s="406" t="s">
        <v>437</v>
      </c>
      <c r="D48" s="406" t="s">
        <v>452</v>
      </c>
      <c r="E48" s="406" t="s">
        <v>453</v>
      </c>
      <c r="F48" s="409"/>
      <c r="G48" s="409"/>
      <c r="H48" s="409"/>
      <c r="I48" s="409"/>
      <c r="J48" s="409">
        <v>1</v>
      </c>
      <c r="K48" s="409">
        <v>345</v>
      </c>
      <c r="L48" s="409"/>
      <c r="M48" s="409">
        <v>345</v>
      </c>
      <c r="N48" s="409"/>
      <c r="O48" s="409"/>
      <c r="P48" s="494"/>
      <c r="Q48" s="410"/>
    </row>
    <row r="49" spans="1:17" ht="14.4" customHeight="1" x14ac:dyDescent="0.3">
      <c r="A49" s="405" t="s">
        <v>491</v>
      </c>
      <c r="B49" s="406" t="s">
        <v>436</v>
      </c>
      <c r="C49" s="406" t="s">
        <v>437</v>
      </c>
      <c r="D49" s="406" t="s">
        <v>444</v>
      </c>
      <c r="E49" s="406" t="s">
        <v>445</v>
      </c>
      <c r="F49" s="409"/>
      <c r="G49" s="409"/>
      <c r="H49" s="409"/>
      <c r="I49" s="409"/>
      <c r="J49" s="409">
        <v>4</v>
      </c>
      <c r="K49" s="409">
        <v>2064</v>
      </c>
      <c r="L49" s="409"/>
      <c r="M49" s="409">
        <v>516</v>
      </c>
      <c r="N49" s="409">
        <v>9</v>
      </c>
      <c r="O49" s="409">
        <v>4662</v>
      </c>
      <c r="P49" s="494"/>
      <c r="Q49" s="410">
        <v>518</v>
      </c>
    </row>
    <row r="50" spans="1:17" ht="14.4" customHeight="1" x14ac:dyDescent="0.3">
      <c r="A50" s="405" t="s">
        <v>491</v>
      </c>
      <c r="B50" s="406" t="s">
        <v>436</v>
      </c>
      <c r="C50" s="406" t="s">
        <v>437</v>
      </c>
      <c r="D50" s="406" t="s">
        <v>448</v>
      </c>
      <c r="E50" s="406" t="s">
        <v>449</v>
      </c>
      <c r="F50" s="409"/>
      <c r="G50" s="409"/>
      <c r="H50" s="409"/>
      <c r="I50" s="409"/>
      <c r="J50" s="409"/>
      <c r="K50" s="409"/>
      <c r="L50" s="409"/>
      <c r="M50" s="409"/>
      <c r="N50" s="409">
        <v>1</v>
      </c>
      <c r="O50" s="409">
        <v>33.33</v>
      </c>
      <c r="P50" s="494"/>
      <c r="Q50" s="410">
        <v>33.33</v>
      </c>
    </row>
    <row r="51" spans="1:17" ht="14.4" customHeight="1" x14ac:dyDescent="0.3">
      <c r="A51" s="405" t="s">
        <v>491</v>
      </c>
      <c r="B51" s="406" t="s">
        <v>436</v>
      </c>
      <c r="C51" s="406" t="s">
        <v>437</v>
      </c>
      <c r="D51" s="406" t="s">
        <v>452</v>
      </c>
      <c r="E51" s="406" t="s">
        <v>453</v>
      </c>
      <c r="F51" s="409"/>
      <c r="G51" s="409"/>
      <c r="H51" s="409"/>
      <c r="I51" s="409"/>
      <c r="J51" s="409">
        <v>1</v>
      </c>
      <c r="K51" s="409">
        <v>348</v>
      </c>
      <c r="L51" s="409"/>
      <c r="M51" s="409">
        <v>348</v>
      </c>
      <c r="N51" s="409">
        <v>2</v>
      </c>
      <c r="O51" s="409">
        <v>700</v>
      </c>
      <c r="P51" s="494"/>
      <c r="Q51" s="410">
        <v>350</v>
      </c>
    </row>
    <row r="52" spans="1:17" ht="14.4" customHeight="1" thickBot="1" x14ac:dyDescent="0.35">
      <c r="A52" s="411" t="s">
        <v>492</v>
      </c>
      <c r="B52" s="412" t="s">
        <v>436</v>
      </c>
      <c r="C52" s="412" t="s">
        <v>437</v>
      </c>
      <c r="D52" s="412" t="s">
        <v>444</v>
      </c>
      <c r="E52" s="412" t="s">
        <v>445</v>
      </c>
      <c r="F52" s="415"/>
      <c r="G52" s="415"/>
      <c r="H52" s="415"/>
      <c r="I52" s="415"/>
      <c r="J52" s="415"/>
      <c r="K52" s="415"/>
      <c r="L52" s="415"/>
      <c r="M52" s="415"/>
      <c r="N52" s="415">
        <v>1</v>
      </c>
      <c r="O52" s="415">
        <v>518</v>
      </c>
      <c r="P52" s="426"/>
      <c r="Q52" s="416">
        <v>518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2781.9126461488004</v>
      </c>
      <c r="D4" s="134">
        <f ca="1">IF(ISERROR(VLOOKUP("Náklady celkem",INDIRECT("HI!$A:$G"),5,0)),0,VLOOKUP("Náklady celkem",INDIRECT("HI!$A:$G"),5,0))</f>
        <v>2888.2751800000015</v>
      </c>
      <c r="E4" s="135">
        <f ca="1">IF(C4=0,0,D4/C4)</f>
        <v>1.0382335994620271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0</v>
      </c>
      <c r="D7" s="142">
        <f>IF(ISERROR(HI!E5),"",HI!E5)</f>
        <v>0.33857999999999999</v>
      </c>
      <c r="E7" s="139">
        <f t="shared" ref="E7:E12" si="0">IF(C7=0,0,D7/C7)</f>
        <v>0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0</v>
      </c>
      <c r="D12" s="142">
        <f>IF(ISERROR(HI!E6),"",HI!E6)</f>
        <v>1.01122</v>
      </c>
      <c r="E12" s="139">
        <f t="shared" si="0"/>
        <v>0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2593.3332516496166</v>
      </c>
      <c r="D13" s="138">
        <f ca="1">IF(ISERROR(VLOOKUP("Osobní náklady (Kč) *",INDIRECT("HI!$A:$G"),5,0)),0,VLOOKUP("Osobní náklady (Kč) *",INDIRECT("HI!$A:$G"),5,0))</f>
        <v>2696.3835600000011</v>
      </c>
      <c r="E13" s="139">
        <f ca="1">IF(C13=0,0,D13/C13)</f>
        <v>1.039736624008825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590.09500000000003</v>
      </c>
      <c r="D15" s="157">
        <f ca="1">IF(ISERROR(VLOOKUP("Výnosy celkem",INDIRECT("HI!$A:$G"),5,0)),0,VLOOKUP("Výnosy celkem",INDIRECT("HI!$A:$G"),5,0))</f>
        <v>657.56200000000001</v>
      </c>
      <c r="E15" s="158">
        <f t="shared" ref="E15:E18" ca="1" si="1">IF(C15=0,0,D15/C15)</f>
        <v>1.1143324379972717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590.09500000000003</v>
      </c>
      <c r="D16" s="138">
        <f ca="1">IF(ISERROR(VLOOKUP("Ambulance *",INDIRECT("HI!$A:$G"),5,0)),0,VLOOKUP("Ambulance *",INDIRECT("HI!$A:$G"),5,0))</f>
        <v>657.56200000000001</v>
      </c>
      <c r="E16" s="139">
        <f t="shared" ca="1" si="1"/>
        <v>1.1143324379972717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1.1143324379972717</v>
      </c>
      <c r="E17" s="139">
        <f t="shared" si="1"/>
        <v>1.1143324379972717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1.8058131957070733</v>
      </c>
      <c r="E18" s="139">
        <f t="shared" si="1"/>
        <v>2.1244861125965571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0.47911999999999999</v>
      </c>
      <c r="C5" s="29">
        <v>0</v>
      </c>
      <c r="D5" s="8"/>
      <c r="E5" s="92">
        <v>0.33857999999999999</v>
      </c>
      <c r="F5" s="28">
        <v>0</v>
      </c>
      <c r="G5" s="91">
        <f>E5-F5</f>
        <v>0.33857999999999999</v>
      </c>
      <c r="H5" s="97" t="str">
        <f>IF(F5&lt;0.00000001,"",E5/F5)</f>
        <v/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0.04</v>
      </c>
      <c r="C6" s="31">
        <v>0</v>
      </c>
      <c r="D6" s="8"/>
      <c r="E6" s="93">
        <v>1.01122</v>
      </c>
      <c r="F6" s="30">
        <v>0</v>
      </c>
      <c r="G6" s="94">
        <f>E6-F6</f>
        <v>1.01122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2103.71083</v>
      </c>
      <c r="C7" s="31">
        <v>2183.1039700000006</v>
      </c>
      <c r="D7" s="8"/>
      <c r="E7" s="93">
        <v>2696.3835600000011</v>
      </c>
      <c r="F7" s="30">
        <v>2593.3332516496166</v>
      </c>
      <c r="G7" s="94">
        <f>E7-F7</f>
        <v>103.05030835038451</v>
      </c>
      <c r="H7" s="98">
        <f>IF(F7&lt;0.00000001,"",E7/F7)</f>
        <v>1.039736624008825</v>
      </c>
    </row>
    <row r="8" spans="1:8" ht="14.4" customHeight="1" thickBot="1" x14ac:dyDescent="0.35">
      <c r="A8" s="1" t="s">
        <v>62</v>
      </c>
      <c r="B8" s="11">
        <v>192.01361999999966</v>
      </c>
      <c r="C8" s="33">
        <v>192.48467000000073</v>
      </c>
      <c r="D8" s="8"/>
      <c r="E8" s="95">
        <v>190.54182000000031</v>
      </c>
      <c r="F8" s="32">
        <v>188.57939449918376</v>
      </c>
      <c r="G8" s="96">
        <f>E8-F8</f>
        <v>1.9624255008165505</v>
      </c>
      <c r="H8" s="99">
        <f>IF(F8&lt;0.00000001,"",E8/F8)</f>
        <v>1.0104063622965183</v>
      </c>
    </row>
    <row r="9" spans="1:8" ht="14.4" customHeight="1" thickBot="1" x14ac:dyDescent="0.35">
      <c r="A9" s="2" t="s">
        <v>63</v>
      </c>
      <c r="B9" s="3">
        <v>2296.2435699999996</v>
      </c>
      <c r="C9" s="35">
        <v>2375.5886400000013</v>
      </c>
      <c r="D9" s="8"/>
      <c r="E9" s="3">
        <v>2888.2751800000015</v>
      </c>
      <c r="F9" s="34">
        <v>2781.9126461488004</v>
      </c>
      <c r="G9" s="34">
        <f>E9-F9</f>
        <v>106.36253385120108</v>
      </c>
      <c r="H9" s="100">
        <f>IF(F9&lt;0.00000001,"",E9/F9)</f>
        <v>1.0382335994620271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590.09500000000003</v>
      </c>
      <c r="C11" s="29">
        <f>IF(ISERROR(VLOOKUP("Celkem:",'ZV Vykáz.-A'!A:F,4,0)),0,VLOOKUP("Celkem:",'ZV Vykáz.-A'!A:F,4,0)/1000)</f>
        <v>635.31600000000003</v>
      </c>
      <c r="D11" s="8"/>
      <c r="E11" s="92">
        <f>IF(ISERROR(VLOOKUP("Celkem:",'ZV Vykáz.-A'!A:F,6,0)),0,VLOOKUP("Celkem:",'ZV Vykáz.-A'!A:F,6,0)/1000)</f>
        <v>657.56200000000001</v>
      </c>
      <c r="F11" s="28">
        <f>B11</f>
        <v>590.09500000000003</v>
      </c>
      <c r="G11" s="91">
        <f>E11-F11</f>
        <v>67.466999999999985</v>
      </c>
      <c r="H11" s="97">
        <f>IF(F11&lt;0.00000001,"",E11/F11)</f>
        <v>1.1143324379972717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590.09500000000003</v>
      </c>
      <c r="C13" s="37">
        <f>SUM(C11:C12)</f>
        <v>635.31600000000003</v>
      </c>
      <c r="D13" s="8"/>
      <c r="E13" s="5">
        <f>SUM(E11:E12)</f>
        <v>657.56200000000001</v>
      </c>
      <c r="F13" s="36">
        <f>SUM(F11:F12)</f>
        <v>590.09500000000003</v>
      </c>
      <c r="G13" s="36">
        <f>E13-F13</f>
        <v>67.466999999999985</v>
      </c>
      <c r="H13" s="101">
        <f>IF(F13&lt;0.00000001,"",E13/F13)</f>
        <v>1.1143324379972717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0.25698275553581634</v>
      </c>
      <c r="C15" s="39">
        <f>IF(C9=0,"",C13/C9)</f>
        <v>0.26743519029456198</v>
      </c>
      <c r="D15" s="8"/>
      <c r="E15" s="6">
        <f>IF(E9=0,"",E13/E9)</f>
        <v>0.2276659802200702</v>
      </c>
      <c r="F15" s="38">
        <f>IF(F9=0,"",F13/F9)</f>
        <v>0.21211845052608339</v>
      </c>
      <c r="G15" s="38">
        <f>IF(ISERROR(F15-E15),"",E15-F15)</f>
        <v>1.5547529693986817E-2</v>
      </c>
      <c r="H15" s="102">
        <f>IF(ISERROR(F15-E15),"",IF(F15&lt;0.00000001,"",E15/F15))</f>
        <v>1.073296451371518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0.34662513732624911</v>
      </c>
      <c r="C4" s="174">
        <f t="shared" ref="C4:M4" si="0">(C10+C8)/C6</f>
        <v>0.31268596157080125</v>
      </c>
      <c r="D4" s="174">
        <f t="shared" si="0"/>
        <v>0.29740581786655634</v>
      </c>
      <c r="E4" s="174">
        <f t="shared" si="0"/>
        <v>0.29782124809464594</v>
      </c>
      <c r="F4" s="174">
        <f t="shared" si="0"/>
        <v>0.3027589639859663</v>
      </c>
      <c r="G4" s="174">
        <f t="shared" si="0"/>
        <v>0.25686832153372546</v>
      </c>
      <c r="H4" s="174">
        <f t="shared" si="0"/>
        <v>0.2373437310688592</v>
      </c>
      <c r="I4" s="174">
        <f t="shared" si="0"/>
        <v>0.23237923305381711</v>
      </c>
      <c r="J4" s="174">
        <f t="shared" si="0"/>
        <v>0.22902496706463865</v>
      </c>
      <c r="K4" s="174">
        <f t="shared" si="0"/>
        <v>0.22766597675779623</v>
      </c>
      <c r="L4" s="174">
        <f t="shared" si="0"/>
        <v>0.22766597675779623</v>
      </c>
      <c r="M4" s="174">
        <f t="shared" si="0"/>
        <v>0.22766597675779623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275.49358000000001</v>
      </c>
      <c r="C5" s="174">
        <f>IF(ISERROR(VLOOKUP($A5,'Man Tab'!$A:$Q,COLUMN()+2,0)),0,VLOOKUP($A5,'Man Tab'!$A:$Q,COLUMN()+2,0))</f>
        <v>274.36801000000099</v>
      </c>
      <c r="D5" s="174">
        <f>IF(ISERROR(VLOOKUP($A5,'Man Tab'!$A:$Q,COLUMN()+2,0)),0,VLOOKUP($A5,'Man Tab'!$A:$Q,COLUMN()+2,0))</f>
        <v>257.15692000000001</v>
      </c>
      <c r="E5" s="174">
        <f>IF(ISERROR(VLOOKUP($A5,'Man Tab'!$A:$Q,COLUMN()+2,0)),0,VLOOKUP($A5,'Man Tab'!$A:$Q,COLUMN()+2,0))</f>
        <v>274.51949999999999</v>
      </c>
      <c r="F5" s="174">
        <f>IF(ISERROR(VLOOKUP($A5,'Man Tab'!$A:$Q,COLUMN()+2,0)),0,VLOOKUP($A5,'Man Tab'!$A:$Q,COLUMN()+2,0))</f>
        <v>227.21376000000001</v>
      </c>
      <c r="G5" s="174">
        <f>IF(ISERROR(VLOOKUP($A5,'Man Tab'!$A:$Q,COLUMN()+2,0)),0,VLOOKUP($A5,'Man Tab'!$A:$Q,COLUMN()+2,0))</f>
        <v>373.21375</v>
      </c>
      <c r="H5" s="174">
        <f>IF(ISERROR(VLOOKUP($A5,'Man Tab'!$A:$Q,COLUMN()+2,0)),0,VLOOKUP($A5,'Man Tab'!$A:$Q,COLUMN()+2,0))</f>
        <v>379.86547000000002</v>
      </c>
      <c r="I5" s="174">
        <f>IF(ISERROR(VLOOKUP($A5,'Man Tab'!$A:$Q,COLUMN()+2,0)),0,VLOOKUP($A5,'Man Tab'!$A:$Q,COLUMN()+2,0))</f>
        <v>268.58233000000001</v>
      </c>
      <c r="J5" s="174">
        <f>IF(ISERROR(VLOOKUP($A5,'Man Tab'!$A:$Q,COLUMN()+2,0)),0,VLOOKUP($A5,'Man Tab'!$A:$Q,COLUMN()+2,0))</f>
        <v>282.34836999999999</v>
      </c>
      <c r="K5" s="174">
        <f>IF(ISERROR(VLOOKUP($A5,'Man Tab'!$A:$Q,COLUMN()+2,0)),0,VLOOKUP($A5,'Man Tab'!$A:$Q,COLUMN()+2,0))</f>
        <v>275.51348999999999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275.49358000000001</v>
      </c>
      <c r="C6" s="176">
        <f t="shared" ref="C6:M6" si="1">C5+B6</f>
        <v>549.861590000001</v>
      </c>
      <c r="D6" s="176">
        <f t="shared" si="1"/>
        <v>807.01851000000102</v>
      </c>
      <c r="E6" s="176">
        <f t="shared" si="1"/>
        <v>1081.5380100000011</v>
      </c>
      <c r="F6" s="176">
        <f t="shared" si="1"/>
        <v>1308.7517700000012</v>
      </c>
      <c r="G6" s="176">
        <f t="shared" si="1"/>
        <v>1681.9655200000011</v>
      </c>
      <c r="H6" s="176">
        <f t="shared" si="1"/>
        <v>2061.8309900000013</v>
      </c>
      <c r="I6" s="176">
        <f t="shared" si="1"/>
        <v>2330.4133200000015</v>
      </c>
      <c r="J6" s="176">
        <f t="shared" si="1"/>
        <v>2612.7616900000016</v>
      </c>
      <c r="K6" s="176">
        <f t="shared" si="1"/>
        <v>2888.2751800000015</v>
      </c>
      <c r="L6" s="176">
        <f t="shared" si="1"/>
        <v>2888.2751800000015</v>
      </c>
      <c r="M6" s="176">
        <f t="shared" si="1"/>
        <v>2888.2751800000015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95493</v>
      </c>
      <c r="C9" s="175">
        <v>76441</v>
      </c>
      <c r="D9" s="175">
        <v>68078</v>
      </c>
      <c r="E9" s="175">
        <v>82093</v>
      </c>
      <c r="F9" s="175">
        <v>74131.33</v>
      </c>
      <c r="G9" s="175">
        <v>35807.33</v>
      </c>
      <c r="H9" s="175">
        <v>57319</v>
      </c>
      <c r="I9" s="175">
        <v>52177</v>
      </c>
      <c r="J9" s="175">
        <v>56848</v>
      </c>
      <c r="K9" s="175">
        <v>59174.33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95.492999999999995</v>
      </c>
      <c r="C10" s="176">
        <f t="shared" ref="C10:M10" si="3">C9/1000+B10</f>
        <v>171.934</v>
      </c>
      <c r="D10" s="176">
        <f t="shared" si="3"/>
        <v>240.012</v>
      </c>
      <c r="E10" s="176">
        <f t="shared" si="3"/>
        <v>322.10500000000002</v>
      </c>
      <c r="F10" s="176">
        <f t="shared" si="3"/>
        <v>396.23633000000001</v>
      </c>
      <c r="G10" s="176">
        <f t="shared" si="3"/>
        <v>432.04365999999999</v>
      </c>
      <c r="H10" s="176">
        <f t="shared" si="3"/>
        <v>489.36266000000001</v>
      </c>
      <c r="I10" s="176">
        <f t="shared" si="3"/>
        <v>541.53966000000003</v>
      </c>
      <c r="J10" s="176">
        <f t="shared" si="3"/>
        <v>598.38765999999998</v>
      </c>
      <c r="K10" s="176">
        <f t="shared" si="3"/>
        <v>657.56199000000004</v>
      </c>
      <c r="L10" s="176">
        <f t="shared" si="3"/>
        <v>657.56199000000004</v>
      </c>
      <c r="M10" s="176">
        <f t="shared" si="3"/>
        <v>657.56199000000004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0.21211845052608339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0.21211845052608339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250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0.33857999999999999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0.33857999999999999</v>
      </c>
      <c r="Q7" s="71" t="s">
        <v>248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0.94345999999999997</v>
      </c>
      <c r="J9" s="47">
        <v>6.7760000000000001E-2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1.01122</v>
      </c>
      <c r="Q9" s="71" t="s">
        <v>248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13.260189245092</v>
      </c>
      <c r="C11" s="47">
        <v>1.105015770424</v>
      </c>
      <c r="D11" s="47">
        <v>0</v>
      </c>
      <c r="E11" s="47">
        <v>0.47189999999999999</v>
      </c>
      <c r="F11" s="47">
        <v>1.1599600000000001</v>
      </c>
      <c r="G11" s="47">
        <v>2.82</v>
      </c>
      <c r="H11" s="47">
        <v>1.91995</v>
      </c>
      <c r="I11" s="47">
        <v>0</v>
      </c>
      <c r="J11" s="47">
        <v>0</v>
      </c>
      <c r="K11" s="47">
        <v>0</v>
      </c>
      <c r="L11" s="47">
        <v>2.67482</v>
      </c>
      <c r="M11" s="47">
        <v>0.50914999999999999</v>
      </c>
      <c r="N11" s="47">
        <v>0</v>
      </c>
      <c r="O11" s="47">
        <v>0</v>
      </c>
      <c r="P11" s="48">
        <v>9.5557800000000004</v>
      </c>
      <c r="Q11" s="71">
        <v>0.86476412877999997</v>
      </c>
    </row>
    <row r="12" spans="1:17" ht="14.4" customHeight="1" x14ac:dyDescent="0.3">
      <c r="A12" s="15" t="s">
        <v>26</v>
      </c>
      <c r="B12" s="46">
        <v>0.99999996850200001</v>
      </c>
      <c r="C12" s="47">
        <v>8.3333330708000003E-2</v>
      </c>
      <c r="D12" s="47">
        <v>7.2300000000000003E-2</v>
      </c>
      <c r="E12" s="47">
        <v>0</v>
      </c>
      <c r="F12" s="47">
        <v>0</v>
      </c>
      <c r="G12" s="47">
        <v>3.1899999999999998E-2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0.1042</v>
      </c>
      <c r="Q12" s="71">
        <v>0.12504000393799999</v>
      </c>
    </row>
    <row r="13" spans="1:17" ht="14.4" customHeight="1" x14ac:dyDescent="0.3">
      <c r="A13" s="15" t="s">
        <v>27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1">
        <v>0</v>
      </c>
    </row>
    <row r="14" spans="1:17" ht="14.4" customHeight="1" x14ac:dyDescent="0.3">
      <c r="A14" s="15" t="s">
        <v>28</v>
      </c>
      <c r="B14" s="46">
        <v>147.77419616540701</v>
      </c>
      <c r="C14" s="47">
        <v>12.314516347116999</v>
      </c>
      <c r="D14" s="47">
        <v>17.451000000000001</v>
      </c>
      <c r="E14" s="47">
        <v>14.673</v>
      </c>
      <c r="F14" s="47">
        <v>14.477</v>
      </c>
      <c r="G14" s="47">
        <v>12.324999999999999</v>
      </c>
      <c r="H14" s="47">
        <v>10.172000000000001</v>
      </c>
      <c r="I14" s="47">
        <v>8.9849999999999994</v>
      </c>
      <c r="J14" s="47">
        <v>8.7409999999999997</v>
      </c>
      <c r="K14" s="47">
        <v>8.0640000000000001</v>
      </c>
      <c r="L14" s="47">
        <v>9.4640000000000004</v>
      </c>
      <c r="M14" s="47">
        <v>13.129</v>
      </c>
      <c r="N14" s="47">
        <v>0</v>
      </c>
      <c r="O14" s="47">
        <v>0</v>
      </c>
      <c r="P14" s="48">
        <v>117.48099999999999</v>
      </c>
      <c r="Q14" s="71">
        <v>0.95400417432899998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13.559512816128001</v>
      </c>
      <c r="C17" s="47">
        <v>1.129959401344</v>
      </c>
      <c r="D17" s="47">
        <v>0</v>
      </c>
      <c r="E17" s="47">
        <v>0.80223</v>
      </c>
      <c r="F17" s="47">
        <v>0</v>
      </c>
      <c r="G17" s="47">
        <v>0.90991999999999995</v>
      </c>
      <c r="H17" s="47">
        <v>1.3878699999999999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3.1000200000000002</v>
      </c>
      <c r="Q17" s="71">
        <v>0.27434790987199997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0.41399999999999998</v>
      </c>
      <c r="M18" s="47">
        <v>0</v>
      </c>
      <c r="N18" s="47">
        <v>0</v>
      </c>
      <c r="O18" s="47">
        <v>0</v>
      </c>
      <c r="P18" s="48">
        <v>0.41399999999999998</v>
      </c>
      <c r="Q18" s="71" t="s">
        <v>248</v>
      </c>
    </row>
    <row r="19" spans="1:17" ht="14.4" customHeight="1" x14ac:dyDescent="0.3">
      <c r="A19" s="15" t="s">
        <v>33</v>
      </c>
      <c r="B19" s="46">
        <v>27.701412881877999</v>
      </c>
      <c r="C19" s="47">
        <v>2.308451073489</v>
      </c>
      <c r="D19" s="47">
        <v>1.61053</v>
      </c>
      <c r="E19" s="47">
        <v>1.50888</v>
      </c>
      <c r="F19" s="47">
        <v>1.61633</v>
      </c>
      <c r="G19" s="47">
        <v>2.2266900000000001</v>
      </c>
      <c r="H19" s="47">
        <v>1.57409</v>
      </c>
      <c r="I19" s="47">
        <v>1.53267</v>
      </c>
      <c r="J19" s="47">
        <v>3.3755199999999999</v>
      </c>
      <c r="K19" s="47">
        <v>1.7571300000000001</v>
      </c>
      <c r="L19" s="47">
        <v>1.7571300000000001</v>
      </c>
      <c r="M19" s="47">
        <v>2.1751999999999998</v>
      </c>
      <c r="N19" s="47">
        <v>0</v>
      </c>
      <c r="O19" s="47">
        <v>0</v>
      </c>
      <c r="P19" s="48">
        <v>19.134170000000001</v>
      </c>
      <c r="Q19" s="71">
        <v>0.82887483385399996</v>
      </c>
    </row>
    <row r="20" spans="1:17" ht="14.4" customHeight="1" x14ac:dyDescent="0.3">
      <c r="A20" s="15" t="s">
        <v>34</v>
      </c>
      <c r="B20" s="46">
        <v>3111.99990197954</v>
      </c>
      <c r="C20" s="47">
        <v>259.33332516496199</v>
      </c>
      <c r="D20" s="47">
        <v>253.6105</v>
      </c>
      <c r="E20" s="47">
        <v>253.02200000000099</v>
      </c>
      <c r="F20" s="47">
        <v>238.26363000000001</v>
      </c>
      <c r="G20" s="47">
        <v>254.56599</v>
      </c>
      <c r="H20" s="47">
        <v>210.51984999999999</v>
      </c>
      <c r="I20" s="47">
        <v>359.77404000000001</v>
      </c>
      <c r="J20" s="47">
        <v>362.24178999999998</v>
      </c>
      <c r="K20" s="47">
        <v>251.06720000000001</v>
      </c>
      <c r="L20" s="47">
        <v>255.25842</v>
      </c>
      <c r="M20" s="47">
        <v>258.06013999999999</v>
      </c>
      <c r="N20" s="47">
        <v>0</v>
      </c>
      <c r="O20" s="47">
        <v>0</v>
      </c>
      <c r="P20" s="48">
        <v>2696.3835600000002</v>
      </c>
      <c r="Q20" s="71">
        <v>1.0397366240079999</v>
      </c>
    </row>
    <row r="21" spans="1:17" ht="14.4" customHeight="1" x14ac:dyDescent="0.3">
      <c r="A21" s="16" t="s">
        <v>35</v>
      </c>
      <c r="B21" s="46">
        <v>19.999962416498999</v>
      </c>
      <c r="C21" s="47">
        <v>1.6666635347080001</v>
      </c>
      <c r="D21" s="47">
        <v>1.64</v>
      </c>
      <c r="E21" s="47">
        <v>1.64</v>
      </c>
      <c r="F21" s="47">
        <v>1.64</v>
      </c>
      <c r="G21" s="47">
        <v>1.64</v>
      </c>
      <c r="H21" s="47">
        <v>1.64</v>
      </c>
      <c r="I21" s="47">
        <v>1.64</v>
      </c>
      <c r="J21" s="47">
        <v>1.64</v>
      </c>
      <c r="K21" s="47">
        <v>1.64</v>
      </c>
      <c r="L21" s="47">
        <v>1.64</v>
      </c>
      <c r="M21" s="47">
        <v>1.64</v>
      </c>
      <c r="N21" s="47">
        <v>0</v>
      </c>
      <c r="O21" s="47">
        <v>0</v>
      </c>
      <c r="P21" s="48">
        <v>16.399999999999999</v>
      </c>
      <c r="Q21" s="71">
        <v>0.98400184911099997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3.7993999999999999</v>
      </c>
      <c r="K22" s="47">
        <v>6.0540000000000003</v>
      </c>
      <c r="L22" s="47">
        <v>3.14</v>
      </c>
      <c r="M22" s="47">
        <v>0</v>
      </c>
      <c r="N22" s="47">
        <v>0</v>
      </c>
      <c r="O22" s="47">
        <v>0</v>
      </c>
      <c r="P22" s="48">
        <v>12.993399999999999</v>
      </c>
      <c r="Q22" s="71" t="s">
        <v>248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1.1092500000000001</v>
      </c>
      <c r="E24" s="47">
        <v>2.25</v>
      </c>
      <c r="F24" s="47">
        <v>0</v>
      </c>
      <c r="G24" s="47">
        <v>5.6843418860808002E-14</v>
      </c>
      <c r="H24" s="47">
        <v>2.8421709430404001E-14</v>
      </c>
      <c r="I24" s="47">
        <v>0</v>
      </c>
      <c r="J24" s="47">
        <v>0</v>
      </c>
      <c r="K24" s="47">
        <v>0</v>
      </c>
      <c r="L24" s="47">
        <v>7.9999999999989999</v>
      </c>
      <c r="M24" s="47">
        <v>0</v>
      </c>
      <c r="N24" s="47">
        <v>0</v>
      </c>
      <c r="O24" s="47">
        <v>0</v>
      </c>
      <c r="P24" s="48">
        <v>11.359249999999999</v>
      </c>
      <c r="Q24" s="71"/>
    </row>
    <row r="25" spans="1:17" ht="14.4" customHeight="1" x14ac:dyDescent="0.3">
      <c r="A25" s="17" t="s">
        <v>39</v>
      </c>
      <c r="B25" s="49">
        <v>3338.2951753785601</v>
      </c>
      <c r="C25" s="50">
        <v>278.19126461488003</v>
      </c>
      <c r="D25" s="50">
        <v>275.49358000000001</v>
      </c>
      <c r="E25" s="50">
        <v>274.36801000000099</v>
      </c>
      <c r="F25" s="50">
        <v>257.15692000000001</v>
      </c>
      <c r="G25" s="50">
        <v>274.51949999999999</v>
      </c>
      <c r="H25" s="50">
        <v>227.21376000000001</v>
      </c>
      <c r="I25" s="50">
        <v>373.21375</v>
      </c>
      <c r="J25" s="50">
        <v>379.86547000000002</v>
      </c>
      <c r="K25" s="50">
        <v>268.58233000000001</v>
      </c>
      <c r="L25" s="50">
        <v>282.34836999999999</v>
      </c>
      <c r="M25" s="50">
        <v>275.51348999999999</v>
      </c>
      <c r="N25" s="50">
        <v>0</v>
      </c>
      <c r="O25" s="50">
        <v>0</v>
      </c>
      <c r="P25" s="51">
        <v>2888.2751800000001</v>
      </c>
      <c r="Q25" s="72">
        <v>1.038233599462</v>
      </c>
    </row>
    <row r="26" spans="1:17" ht="14.4" customHeight="1" x14ac:dyDescent="0.3">
      <c r="A26" s="15" t="s">
        <v>40</v>
      </c>
      <c r="B26" s="46">
        <v>502.09512956055698</v>
      </c>
      <c r="C26" s="47">
        <v>41.841260796713001</v>
      </c>
      <c r="D26" s="47">
        <v>38.77093</v>
      </c>
      <c r="E26" s="47">
        <v>39.319479999999999</v>
      </c>
      <c r="F26" s="47">
        <v>41.556899999999999</v>
      </c>
      <c r="G26" s="47">
        <v>38.912520000000001</v>
      </c>
      <c r="H26" s="47">
        <v>30.820789999999999</v>
      </c>
      <c r="I26" s="47">
        <v>63.753480000000003</v>
      </c>
      <c r="J26" s="47">
        <v>51.830129999999997</v>
      </c>
      <c r="K26" s="47">
        <v>34.059939999999997</v>
      </c>
      <c r="L26" s="47">
        <v>43.03436</v>
      </c>
      <c r="M26" s="47">
        <v>41.692450000000001</v>
      </c>
      <c r="N26" s="47">
        <v>0</v>
      </c>
      <c r="O26" s="47">
        <v>0</v>
      </c>
      <c r="P26" s="48">
        <v>423.75098000000003</v>
      </c>
      <c r="Q26" s="71">
        <v>1.012758630909</v>
      </c>
    </row>
    <row r="27" spans="1:17" ht="14.4" customHeight="1" x14ac:dyDescent="0.3">
      <c r="A27" s="18" t="s">
        <v>41</v>
      </c>
      <c r="B27" s="49">
        <v>3840.3903049391201</v>
      </c>
      <c r="C27" s="50">
        <v>320.03252541159299</v>
      </c>
      <c r="D27" s="50">
        <v>314.26450999999997</v>
      </c>
      <c r="E27" s="50">
        <v>313.68749000000099</v>
      </c>
      <c r="F27" s="50">
        <v>298.71382</v>
      </c>
      <c r="G27" s="50">
        <v>313.43202000000002</v>
      </c>
      <c r="H27" s="50">
        <v>258.03455000000002</v>
      </c>
      <c r="I27" s="50">
        <v>436.96722999999997</v>
      </c>
      <c r="J27" s="50">
        <v>431.69560000000001</v>
      </c>
      <c r="K27" s="50">
        <v>302.64227</v>
      </c>
      <c r="L27" s="50">
        <v>325.38272999999998</v>
      </c>
      <c r="M27" s="50">
        <v>317.20594</v>
      </c>
      <c r="N27" s="50">
        <v>0</v>
      </c>
      <c r="O27" s="50">
        <v>0</v>
      </c>
      <c r="P27" s="51">
        <v>3312.0261599999999</v>
      </c>
      <c r="Q27" s="72">
        <v>1.034902985482</v>
      </c>
    </row>
    <row r="28" spans="1:17" ht="14.4" customHeight="1" x14ac:dyDescent="0.3">
      <c r="A28" s="16" t="s">
        <v>42</v>
      </c>
      <c r="B28" s="46">
        <v>0</v>
      </c>
      <c r="C28" s="47">
        <v>0</v>
      </c>
      <c r="D28" s="47">
        <v>0.22</v>
      </c>
      <c r="E28" s="47">
        <v>0</v>
      </c>
      <c r="F28" s="47">
        <v>0</v>
      </c>
      <c r="G28" s="47">
        <v>0</v>
      </c>
      <c r="H28" s="47">
        <v>0.38262000000000002</v>
      </c>
      <c r="I28" s="47">
        <v>0.38262000000000002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0.98524</v>
      </c>
      <c r="Q28" s="71" t="s">
        <v>249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251</v>
      </c>
      <c r="B6" s="361">
        <v>3441.1472956500902</v>
      </c>
      <c r="C6" s="361">
        <v>3018.0945099999999</v>
      </c>
      <c r="D6" s="362">
        <v>-423.05278565008598</v>
      </c>
      <c r="E6" s="363">
        <v>0.87706054135300004</v>
      </c>
      <c r="F6" s="361">
        <v>3338.2951753785601</v>
      </c>
      <c r="G6" s="362">
        <v>2781.9126461487999</v>
      </c>
      <c r="H6" s="364">
        <v>275.51348999999999</v>
      </c>
      <c r="I6" s="361">
        <v>2888.2751800000001</v>
      </c>
      <c r="J6" s="362">
        <v>106.362533851202</v>
      </c>
      <c r="K6" s="365">
        <v>0.86519466621800001</v>
      </c>
    </row>
    <row r="7" spans="1:11" ht="14.4" customHeight="1" thickBot="1" x14ac:dyDescent="0.35">
      <c r="A7" s="380" t="s">
        <v>252</v>
      </c>
      <c r="B7" s="361">
        <v>169.85184636650499</v>
      </c>
      <c r="C7" s="361">
        <v>151.6944</v>
      </c>
      <c r="D7" s="362">
        <v>-18.157446366504001</v>
      </c>
      <c r="E7" s="363">
        <v>0.89309832801300004</v>
      </c>
      <c r="F7" s="361">
        <v>165.03438528450999</v>
      </c>
      <c r="G7" s="362">
        <v>137.528654403758</v>
      </c>
      <c r="H7" s="364">
        <v>13.63815</v>
      </c>
      <c r="I7" s="361">
        <v>128.49078</v>
      </c>
      <c r="J7" s="362">
        <v>-9.0378744037579999</v>
      </c>
      <c r="K7" s="365">
        <v>0.77856974944000001</v>
      </c>
    </row>
    <row r="8" spans="1:11" ht="14.4" customHeight="1" thickBot="1" x14ac:dyDescent="0.35">
      <c r="A8" s="381" t="s">
        <v>253</v>
      </c>
      <c r="B8" s="361">
        <v>15.171196011928</v>
      </c>
      <c r="C8" s="361">
        <v>11.6594</v>
      </c>
      <c r="D8" s="362">
        <v>-3.5117960119279998</v>
      </c>
      <c r="E8" s="363">
        <v>0.768522138322</v>
      </c>
      <c r="F8" s="361">
        <v>17.260189119102002</v>
      </c>
      <c r="G8" s="362">
        <v>14.383490932585</v>
      </c>
      <c r="H8" s="364">
        <v>0.50914999999999999</v>
      </c>
      <c r="I8" s="361">
        <v>11.009779999999999</v>
      </c>
      <c r="J8" s="362">
        <v>-3.3737109325849999</v>
      </c>
      <c r="K8" s="365">
        <v>0.63787134219800001</v>
      </c>
    </row>
    <row r="9" spans="1:11" ht="14.4" customHeight="1" thickBot="1" x14ac:dyDescent="0.35">
      <c r="A9" s="382" t="s">
        <v>254</v>
      </c>
      <c r="B9" s="366">
        <v>0.47948292892299998</v>
      </c>
      <c r="C9" s="366">
        <v>0</v>
      </c>
      <c r="D9" s="367">
        <v>-0.47948292892299998</v>
      </c>
      <c r="E9" s="368">
        <v>0</v>
      </c>
      <c r="F9" s="366">
        <v>0</v>
      </c>
      <c r="G9" s="367">
        <v>0</v>
      </c>
      <c r="H9" s="369">
        <v>0</v>
      </c>
      <c r="I9" s="366">
        <v>0.33857999999999999</v>
      </c>
      <c r="J9" s="367">
        <v>0.33857999999999999</v>
      </c>
      <c r="K9" s="370" t="s">
        <v>249</v>
      </c>
    </row>
    <row r="10" spans="1:11" ht="14.4" customHeight="1" thickBot="1" x14ac:dyDescent="0.35">
      <c r="A10" s="383" t="s">
        <v>255</v>
      </c>
      <c r="B10" s="361">
        <v>0.47948292892299998</v>
      </c>
      <c r="C10" s="361">
        <v>0</v>
      </c>
      <c r="D10" s="362">
        <v>-0.47948292892299998</v>
      </c>
      <c r="E10" s="363">
        <v>0</v>
      </c>
      <c r="F10" s="361">
        <v>0</v>
      </c>
      <c r="G10" s="362">
        <v>0</v>
      </c>
      <c r="H10" s="364">
        <v>0</v>
      </c>
      <c r="I10" s="361">
        <v>0.33857999999999999</v>
      </c>
      <c r="J10" s="362">
        <v>0.33857999999999999</v>
      </c>
      <c r="K10" s="371" t="s">
        <v>249</v>
      </c>
    </row>
    <row r="11" spans="1:11" ht="14.4" customHeight="1" thickBot="1" x14ac:dyDescent="0.35">
      <c r="A11" s="382" t="s">
        <v>256</v>
      </c>
      <c r="B11" s="366">
        <v>3.9999698665999998E-2</v>
      </c>
      <c r="C11" s="366">
        <v>0</v>
      </c>
      <c r="D11" s="367">
        <v>-3.9999698665999998E-2</v>
      </c>
      <c r="E11" s="368">
        <v>0</v>
      </c>
      <c r="F11" s="366">
        <v>0</v>
      </c>
      <c r="G11" s="367">
        <v>0</v>
      </c>
      <c r="H11" s="369">
        <v>0</v>
      </c>
      <c r="I11" s="366">
        <v>1.01122</v>
      </c>
      <c r="J11" s="367">
        <v>1.01122</v>
      </c>
      <c r="K11" s="370" t="s">
        <v>249</v>
      </c>
    </row>
    <row r="12" spans="1:11" ht="14.4" customHeight="1" thickBot="1" x14ac:dyDescent="0.35">
      <c r="A12" s="383" t="s">
        <v>257</v>
      </c>
      <c r="B12" s="361">
        <v>0</v>
      </c>
      <c r="C12" s="361">
        <v>0</v>
      </c>
      <c r="D12" s="362">
        <v>0</v>
      </c>
      <c r="E12" s="363">
        <v>1</v>
      </c>
      <c r="F12" s="361">
        <v>0</v>
      </c>
      <c r="G12" s="362">
        <v>0</v>
      </c>
      <c r="H12" s="364">
        <v>0</v>
      </c>
      <c r="I12" s="361">
        <v>0.28936000000000001</v>
      </c>
      <c r="J12" s="362">
        <v>0.28936000000000001</v>
      </c>
      <c r="K12" s="371" t="s">
        <v>249</v>
      </c>
    </row>
    <row r="13" spans="1:11" ht="14.4" customHeight="1" thickBot="1" x14ac:dyDescent="0.35">
      <c r="A13" s="383" t="s">
        <v>258</v>
      </c>
      <c r="B13" s="361">
        <v>3.9999698665999998E-2</v>
      </c>
      <c r="C13" s="361">
        <v>0</v>
      </c>
      <c r="D13" s="362">
        <v>-3.9999698665999998E-2</v>
      </c>
      <c r="E13" s="363">
        <v>0</v>
      </c>
      <c r="F13" s="361">
        <v>0</v>
      </c>
      <c r="G13" s="362">
        <v>0</v>
      </c>
      <c r="H13" s="364">
        <v>0</v>
      </c>
      <c r="I13" s="361">
        <v>0.72185999999999995</v>
      </c>
      <c r="J13" s="362">
        <v>0.72185999999999995</v>
      </c>
      <c r="K13" s="371" t="s">
        <v>249</v>
      </c>
    </row>
    <row r="14" spans="1:11" ht="14.4" customHeight="1" thickBot="1" x14ac:dyDescent="0.35">
      <c r="A14" s="382" t="s">
        <v>259</v>
      </c>
      <c r="B14" s="366">
        <v>13.162129307817001</v>
      </c>
      <c r="C14" s="366">
        <v>8.1452299999999997</v>
      </c>
      <c r="D14" s="367">
        <v>-5.0168993078169999</v>
      </c>
      <c r="E14" s="368">
        <v>0.61883832087500001</v>
      </c>
      <c r="F14" s="366">
        <v>13.260189245092</v>
      </c>
      <c r="G14" s="367">
        <v>11.050157704244</v>
      </c>
      <c r="H14" s="369">
        <v>0.50914999999999999</v>
      </c>
      <c r="I14" s="366">
        <v>9.5557800000000004</v>
      </c>
      <c r="J14" s="367">
        <v>-1.4943777042440001</v>
      </c>
      <c r="K14" s="372">
        <v>0.72063677398299997</v>
      </c>
    </row>
    <row r="15" spans="1:11" ht="14.4" customHeight="1" thickBot="1" x14ac:dyDescent="0.35">
      <c r="A15" s="383" t="s">
        <v>260</v>
      </c>
      <c r="B15" s="361">
        <v>0</v>
      </c>
      <c r="C15" s="361">
        <v>0</v>
      </c>
      <c r="D15" s="362">
        <v>0</v>
      </c>
      <c r="E15" s="373" t="s">
        <v>248</v>
      </c>
      <c r="F15" s="361">
        <v>0</v>
      </c>
      <c r="G15" s="362">
        <v>0</v>
      </c>
      <c r="H15" s="364">
        <v>0</v>
      </c>
      <c r="I15" s="361">
        <v>1.3</v>
      </c>
      <c r="J15" s="362">
        <v>1.3</v>
      </c>
      <c r="K15" s="371" t="s">
        <v>249</v>
      </c>
    </row>
    <row r="16" spans="1:11" ht="14.4" customHeight="1" thickBot="1" x14ac:dyDescent="0.35">
      <c r="A16" s="383" t="s">
        <v>261</v>
      </c>
      <c r="B16" s="361">
        <v>0</v>
      </c>
      <c r="C16" s="361">
        <v>0.10696</v>
      </c>
      <c r="D16" s="362">
        <v>0.10696</v>
      </c>
      <c r="E16" s="373" t="s">
        <v>249</v>
      </c>
      <c r="F16" s="361">
        <v>0</v>
      </c>
      <c r="G16" s="362">
        <v>0</v>
      </c>
      <c r="H16" s="364">
        <v>0</v>
      </c>
      <c r="I16" s="361">
        <v>0</v>
      </c>
      <c r="J16" s="362">
        <v>0</v>
      </c>
      <c r="K16" s="365">
        <v>0</v>
      </c>
    </row>
    <row r="17" spans="1:11" ht="14.4" customHeight="1" thickBot="1" x14ac:dyDescent="0.35">
      <c r="A17" s="383" t="s">
        <v>262</v>
      </c>
      <c r="B17" s="361">
        <v>2.2523999963099999</v>
      </c>
      <c r="C17" s="361">
        <v>2.4256899999999999</v>
      </c>
      <c r="D17" s="362">
        <v>0.17329000368899999</v>
      </c>
      <c r="E17" s="363">
        <v>1.0769357147809999</v>
      </c>
      <c r="F17" s="361">
        <v>3.8952225394590001</v>
      </c>
      <c r="G17" s="362">
        <v>3.246018782882</v>
      </c>
      <c r="H17" s="364">
        <v>0</v>
      </c>
      <c r="I17" s="361">
        <v>1.2397199999999999</v>
      </c>
      <c r="J17" s="362">
        <v>-2.0062987828819998</v>
      </c>
      <c r="K17" s="365">
        <v>0.31826679668199997</v>
      </c>
    </row>
    <row r="18" spans="1:11" ht="14.4" customHeight="1" thickBot="1" x14ac:dyDescent="0.35">
      <c r="A18" s="383" t="s">
        <v>263</v>
      </c>
      <c r="B18" s="361">
        <v>2.231142273158</v>
      </c>
      <c r="C18" s="361">
        <v>3.4522400000000002</v>
      </c>
      <c r="D18" s="362">
        <v>1.2210977268409999</v>
      </c>
      <c r="E18" s="363">
        <v>1.5472971139180001</v>
      </c>
      <c r="F18" s="361">
        <v>5.9999998110139998</v>
      </c>
      <c r="G18" s="362">
        <v>4.9999998425119996</v>
      </c>
      <c r="H18" s="364">
        <v>0.50914999999999999</v>
      </c>
      <c r="I18" s="361">
        <v>3.5371299999999999</v>
      </c>
      <c r="J18" s="362">
        <v>-1.4628698425119999</v>
      </c>
      <c r="K18" s="365">
        <v>0.58952168523500004</v>
      </c>
    </row>
    <row r="19" spans="1:11" ht="14.4" customHeight="1" thickBot="1" x14ac:dyDescent="0.35">
      <c r="A19" s="383" t="s">
        <v>264</v>
      </c>
      <c r="B19" s="361">
        <v>0.99991897388999995</v>
      </c>
      <c r="C19" s="361">
        <v>0</v>
      </c>
      <c r="D19" s="362">
        <v>-0.99991897388999995</v>
      </c>
      <c r="E19" s="363">
        <v>0</v>
      </c>
      <c r="F19" s="361">
        <v>0.99999996850200001</v>
      </c>
      <c r="G19" s="362">
        <v>0.83333330708499997</v>
      </c>
      <c r="H19" s="364">
        <v>0</v>
      </c>
      <c r="I19" s="361">
        <v>2.4467500000000002</v>
      </c>
      <c r="J19" s="362">
        <v>1.6134166929139999</v>
      </c>
      <c r="K19" s="365">
        <v>2.446750077066</v>
      </c>
    </row>
    <row r="20" spans="1:11" ht="14.4" customHeight="1" thickBot="1" x14ac:dyDescent="0.35">
      <c r="A20" s="383" t="s">
        <v>265</v>
      </c>
      <c r="B20" s="361">
        <v>5.8613186333189997</v>
      </c>
      <c r="C20" s="361">
        <v>0</v>
      </c>
      <c r="D20" s="362">
        <v>-5.8613186333189997</v>
      </c>
      <c r="E20" s="363">
        <v>0</v>
      </c>
      <c r="F20" s="361">
        <v>0</v>
      </c>
      <c r="G20" s="362">
        <v>0</v>
      </c>
      <c r="H20" s="364">
        <v>0</v>
      </c>
      <c r="I20" s="361">
        <v>0</v>
      </c>
      <c r="J20" s="362">
        <v>0</v>
      </c>
      <c r="K20" s="365">
        <v>0</v>
      </c>
    </row>
    <row r="21" spans="1:11" ht="14.4" customHeight="1" thickBot="1" x14ac:dyDescent="0.35">
      <c r="A21" s="383" t="s">
        <v>266</v>
      </c>
      <c r="B21" s="361">
        <v>0.90308199399699995</v>
      </c>
      <c r="C21" s="361">
        <v>0.89639999999999997</v>
      </c>
      <c r="D21" s="362">
        <v>-6.6819939969999997E-3</v>
      </c>
      <c r="E21" s="363">
        <v>0.99260089998199996</v>
      </c>
      <c r="F21" s="361">
        <v>1.364966957614</v>
      </c>
      <c r="G21" s="362">
        <v>1.1374724646779999</v>
      </c>
      <c r="H21" s="364">
        <v>0</v>
      </c>
      <c r="I21" s="361">
        <v>0.97409999999999997</v>
      </c>
      <c r="J21" s="362">
        <v>-0.16337246467800001</v>
      </c>
      <c r="K21" s="365">
        <v>0.71364364870899999</v>
      </c>
    </row>
    <row r="22" spans="1:11" ht="14.4" customHeight="1" thickBot="1" x14ac:dyDescent="0.35">
      <c r="A22" s="383" t="s">
        <v>267</v>
      </c>
      <c r="B22" s="361">
        <v>0.91426743714000003</v>
      </c>
      <c r="C22" s="361">
        <v>1.2639400000000001</v>
      </c>
      <c r="D22" s="362">
        <v>0.349672562859</v>
      </c>
      <c r="E22" s="363">
        <v>1.3824620112829999</v>
      </c>
      <c r="F22" s="361">
        <v>0.99999996850200001</v>
      </c>
      <c r="G22" s="362">
        <v>0.83333330708499997</v>
      </c>
      <c r="H22" s="364">
        <v>0</v>
      </c>
      <c r="I22" s="361">
        <v>5.808E-2</v>
      </c>
      <c r="J22" s="362">
        <v>-0.77525330708499995</v>
      </c>
      <c r="K22" s="365">
        <v>5.8080001829E-2</v>
      </c>
    </row>
    <row r="23" spans="1:11" ht="14.4" customHeight="1" thickBot="1" x14ac:dyDescent="0.35">
      <c r="A23" s="382" t="s">
        <v>268</v>
      </c>
      <c r="B23" s="366">
        <v>1.0001864980149999</v>
      </c>
      <c r="C23" s="366">
        <v>0</v>
      </c>
      <c r="D23" s="367">
        <v>-1.0001864980149999</v>
      </c>
      <c r="E23" s="368">
        <v>0</v>
      </c>
      <c r="F23" s="366">
        <v>0.99999996850200001</v>
      </c>
      <c r="G23" s="367">
        <v>0.83333330708499997</v>
      </c>
      <c r="H23" s="369">
        <v>0</v>
      </c>
      <c r="I23" s="366">
        <v>0.1042</v>
      </c>
      <c r="J23" s="367">
        <v>-0.72913330708500002</v>
      </c>
      <c r="K23" s="372">
        <v>0.10420000328200001</v>
      </c>
    </row>
    <row r="24" spans="1:11" ht="14.4" customHeight="1" thickBot="1" x14ac:dyDescent="0.35">
      <c r="A24" s="383" t="s">
        <v>269</v>
      </c>
      <c r="B24" s="361">
        <v>1.0001864980149999</v>
      </c>
      <c r="C24" s="361">
        <v>0</v>
      </c>
      <c r="D24" s="362">
        <v>-1.0001864980149999</v>
      </c>
      <c r="E24" s="363">
        <v>0</v>
      </c>
      <c r="F24" s="361">
        <v>0.99999996850200001</v>
      </c>
      <c r="G24" s="362">
        <v>0.83333330708499997</v>
      </c>
      <c r="H24" s="364">
        <v>0</v>
      </c>
      <c r="I24" s="361">
        <v>0.1042</v>
      </c>
      <c r="J24" s="362">
        <v>-0.72913330708500002</v>
      </c>
      <c r="K24" s="365">
        <v>0.10420000328200001</v>
      </c>
    </row>
    <row r="25" spans="1:11" ht="14.4" customHeight="1" thickBot="1" x14ac:dyDescent="0.35">
      <c r="A25" s="382" t="s">
        <v>270</v>
      </c>
      <c r="B25" s="366">
        <v>0.48939757850600002</v>
      </c>
      <c r="C25" s="366">
        <v>3.51417</v>
      </c>
      <c r="D25" s="367">
        <v>3.0247724214930001</v>
      </c>
      <c r="E25" s="368">
        <v>7.1806035712850003</v>
      </c>
      <c r="F25" s="366">
        <v>2.9999999055069999</v>
      </c>
      <c r="G25" s="367">
        <v>2.4999999212559998</v>
      </c>
      <c r="H25" s="369">
        <v>0</v>
      </c>
      <c r="I25" s="366">
        <v>0</v>
      </c>
      <c r="J25" s="367">
        <v>-2.4999999212559998</v>
      </c>
      <c r="K25" s="372">
        <v>0</v>
      </c>
    </row>
    <row r="26" spans="1:11" ht="14.4" customHeight="1" thickBot="1" x14ac:dyDescent="0.35">
      <c r="A26" s="383" t="s">
        <v>271</v>
      </c>
      <c r="B26" s="361">
        <v>0.48939757850600002</v>
      </c>
      <c r="C26" s="361">
        <v>3.51417</v>
      </c>
      <c r="D26" s="362">
        <v>3.0247724214930001</v>
      </c>
      <c r="E26" s="363">
        <v>7.1806035712850003</v>
      </c>
      <c r="F26" s="361">
        <v>2.9999999055069999</v>
      </c>
      <c r="G26" s="362">
        <v>2.4999999212559998</v>
      </c>
      <c r="H26" s="364">
        <v>0</v>
      </c>
      <c r="I26" s="361">
        <v>0</v>
      </c>
      <c r="J26" s="362">
        <v>-2.4999999212559998</v>
      </c>
      <c r="K26" s="365">
        <v>0</v>
      </c>
    </row>
    <row r="27" spans="1:11" ht="14.4" customHeight="1" thickBot="1" x14ac:dyDescent="0.35">
      <c r="A27" s="381" t="s">
        <v>28</v>
      </c>
      <c r="B27" s="361">
        <v>154.68065035457599</v>
      </c>
      <c r="C27" s="361">
        <v>140.035</v>
      </c>
      <c r="D27" s="362">
        <v>-14.645650354576</v>
      </c>
      <c r="E27" s="363">
        <v>0.90531685559200004</v>
      </c>
      <c r="F27" s="361">
        <v>147.77419616540701</v>
      </c>
      <c r="G27" s="362">
        <v>123.14516347117301</v>
      </c>
      <c r="H27" s="364">
        <v>13.129</v>
      </c>
      <c r="I27" s="361">
        <v>117.48099999999999</v>
      </c>
      <c r="J27" s="362">
        <v>-5.6641634711720004</v>
      </c>
      <c r="K27" s="365">
        <v>0.79500347860800002</v>
      </c>
    </row>
    <row r="28" spans="1:11" ht="14.4" customHeight="1" thickBot="1" x14ac:dyDescent="0.35">
      <c r="A28" s="382" t="s">
        <v>272</v>
      </c>
      <c r="B28" s="366">
        <v>154.68065035457599</v>
      </c>
      <c r="C28" s="366">
        <v>140.035</v>
      </c>
      <c r="D28" s="367">
        <v>-14.645650354576</v>
      </c>
      <c r="E28" s="368">
        <v>0.90531685559200004</v>
      </c>
      <c r="F28" s="366">
        <v>147.77419616540701</v>
      </c>
      <c r="G28" s="367">
        <v>123.14516347117301</v>
      </c>
      <c r="H28" s="369">
        <v>13.129</v>
      </c>
      <c r="I28" s="366">
        <v>117.48099999999999</v>
      </c>
      <c r="J28" s="367">
        <v>-5.6641634711720004</v>
      </c>
      <c r="K28" s="372">
        <v>0.79500347860800002</v>
      </c>
    </row>
    <row r="29" spans="1:11" ht="14.4" customHeight="1" thickBot="1" x14ac:dyDescent="0.35">
      <c r="A29" s="383" t="s">
        <v>273</v>
      </c>
      <c r="B29" s="361">
        <v>31.018429160524999</v>
      </c>
      <c r="C29" s="361">
        <v>26.065999999999999</v>
      </c>
      <c r="D29" s="362">
        <v>-4.9524291605249999</v>
      </c>
      <c r="E29" s="363">
        <v>0.84033913726200005</v>
      </c>
      <c r="F29" s="361">
        <v>26.774199976613001</v>
      </c>
      <c r="G29" s="362">
        <v>22.311833313844001</v>
      </c>
      <c r="H29" s="364">
        <v>2.2069999999999999</v>
      </c>
      <c r="I29" s="361">
        <v>22.486000000000001</v>
      </c>
      <c r="J29" s="362">
        <v>0.174166686155</v>
      </c>
      <c r="K29" s="365">
        <v>0.83983835257899997</v>
      </c>
    </row>
    <row r="30" spans="1:11" ht="14.4" customHeight="1" thickBot="1" x14ac:dyDescent="0.35">
      <c r="A30" s="383" t="s">
        <v>274</v>
      </c>
      <c r="B30" s="361">
        <v>60.000406434337997</v>
      </c>
      <c r="C30" s="361">
        <v>54.908999999999999</v>
      </c>
      <c r="D30" s="362">
        <v>-5.0914064343380003</v>
      </c>
      <c r="E30" s="363">
        <v>0.91514380090199998</v>
      </c>
      <c r="F30" s="361">
        <v>59.999998110145</v>
      </c>
      <c r="G30" s="362">
        <v>49.999998425120999</v>
      </c>
      <c r="H30" s="364">
        <v>4.8319999999999999</v>
      </c>
      <c r="I30" s="361">
        <v>45.953000000000003</v>
      </c>
      <c r="J30" s="362">
        <v>-4.0469984251210001</v>
      </c>
      <c r="K30" s="365">
        <v>0.765883357456</v>
      </c>
    </row>
    <row r="31" spans="1:11" ht="14.4" customHeight="1" thickBot="1" x14ac:dyDescent="0.35">
      <c r="A31" s="383" t="s">
        <v>275</v>
      </c>
      <c r="B31" s="361">
        <v>63.661814759712001</v>
      </c>
      <c r="C31" s="361">
        <v>59.06</v>
      </c>
      <c r="D31" s="362">
        <v>-4.601814759712</v>
      </c>
      <c r="E31" s="363">
        <v>0.92771467830300003</v>
      </c>
      <c r="F31" s="361">
        <v>60.999998078647998</v>
      </c>
      <c r="G31" s="362">
        <v>50.833331732205998</v>
      </c>
      <c r="H31" s="364">
        <v>6.09</v>
      </c>
      <c r="I31" s="361">
        <v>49.042000000000002</v>
      </c>
      <c r="J31" s="362">
        <v>-1.7913317322060001</v>
      </c>
      <c r="K31" s="365">
        <v>0.80396723843700002</v>
      </c>
    </row>
    <row r="32" spans="1:11" ht="14.4" customHeight="1" thickBot="1" x14ac:dyDescent="0.35">
      <c r="A32" s="384" t="s">
        <v>276</v>
      </c>
      <c r="B32" s="366">
        <v>30.280205215986999</v>
      </c>
      <c r="C32" s="366">
        <v>66.432360000000003</v>
      </c>
      <c r="D32" s="367">
        <v>36.152154784011998</v>
      </c>
      <c r="E32" s="368">
        <v>2.1939204019959999</v>
      </c>
      <c r="F32" s="366">
        <v>41.260925698005998</v>
      </c>
      <c r="G32" s="367">
        <v>34.384104748337997</v>
      </c>
      <c r="H32" s="369">
        <v>2.1751999999999998</v>
      </c>
      <c r="I32" s="366">
        <v>22.64819</v>
      </c>
      <c r="J32" s="367">
        <v>-11.735914748338001</v>
      </c>
      <c r="K32" s="372">
        <v>0.54890164524499996</v>
      </c>
    </row>
    <row r="33" spans="1:11" ht="14.4" customHeight="1" thickBot="1" x14ac:dyDescent="0.35">
      <c r="A33" s="381" t="s">
        <v>31</v>
      </c>
      <c r="B33" s="361">
        <v>8.8865132008629999</v>
      </c>
      <c r="C33" s="361">
        <v>32.076650000000001</v>
      </c>
      <c r="D33" s="362">
        <v>23.190136799135999</v>
      </c>
      <c r="E33" s="363">
        <v>3.609587841143</v>
      </c>
      <c r="F33" s="361">
        <v>13.559512816128001</v>
      </c>
      <c r="G33" s="362">
        <v>11.29959401344</v>
      </c>
      <c r="H33" s="364">
        <v>0</v>
      </c>
      <c r="I33" s="361">
        <v>3.1000200000000002</v>
      </c>
      <c r="J33" s="362">
        <v>-8.1995740134399995</v>
      </c>
      <c r="K33" s="365">
        <v>0.228623258227</v>
      </c>
    </row>
    <row r="34" spans="1:11" ht="14.4" customHeight="1" thickBot="1" x14ac:dyDescent="0.35">
      <c r="A34" s="385" t="s">
        <v>277</v>
      </c>
      <c r="B34" s="361">
        <v>8.8865132008629999</v>
      </c>
      <c r="C34" s="361">
        <v>32.076650000000001</v>
      </c>
      <c r="D34" s="362">
        <v>23.190136799135999</v>
      </c>
      <c r="E34" s="363">
        <v>3.609587841143</v>
      </c>
      <c r="F34" s="361">
        <v>13.559512816128001</v>
      </c>
      <c r="G34" s="362">
        <v>11.29959401344</v>
      </c>
      <c r="H34" s="364">
        <v>0</v>
      </c>
      <c r="I34" s="361">
        <v>3.1000200000000002</v>
      </c>
      <c r="J34" s="362">
        <v>-8.1995740134399995</v>
      </c>
      <c r="K34" s="365">
        <v>0.228623258227</v>
      </c>
    </row>
    <row r="35" spans="1:11" ht="14.4" customHeight="1" thickBot="1" x14ac:dyDescent="0.35">
      <c r="A35" s="383" t="s">
        <v>278</v>
      </c>
      <c r="B35" s="361">
        <v>1.880226367171</v>
      </c>
      <c r="C35" s="361">
        <v>0</v>
      </c>
      <c r="D35" s="362">
        <v>-1.880226367171</v>
      </c>
      <c r="E35" s="363">
        <v>0</v>
      </c>
      <c r="F35" s="361">
        <v>0</v>
      </c>
      <c r="G35" s="362">
        <v>0</v>
      </c>
      <c r="H35" s="364">
        <v>0</v>
      </c>
      <c r="I35" s="361">
        <v>0.90991999999999995</v>
      </c>
      <c r="J35" s="362">
        <v>0.90991999999999995</v>
      </c>
      <c r="K35" s="371" t="s">
        <v>249</v>
      </c>
    </row>
    <row r="36" spans="1:11" ht="14.4" customHeight="1" thickBot="1" x14ac:dyDescent="0.35">
      <c r="A36" s="383" t="s">
        <v>279</v>
      </c>
      <c r="B36" s="361">
        <v>4.9999915584819998</v>
      </c>
      <c r="C36" s="361">
        <v>29.646059999999999</v>
      </c>
      <c r="D36" s="362">
        <v>24.646068441516999</v>
      </c>
      <c r="E36" s="363">
        <v>5.9292220103249997</v>
      </c>
      <c r="F36" s="361">
        <v>11.999999622029</v>
      </c>
      <c r="G36" s="362">
        <v>9.9999996850239992</v>
      </c>
      <c r="H36" s="364">
        <v>0</v>
      </c>
      <c r="I36" s="361">
        <v>2.1901000000000002</v>
      </c>
      <c r="J36" s="362">
        <v>-7.8098996850239999</v>
      </c>
      <c r="K36" s="365">
        <v>0.182508339081</v>
      </c>
    </row>
    <row r="37" spans="1:11" ht="14.4" customHeight="1" thickBot="1" x14ac:dyDescent="0.35">
      <c r="A37" s="383" t="s">
        <v>280</v>
      </c>
      <c r="B37" s="361">
        <v>2.0062952752080001</v>
      </c>
      <c r="C37" s="361">
        <v>2.43059</v>
      </c>
      <c r="D37" s="362">
        <v>0.424294724791</v>
      </c>
      <c r="E37" s="363">
        <v>1.21148169466</v>
      </c>
      <c r="F37" s="361">
        <v>1.5595131940989999</v>
      </c>
      <c r="G37" s="362">
        <v>1.2995943284160001</v>
      </c>
      <c r="H37" s="364">
        <v>0</v>
      </c>
      <c r="I37" s="361">
        <v>0</v>
      </c>
      <c r="J37" s="362">
        <v>-1.2995943284160001</v>
      </c>
      <c r="K37" s="365">
        <v>0</v>
      </c>
    </row>
    <row r="38" spans="1:11" ht="14.4" customHeight="1" thickBot="1" x14ac:dyDescent="0.35">
      <c r="A38" s="386" t="s">
        <v>32</v>
      </c>
      <c r="B38" s="366">
        <v>0</v>
      </c>
      <c r="C38" s="366">
        <v>4.7389999999999999</v>
      </c>
      <c r="D38" s="367">
        <v>4.7389999999999999</v>
      </c>
      <c r="E38" s="374" t="s">
        <v>248</v>
      </c>
      <c r="F38" s="366">
        <v>0</v>
      </c>
      <c r="G38" s="367">
        <v>0</v>
      </c>
      <c r="H38" s="369">
        <v>0</v>
      </c>
      <c r="I38" s="366">
        <v>0.41399999999999998</v>
      </c>
      <c r="J38" s="367">
        <v>0.41399999999999998</v>
      </c>
      <c r="K38" s="370" t="s">
        <v>248</v>
      </c>
    </row>
    <row r="39" spans="1:11" ht="14.4" customHeight="1" thickBot="1" x14ac:dyDescent="0.35">
      <c r="A39" s="382" t="s">
        <v>281</v>
      </c>
      <c r="B39" s="366">
        <v>0</v>
      </c>
      <c r="C39" s="366">
        <v>4.7389999999999999</v>
      </c>
      <c r="D39" s="367">
        <v>4.7389999999999999</v>
      </c>
      <c r="E39" s="374" t="s">
        <v>248</v>
      </c>
      <c r="F39" s="366">
        <v>0</v>
      </c>
      <c r="G39" s="367">
        <v>0</v>
      </c>
      <c r="H39" s="369">
        <v>0</v>
      </c>
      <c r="I39" s="366">
        <v>0.41399999999999998</v>
      </c>
      <c r="J39" s="367">
        <v>0.41399999999999998</v>
      </c>
      <c r="K39" s="370" t="s">
        <v>248</v>
      </c>
    </row>
    <row r="40" spans="1:11" ht="14.4" customHeight="1" thickBot="1" x14ac:dyDescent="0.35">
      <c r="A40" s="383" t="s">
        <v>282</v>
      </c>
      <c r="B40" s="361">
        <v>0</v>
      </c>
      <c r="C40" s="361">
        <v>4.7389999999999999</v>
      </c>
      <c r="D40" s="362">
        <v>4.7389999999999999</v>
      </c>
      <c r="E40" s="373" t="s">
        <v>248</v>
      </c>
      <c r="F40" s="361">
        <v>0</v>
      </c>
      <c r="G40" s="362">
        <v>0</v>
      </c>
      <c r="H40" s="364">
        <v>0</v>
      </c>
      <c r="I40" s="361">
        <v>0.41399999999999998</v>
      </c>
      <c r="J40" s="362">
        <v>0.41399999999999998</v>
      </c>
      <c r="K40" s="371" t="s">
        <v>248</v>
      </c>
    </row>
    <row r="41" spans="1:11" ht="14.4" customHeight="1" thickBot="1" x14ac:dyDescent="0.35">
      <c r="A41" s="381" t="s">
        <v>33</v>
      </c>
      <c r="B41" s="361">
        <v>21.393692015123001</v>
      </c>
      <c r="C41" s="361">
        <v>29.616710000000001</v>
      </c>
      <c r="D41" s="362">
        <v>8.2230179848759999</v>
      </c>
      <c r="E41" s="363">
        <v>1.3843664748960001</v>
      </c>
      <c r="F41" s="361">
        <v>27.701412881877999</v>
      </c>
      <c r="G41" s="362">
        <v>23.084510734898</v>
      </c>
      <c r="H41" s="364">
        <v>2.1751999999999998</v>
      </c>
      <c r="I41" s="361">
        <v>19.134170000000001</v>
      </c>
      <c r="J41" s="362">
        <v>-3.950340734898</v>
      </c>
      <c r="K41" s="365">
        <v>0.690729028212</v>
      </c>
    </row>
    <row r="42" spans="1:11" ht="14.4" customHeight="1" thickBot="1" x14ac:dyDescent="0.35">
      <c r="A42" s="382" t="s">
        <v>283</v>
      </c>
      <c r="B42" s="366">
        <v>8.2737648577E-2</v>
      </c>
      <c r="C42" s="366">
        <v>0.20699999999999999</v>
      </c>
      <c r="D42" s="367">
        <v>0.124262351422</v>
      </c>
      <c r="E42" s="368">
        <v>2.5018840099999999</v>
      </c>
      <c r="F42" s="366">
        <v>0.10588701725000001</v>
      </c>
      <c r="G42" s="367">
        <v>8.8239181040999995E-2</v>
      </c>
      <c r="H42" s="369">
        <v>0</v>
      </c>
      <c r="I42" s="366">
        <v>0.13600000000000001</v>
      </c>
      <c r="J42" s="367">
        <v>4.7760818958000002E-2</v>
      </c>
      <c r="K42" s="372">
        <v>1.284387864838</v>
      </c>
    </row>
    <row r="43" spans="1:11" ht="14.4" customHeight="1" thickBot="1" x14ac:dyDescent="0.35">
      <c r="A43" s="383" t="s">
        <v>284</v>
      </c>
      <c r="B43" s="361">
        <v>8.2737648577E-2</v>
      </c>
      <c r="C43" s="361">
        <v>0.20699999999999999</v>
      </c>
      <c r="D43" s="362">
        <v>0.124262351422</v>
      </c>
      <c r="E43" s="363">
        <v>2.5018840099999999</v>
      </c>
      <c r="F43" s="361">
        <v>0.10588701725000001</v>
      </c>
      <c r="G43" s="362">
        <v>8.8239181040999995E-2</v>
      </c>
      <c r="H43" s="364">
        <v>0</v>
      </c>
      <c r="I43" s="361">
        <v>0.13600000000000001</v>
      </c>
      <c r="J43" s="362">
        <v>4.7760818958000002E-2</v>
      </c>
      <c r="K43" s="365">
        <v>1.284387864838</v>
      </c>
    </row>
    <row r="44" spans="1:11" ht="14.4" customHeight="1" thickBot="1" x14ac:dyDescent="0.35">
      <c r="A44" s="382" t="s">
        <v>285</v>
      </c>
      <c r="B44" s="366">
        <v>6.5863561463520002</v>
      </c>
      <c r="C44" s="366">
        <v>7.0047300000000003</v>
      </c>
      <c r="D44" s="367">
        <v>0.41837385364700003</v>
      </c>
      <c r="E44" s="368">
        <v>1.063521292251</v>
      </c>
      <c r="F44" s="366">
        <v>7.0273589625220003</v>
      </c>
      <c r="G44" s="367">
        <v>5.8561324687680001</v>
      </c>
      <c r="H44" s="369">
        <v>-0.22581999999999999</v>
      </c>
      <c r="I44" s="366">
        <v>0.93030000000000002</v>
      </c>
      <c r="J44" s="367">
        <v>-4.9258324687680002</v>
      </c>
      <c r="K44" s="372">
        <v>0.1323825928</v>
      </c>
    </row>
    <row r="45" spans="1:11" ht="14.4" customHeight="1" thickBot="1" x14ac:dyDescent="0.35">
      <c r="A45" s="383" t="s">
        <v>286</v>
      </c>
      <c r="B45" s="361">
        <v>0.23232017231900001</v>
      </c>
      <c r="C45" s="361">
        <v>0.20899999999999999</v>
      </c>
      <c r="D45" s="362">
        <v>-2.3320172319E-2</v>
      </c>
      <c r="E45" s="363">
        <v>0.89962054483999998</v>
      </c>
      <c r="F45" s="361">
        <v>0.22710996989500001</v>
      </c>
      <c r="G45" s="362">
        <v>0.18925830824600001</v>
      </c>
      <c r="H45" s="364">
        <v>2.6599999999999999E-2</v>
      </c>
      <c r="I45" s="361">
        <v>9.69E-2</v>
      </c>
      <c r="J45" s="362">
        <v>-9.2358308245999998E-2</v>
      </c>
      <c r="K45" s="365">
        <v>0.42666554904800003</v>
      </c>
    </row>
    <row r="46" spans="1:11" ht="14.4" customHeight="1" thickBot="1" x14ac:dyDescent="0.35">
      <c r="A46" s="383" t="s">
        <v>287</v>
      </c>
      <c r="B46" s="361">
        <v>6.3540359740319996</v>
      </c>
      <c r="C46" s="361">
        <v>6.7957299999999998</v>
      </c>
      <c r="D46" s="362">
        <v>0.44169402596700003</v>
      </c>
      <c r="E46" s="363">
        <v>1.0695139322110001</v>
      </c>
      <c r="F46" s="361">
        <v>6.8002489926259999</v>
      </c>
      <c r="G46" s="362">
        <v>5.666874160521</v>
      </c>
      <c r="H46" s="364">
        <v>-0.25241999999999998</v>
      </c>
      <c r="I46" s="361">
        <v>0.83340000000000003</v>
      </c>
      <c r="J46" s="362">
        <v>-4.8334741605209999</v>
      </c>
      <c r="K46" s="365">
        <v>0.12255433601</v>
      </c>
    </row>
    <row r="47" spans="1:11" ht="14.4" customHeight="1" thickBot="1" x14ac:dyDescent="0.35">
      <c r="A47" s="382" t="s">
        <v>288</v>
      </c>
      <c r="B47" s="366">
        <v>2.2373507688409999</v>
      </c>
      <c r="C47" s="366">
        <v>3.375</v>
      </c>
      <c r="D47" s="367">
        <v>1.137649231158</v>
      </c>
      <c r="E47" s="368">
        <v>1.508480497114</v>
      </c>
      <c r="F47" s="366">
        <v>3.9999998740090001</v>
      </c>
      <c r="G47" s="367">
        <v>3.333333228341</v>
      </c>
      <c r="H47" s="369">
        <v>0.94499999999999995</v>
      </c>
      <c r="I47" s="366">
        <v>3.78</v>
      </c>
      <c r="J47" s="367">
        <v>0.44666677165800001</v>
      </c>
      <c r="K47" s="372">
        <v>0.94500002976499997</v>
      </c>
    </row>
    <row r="48" spans="1:11" ht="14.4" customHeight="1" thickBot="1" x14ac:dyDescent="0.35">
      <c r="A48" s="383" t="s">
        <v>289</v>
      </c>
      <c r="B48" s="361">
        <v>2.2373507688409999</v>
      </c>
      <c r="C48" s="361">
        <v>3.375</v>
      </c>
      <c r="D48" s="362">
        <v>1.137649231158</v>
      </c>
      <c r="E48" s="363">
        <v>1.508480497114</v>
      </c>
      <c r="F48" s="361">
        <v>3.9999998740090001</v>
      </c>
      <c r="G48" s="362">
        <v>3.333333228341</v>
      </c>
      <c r="H48" s="364">
        <v>0.94499999999999995</v>
      </c>
      <c r="I48" s="361">
        <v>3.78</v>
      </c>
      <c r="J48" s="362">
        <v>0.44666677165800001</v>
      </c>
      <c r="K48" s="365">
        <v>0.94500002976499997</v>
      </c>
    </row>
    <row r="49" spans="1:11" ht="14.4" customHeight="1" thickBot="1" x14ac:dyDescent="0.35">
      <c r="A49" s="382" t="s">
        <v>290</v>
      </c>
      <c r="B49" s="366">
        <v>12.487247451351999</v>
      </c>
      <c r="C49" s="366">
        <v>15.464980000000001</v>
      </c>
      <c r="D49" s="367">
        <v>2.9777325486469999</v>
      </c>
      <c r="E49" s="368">
        <v>1.2384618836329999</v>
      </c>
      <c r="F49" s="366">
        <v>16.568167028095999</v>
      </c>
      <c r="G49" s="367">
        <v>13.806805856745999</v>
      </c>
      <c r="H49" s="369">
        <v>1.4560200000000001</v>
      </c>
      <c r="I49" s="366">
        <v>14.28787</v>
      </c>
      <c r="J49" s="367">
        <v>0.48106414325300001</v>
      </c>
      <c r="K49" s="372">
        <v>0.86236878079299994</v>
      </c>
    </row>
    <row r="50" spans="1:11" ht="14.4" customHeight="1" thickBot="1" x14ac:dyDescent="0.35">
      <c r="A50" s="383" t="s">
        <v>291</v>
      </c>
      <c r="B50" s="361">
        <v>12.487247451351999</v>
      </c>
      <c r="C50" s="361">
        <v>15.464980000000001</v>
      </c>
      <c r="D50" s="362">
        <v>2.9777325486469999</v>
      </c>
      <c r="E50" s="363">
        <v>1.2384618836329999</v>
      </c>
      <c r="F50" s="361">
        <v>16.568167028095999</v>
      </c>
      <c r="G50" s="362">
        <v>13.806805856745999</v>
      </c>
      <c r="H50" s="364">
        <v>1.4560200000000001</v>
      </c>
      <c r="I50" s="361">
        <v>14.28787</v>
      </c>
      <c r="J50" s="362">
        <v>0.48106414325300001</v>
      </c>
      <c r="K50" s="365">
        <v>0.86236878079299994</v>
      </c>
    </row>
    <row r="51" spans="1:11" ht="14.4" customHeight="1" thickBot="1" x14ac:dyDescent="0.35">
      <c r="A51" s="382" t="s">
        <v>292</v>
      </c>
      <c r="B51" s="366">
        <v>0</v>
      </c>
      <c r="C51" s="366">
        <v>3.5649999999999999</v>
      </c>
      <c r="D51" s="367">
        <v>3.5649999999999999</v>
      </c>
      <c r="E51" s="374" t="s">
        <v>249</v>
      </c>
      <c r="F51" s="366">
        <v>0</v>
      </c>
      <c r="G51" s="367">
        <v>0</v>
      </c>
      <c r="H51" s="369">
        <v>0</v>
      </c>
      <c r="I51" s="366">
        <v>0</v>
      </c>
      <c r="J51" s="367">
        <v>0</v>
      </c>
      <c r="K51" s="370" t="s">
        <v>248</v>
      </c>
    </row>
    <row r="52" spans="1:11" ht="14.4" customHeight="1" thickBot="1" x14ac:dyDescent="0.35">
      <c r="A52" s="383" t="s">
        <v>293</v>
      </c>
      <c r="B52" s="361">
        <v>0</v>
      </c>
      <c r="C52" s="361">
        <v>3.5649999999999999</v>
      </c>
      <c r="D52" s="362">
        <v>3.5649999999999999</v>
      </c>
      <c r="E52" s="373" t="s">
        <v>249</v>
      </c>
      <c r="F52" s="361">
        <v>0</v>
      </c>
      <c r="G52" s="362">
        <v>0</v>
      </c>
      <c r="H52" s="364">
        <v>0</v>
      </c>
      <c r="I52" s="361">
        <v>0</v>
      </c>
      <c r="J52" s="362">
        <v>0</v>
      </c>
      <c r="K52" s="371" t="s">
        <v>248</v>
      </c>
    </row>
    <row r="53" spans="1:11" ht="14.4" customHeight="1" thickBot="1" x14ac:dyDescent="0.35">
      <c r="A53" s="380" t="s">
        <v>34</v>
      </c>
      <c r="B53" s="361">
        <v>3222.0159166976</v>
      </c>
      <c r="C53" s="361">
        <v>2769.4196299999999</v>
      </c>
      <c r="D53" s="362">
        <v>-452.59628669759798</v>
      </c>
      <c r="E53" s="363">
        <v>0.85953008973199996</v>
      </c>
      <c r="F53" s="361">
        <v>3111.99990197954</v>
      </c>
      <c r="G53" s="362">
        <v>2593.3332516496198</v>
      </c>
      <c r="H53" s="364">
        <v>258.06013999999999</v>
      </c>
      <c r="I53" s="361">
        <v>2696.3835600000002</v>
      </c>
      <c r="J53" s="362">
        <v>103.050308350382</v>
      </c>
      <c r="K53" s="365">
        <v>0.866447186674</v>
      </c>
    </row>
    <row r="54" spans="1:11" ht="14.4" customHeight="1" thickBot="1" x14ac:dyDescent="0.35">
      <c r="A54" s="386" t="s">
        <v>294</v>
      </c>
      <c r="B54" s="366">
        <v>2387.99999999996</v>
      </c>
      <c r="C54" s="366">
        <v>2052.1460000000002</v>
      </c>
      <c r="D54" s="367">
        <v>-335.85399999995701</v>
      </c>
      <c r="E54" s="368">
        <v>0.85935762144000005</v>
      </c>
      <c r="F54" s="366">
        <v>2306.99992733509</v>
      </c>
      <c r="G54" s="367">
        <v>1922.4999394459101</v>
      </c>
      <c r="H54" s="369">
        <v>191.15600000000001</v>
      </c>
      <c r="I54" s="366">
        <v>2000.654</v>
      </c>
      <c r="J54" s="367">
        <v>78.154060554089995</v>
      </c>
      <c r="K54" s="372">
        <v>0.86721025704999999</v>
      </c>
    </row>
    <row r="55" spans="1:11" ht="14.4" customHeight="1" thickBot="1" x14ac:dyDescent="0.35">
      <c r="A55" s="382" t="s">
        <v>295</v>
      </c>
      <c r="B55" s="366">
        <v>2381.99999999996</v>
      </c>
      <c r="C55" s="366">
        <v>2049.2440000000001</v>
      </c>
      <c r="D55" s="367">
        <v>-332.755999999957</v>
      </c>
      <c r="E55" s="368">
        <v>0.860303946263</v>
      </c>
      <c r="F55" s="366">
        <v>2299.9999275555701</v>
      </c>
      <c r="G55" s="367">
        <v>1916.66660629631</v>
      </c>
      <c r="H55" s="369">
        <v>191.15600000000001</v>
      </c>
      <c r="I55" s="366">
        <v>1987.423</v>
      </c>
      <c r="J55" s="367">
        <v>70.756393703688005</v>
      </c>
      <c r="K55" s="372">
        <v>0.86409698373800004</v>
      </c>
    </row>
    <row r="56" spans="1:11" ht="14.4" customHeight="1" thickBot="1" x14ac:dyDescent="0.35">
      <c r="A56" s="383" t="s">
        <v>296</v>
      </c>
      <c r="B56" s="361">
        <v>2381.99999999996</v>
      </c>
      <c r="C56" s="361">
        <v>2049.2440000000001</v>
      </c>
      <c r="D56" s="362">
        <v>-332.755999999957</v>
      </c>
      <c r="E56" s="363">
        <v>0.860303946263</v>
      </c>
      <c r="F56" s="361">
        <v>2299.9999275555701</v>
      </c>
      <c r="G56" s="362">
        <v>1916.66660629631</v>
      </c>
      <c r="H56" s="364">
        <v>191.15600000000001</v>
      </c>
      <c r="I56" s="361">
        <v>1987.423</v>
      </c>
      <c r="J56" s="362">
        <v>70.756393703688005</v>
      </c>
      <c r="K56" s="365">
        <v>0.86409698373800004</v>
      </c>
    </row>
    <row r="57" spans="1:11" ht="14.4" customHeight="1" thickBot="1" x14ac:dyDescent="0.35">
      <c r="A57" s="382" t="s">
        <v>297</v>
      </c>
      <c r="B57" s="366">
        <v>5.9999999999989999</v>
      </c>
      <c r="C57" s="366">
        <v>2.9020000000000001</v>
      </c>
      <c r="D57" s="367">
        <v>-3.0979999999990002</v>
      </c>
      <c r="E57" s="368">
        <v>0.483666666666</v>
      </c>
      <c r="F57" s="366">
        <v>6.9999997795160001</v>
      </c>
      <c r="G57" s="367">
        <v>5.8333331495970002</v>
      </c>
      <c r="H57" s="369">
        <v>0</v>
      </c>
      <c r="I57" s="366">
        <v>13.231</v>
      </c>
      <c r="J57" s="367">
        <v>7.3976668504019996</v>
      </c>
      <c r="K57" s="372">
        <v>1.8901429166770001</v>
      </c>
    </row>
    <row r="58" spans="1:11" ht="14.4" customHeight="1" thickBot="1" x14ac:dyDescent="0.35">
      <c r="A58" s="383" t="s">
        <v>298</v>
      </c>
      <c r="B58" s="361">
        <v>5.9999999999989999</v>
      </c>
      <c r="C58" s="361">
        <v>2.9020000000000001</v>
      </c>
      <c r="D58" s="362">
        <v>-3.0979999999990002</v>
      </c>
      <c r="E58" s="363">
        <v>0.483666666666</v>
      </c>
      <c r="F58" s="361">
        <v>6.9999997795160001</v>
      </c>
      <c r="G58" s="362">
        <v>5.8333331495970002</v>
      </c>
      <c r="H58" s="364">
        <v>0</v>
      </c>
      <c r="I58" s="361">
        <v>13.231</v>
      </c>
      <c r="J58" s="362">
        <v>7.3976668504019996</v>
      </c>
      <c r="K58" s="365">
        <v>1.8901429166770001</v>
      </c>
    </row>
    <row r="59" spans="1:11" ht="14.4" customHeight="1" thickBot="1" x14ac:dyDescent="0.35">
      <c r="A59" s="381" t="s">
        <v>299</v>
      </c>
      <c r="B59" s="361">
        <v>810.01591669764196</v>
      </c>
      <c r="C59" s="361">
        <v>696.74507000000006</v>
      </c>
      <c r="D59" s="362">
        <v>-113.270846697642</v>
      </c>
      <c r="E59" s="363">
        <v>0.86016219636799995</v>
      </c>
      <c r="F59" s="361">
        <v>781.99997536889498</v>
      </c>
      <c r="G59" s="362">
        <v>651.66664614074602</v>
      </c>
      <c r="H59" s="364">
        <v>64.992559999999997</v>
      </c>
      <c r="I59" s="361">
        <v>675.72365000000002</v>
      </c>
      <c r="J59" s="362">
        <v>24.057003859253999</v>
      </c>
      <c r="K59" s="365">
        <v>0.86409676634699994</v>
      </c>
    </row>
    <row r="60" spans="1:11" ht="14.4" customHeight="1" thickBot="1" x14ac:dyDescent="0.35">
      <c r="A60" s="382" t="s">
        <v>300</v>
      </c>
      <c r="B60" s="366">
        <v>214.01591669765401</v>
      </c>
      <c r="C60" s="366">
        <v>184.43405999999999</v>
      </c>
      <c r="D60" s="367">
        <v>-29.581856697652999</v>
      </c>
      <c r="E60" s="368">
        <v>0.86177730537899999</v>
      </c>
      <c r="F60" s="366">
        <v>206.99999348000199</v>
      </c>
      <c r="G60" s="367">
        <v>172.49999456666799</v>
      </c>
      <c r="H60" s="369">
        <v>17.20356</v>
      </c>
      <c r="I60" s="366">
        <v>178.86788999999999</v>
      </c>
      <c r="J60" s="367">
        <v>6.3678954333310003</v>
      </c>
      <c r="K60" s="372">
        <v>0.86409611417300003</v>
      </c>
    </row>
    <row r="61" spans="1:11" ht="14.4" customHeight="1" thickBot="1" x14ac:dyDescent="0.35">
      <c r="A61" s="383" t="s">
        <v>301</v>
      </c>
      <c r="B61" s="361">
        <v>214.01591669765401</v>
      </c>
      <c r="C61" s="361">
        <v>184.43405999999999</v>
      </c>
      <c r="D61" s="362">
        <v>-29.581856697652999</v>
      </c>
      <c r="E61" s="363">
        <v>0.86177730537899999</v>
      </c>
      <c r="F61" s="361">
        <v>206.99999348000199</v>
      </c>
      <c r="G61" s="362">
        <v>172.49999456666799</v>
      </c>
      <c r="H61" s="364">
        <v>17.20356</v>
      </c>
      <c r="I61" s="361">
        <v>178.86788999999999</v>
      </c>
      <c r="J61" s="362">
        <v>6.3678954333310003</v>
      </c>
      <c r="K61" s="365">
        <v>0.86409611417300003</v>
      </c>
    </row>
    <row r="62" spans="1:11" ht="14.4" customHeight="1" thickBot="1" x14ac:dyDescent="0.35">
      <c r="A62" s="382" t="s">
        <v>302</v>
      </c>
      <c r="B62" s="366">
        <v>595.99999999998795</v>
      </c>
      <c r="C62" s="366">
        <v>512.31101000000001</v>
      </c>
      <c r="D62" s="367">
        <v>-83.688989999987001</v>
      </c>
      <c r="E62" s="368">
        <v>0.85958223154299995</v>
      </c>
      <c r="F62" s="366">
        <v>574.99998188889401</v>
      </c>
      <c r="G62" s="367">
        <v>479.166651574078</v>
      </c>
      <c r="H62" s="369">
        <v>47.789000000000001</v>
      </c>
      <c r="I62" s="366">
        <v>496.85575999999998</v>
      </c>
      <c r="J62" s="367">
        <v>17.689108425922001</v>
      </c>
      <c r="K62" s="372">
        <v>0.86409700112999999</v>
      </c>
    </row>
    <row r="63" spans="1:11" ht="14.4" customHeight="1" thickBot="1" x14ac:dyDescent="0.35">
      <c r="A63" s="383" t="s">
        <v>303</v>
      </c>
      <c r="B63" s="361">
        <v>595.99999999998795</v>
      </c>
      <c r="C63" s="361">
        <v>512.31101000000001</v>
      </c>
      <c r="D63" s="362">
        <v>-83.688989999987001</v>
      </c>
      <c r="E63" s="363">
        <v>0.85958223154299995</v>
      </c>
      <c r="F63" s="361">
        <v>574.99998188889401</v>
      </c>
      <c r="G63" s="362">
        <v>479.166651574078</v>
      </c>
      <c r="H63" s="364">
        <v>47.789000000000001</v>
      </c>
      <c r="I63" s="361">
        <v>496.85575999999998</v>
      </c>
      <c r="J63" s="362">
        <v>17.689108425922001</v>
      </c>
      <c r="K63" s="365">
        <v>0.86409700112999999</v>
      </c>
    </row>
    <row r="64" spans="1:11" ht="14.4" customHeight="1" thickBot="1" x14ac:dyDescent="0.35">
      <c r="A64" s="381" t="s">
        <v>304</v>
      </c>
      <c r="B64" s="361">
        <v>23.999999999999002</v>
      </c>
      <c r="C64" s="361">
        <v>20.528559999999999</v>
      </c>
      <c r="D64" s="362">
        <v>-3.4714399999990002</v>
      </c>
      <c r="E64" s="363">
        <v>0.85535666666599997</v>
      </c>
      <c r="F64" s="361">
        <v>22.999999275554998</v>
      </c>
      <c r="G64" s="362">
        <v>19.166666062962999</v>
      </c>
      <c r="H64" s="364">
        <v>1.9115800000000001</v>
      </c>
      <c r="I64" s="361">
        <v>20.00591</v>
      </c>
      <c r="J64" s="362">
        <v>0.83924393703599998</v>
      </c>
      <c r="K64" s="365">
        <v>0.86982220130999999</v>
      </c>
    </row>
    <row r="65" spans="1:11" ht="14.4" customHeight="1" thickBot="1" x14ac:dyDescent="0.35">
      <c r="A65" s="382" t="s">
        <v>305</v>
      </c>
      <c r="B65" s="366">
        <v>23.999999999999002</v>
      </c>
      <c r="C65" s="366">
        <v>20.528559999999999</v>
      </c>
      <c r="D65" s="367">
        <v>-3.4714399999990002</v>
      </c>
      <c r="E65" s="368">
        <v>0.85535666666599997</v>
      </c>
      <c r="F65" s="366">
        <v>22.999999275554998</v>
      </c>
      <c r="G65" s="367">
        <v>19.166666062962999</v>
      </c>
      <c r="H65" s="369">
        <v>1.9115800000000001</v>
      </c>
      <c r="I65" s="366">
        <v>20.00591</v>
      </c>
      <c r="J65" s="367">
        <v>0.83924393703599998</v>
      </c>
      <c r="K65" s="372">
        <v>0.86982220130999999</v>
      </c>
    </row>
    <row r="66" spans="1:11" ht="14.4" customHeight="1" thickBot="1" x14ac:dyDescent="0.35">
      <c r="A66" s="383" t="s">
        <v>306</v>
      </c>
      <c r="B66" s="361">
        <v>23.999999999999002</v>
      </c>
      <c r="C66" s="361">
        <v>20.528559999999999</v>
      </c>
      <c r="D66" s="362">
        <v>-3.4714399999990002</v>
      </c>
      <c r="E66" s="363">
        <v>0.85535666666599997</v>
      </c>
      <c r="F66" s="361">
        <v>22.999999275554998</v>
      </c>
      <c r="G66" s="362">
        <v>19.166666062962999</v>
      </c>
      <c r="H66" s="364">
        <v>1.9115800000000001</v>
      </c>
      <c r="I66" s="361">
        <v>20.00591</v>
      </c>
      <c r="J66" s="362">
        <v>0.83924393703599998</v>
      </c>
      <c r="K66" s="365">
        <v>0.86982220130999999</v>
      </c>
    </row>
    <row r="67" spans="1:11" ht="14.4" customHeight="1" thickBot="1" x14ac:dyDescent="0.35">
      <c r="A67" s="380" t="s">
        <v>307</v>
      </c>
      <c r="B67" s="361">
        <v>0</v>
      </c>
      <c r="C67" s="361">
        <v>5.20512</v>
      </c>
      <c r="D67" s="362">
        <v>5.20512</v>
      </c>
      <c r="E67" s="373" t="s">
        <v>248</v>
      </c>
      <c r="F67" s="361">
        <v>0</v>
      </c>
      <c r="G67" s="362">
        <v>0</v>
      </c>
      <c r="H67" s="364">
        <v>0</v>
      </c>
      <c r="I67" s="361">
        <v>11.359249999999999</v>
      </c>
      <c r="J67" s="362">
        <v>11.359249999999999</v>
      </c>
      <c r="K67" s="371" t="s">
        <v>248</v>
      </c>
    </row>
    <row r="68" spans="1:11" ht="14.4" customHeight="1" thickBot="1" x14ac:dyDescent="0.35">
      <c r="A68" s="381" t="s">
        <v>308</v>
      </c>
      <c r="B68" s="361">
        <v>0</v>
      </c>
      <c r="C68" s="361">
        <v>5.20512</v>
      </c>
      <c r="D68" s="362">
        <v>5.20512</v>
      </c>
      <c r="E68" s="373" t="s">
        <v>248</v>
      </c>
      <c r="F68" s="361">
        <v>0</v>
      </c>
      <c r="G68" s="362">
        <v>0</v>
      </c>
      <c r="H68" s="364">
        <v>0</v>
      </c>
      <c r="I68" s="361">
        <v>11.359249999999999</v>
      </c>
      <c r="J68" s="362">
        <v>11.359249999999999</v>
      </c>
      <c r="K68" s="371" t="s">
        <v>248</v>
      </c>
    </row>
    <row r="69" spans="1:11" ht="14.4" customHeight="1" thickBot="1" x14ac:dyDescent="0.35">
      <c r="A69" s="382" t="s">
        <v>309</v>
      </c>
      <c r="B69" s="366">
        <v>0</v>
      </c>
      <c r="C69" s="366">
        <v>0</v>
      </c>
      <c r="D69" s="367">
        <v>0</v>
      </c>
      <c r="E69" s="368">
        <v>1</v>
      </c>
      <c r="F69" s="366">
        <v>0</v>
      </c>
      <c r="G69" s="367">
        <v>0</v>
      </c>
      <c r="H69" s="369">
        <v>0</v>
      </c>
      <c r="I69" s="366">
        <v>3.3592499999999998</v>
      </c>
      <c r="J69" s="367">
        <v>3.3592499999999998</v>
      </c>
      <c r="K69" s="370" t="s">
        <v>249</v>
      </c>
    </row>
    <row r="70" spans="1:11" ht="14.4" customHeight="1" thickBot="1" x14ac:dyDescent="0.35">
      <c r="A70" s="383" t="s">
        <v>310</v>
      </c>
      <c r="B70" s="361">
        <v>0</v>
      </c>
      <c r="C70" s="361">
        <v>0</v>
      </c>
      <c r="D70" s="362">
        <v>0</v>
      </c>
      <c r="E70" s="363">
        <v>1</v>
      </c>
      <c r="F70" s="361">
        <v>0</v>
      </c>
      <c r="G70" s="362">
        <v>0</v>
      </c>
      <c r="H70" s="364">
        <v>0</v>
      </c>
      <c r="I70" s="361">
        <v>1.1092500000000001</v>
      </c>
      <c r="J70" s="362">
        <v>1.1092500000000001</v>
      </c>
      <c r="K70" s="371" t="s">
        <v>249</v>
      </c>
    </row>
    <row r="71" spans="1:11" ht="14.4" customHeight="1" thickBot="1" x14ac:dyDescent="0.35">
      <c r="A71" s="383" t="s">
        <v>311</v>
      </c>
      <c r="B71" s="361">
        <v>0</v>
      </c>
      <c r="C71" s="361">
        <v>0</v>
      </c>
      <c r="D71" s="362">
        <v>0</v>
      </c>
      <c r="E71" s="363">
        <v>1</v>
      </c>
      <c r="F71" s="361">
        <v>0</v>
      </c>
      <c r="G71" s="362">
        <v>0</v>
      </c>
      <c r="H71" s="364">
        <v>0</v>
      </c>
      <c r="I71" s="361">
        <v>2.25</v>
      </c>
      <c r="J71" s="362">
        <v>2.25</v>
      </c>
      <c r="K71" s="371" t="s">
        <v>249</v>
      </c>
    </row>
    <row r="72" spans="1:11" ht="14.4" customHeight="1" thickBot="1" x14ac:dyDescent="0.35">
      <c r="A72" s="382" t="s">
        <v>312</v>
      </c>
      <c r="B72" s="366">
        <v>0</v>
      </c>
      <c r="C72" s="366">
        <v>-0.39488000000000001</v>
      </c>
      <c r="D72" s="367">
        <v>-0.39488000000000001</v>
      </c>
      <c r="E72" s="374" t="s">
        <v>249</v>
      </c>
      <c r="F72" s="366">
        <v>0</v>
      </c>
      <c r="G72" s="367">
        <v>0</v>
      </c>
      <c r="H72" s="369">
        <v>0</v>
      </c>
      <c r="I72" s="366">
        <v>0</v>
      </c>
      <c r="J72" s="367">
        <v>0</v>
      </c>
      <c r="K72" s="370" t="s">
        <v>248</v>
      </c>
    </row>
    <row r="73" spans="1:11" ht="14.4" customHeight="1" thickBot="1" x14ac:dyDescent="0.35">
      <c r="A73" s="383" t="s">
        <v>313</v>
      </c>
      <c r="B73" s="361">
        <v>0</v>
      </c>
      <c r="C73" s="361">
        <v>-0.39488000000000001</v>
      </c>
      <c r="D73" s="362">
        <v>-0.39488000000000001</v>
      </c>
      <c r="E73" s="373" t="s">
        <v>249</v>
      </c>
      <c r="F73" s="361">
        <v>0</v>
      </c>
      <c r="G73" s="362">
        <v>0</v>
      </c>
      <c r="H73" s="364">
        <v>0</v>
      </c>
      <c r="I73" s="361">
        <v>0</v>
      </c>
      <c r="J73" s="362">
        <v>0</v>
      </c>
      <c r="K73" s="371" t="s">
        <v>248</v>
      </c>
    </row>
    <row r="74" spans="1:11" ht="14.4" customHeight="1" thickBot="1" x14ac:dyDescent="0.35">
      <c r="A74" s="385" t="s">
        <v>314</v>
      </c>
      <c r="B74" s="361">
        <v>0</v>
      </c>
      <c r="C74" s="361">
        <v>5.6</v>
      </c>
      <c r="D74" s="362">
        <v>5.6</v>
      </c>
      <c r="E74" s="373" t="s">
        <v>248</v>
      </c>
      <c r="F74" s="361">
        <v>0</v>
      </c>
      <c r="G74" s="362">
        <v>0</v>
      </c>
      <c r="H74" s="364">
        <v>0</v>
      </c>
      <c r="I74" s="361">
        <v>8</v>
      </c>
      <c r="J74" s="362">
        <v>8</v>
      </c>
      <c r="K74" s="371" t="s">
        <v>248</v>
      </c>
    </row>
    <row r="75" spans="1:11" ht="14.4" customHeight="1" thickBot="1" x14ac:dyDescent="0.35">
      <c r="A75" s="383" t="s">
        <v>315</v>
      </c>
      <c r="B75" s="361">
        <v>0</v>
      </c>
      <c r="C75" s="361">
        <v>5.6</v>
      </c>
      <c r="D75" s="362">
        <v>5.6</v>
      </c>
      <c r="E75" s="373" t="s">
        <v>248</v>
      </c>
      <c r="F75" s="361">
        <v>0</v>
      </c>
      <c r="G75" s="362">
        <v>0</v>
      </c>
      <c r="H75" s="364">
        <v>0</v>
      </c>
      <c r="I75" s="361">
        <v>8</v>
      </c>
      <c r="J75" s="362">
        <v>8</v>
      </c>
      <c r="K75" s="371" t="s">
        <v>248</v>
      </c>
    </row>
    <row r="76" spans="1:11" ht="14.4" customHeight="1" thickBot="1" x14ac:dyDescent="0.35">
      <c r="A76" s="380" t="s">
        <v>316</v>
      </c>
      <c r="B76" s="361">
        <v>18.999327369995001</v>
      </c>
      <c r="C76" s="361">
        <v>25.343</v>
      </c>
      <c r="D76" s="362">
        <v>6.3436726300039998</v>
      </c>
      <c r="E76" s="363">
        <v>1.3338893270509999</v>
      </c>
      <c r="F76" s="361">
        <v>19.999962416498999</v>
      </c>
      <c r="G76" s="362">
        <v>16.666635347082</v>
      </c>
      <c r="H76" s="364">
        <v>1.64</v>
      </c>
      <c r="I76" s="361">
        <v>29.3934</v>
      </c>
      <c r="J76" s="362">
        <v>12.726764652917</v>
      </c>
      <c r="K76" s="365">
        <v>1.469672761772</v>
      </c>
    </row>
    <row r="77" spans="1:11" ht="14.4" customHeight="1" thickBot="1" x14ac:dyDescent="0.35">
      <c r="A77" s="381" t="s">
        <v>317</v>
      </c>
      <c r="B77" s="361">
        <v>18.999327369995001</v>
      </c>
      <c r="C77" s="361">
        <v>19.082999999999998</v>
      </c>
      <c r="D77" s="362">
        <v>8.3672630004000006E-2</v>
      </c>
      <c r="E77" s="363">
        <v>1.004403978539</v>
      </c>
      <c r="F77" s="361">
        <v>19.999962416498999</v>
      </c>
      <c r="G77" s="362">
        <v>16.666635347082</v>
      </c>
      <c r="H77" s="364">
        <v>1.64</v>
      </c>
      <c r="I77" s="361">
        <v>16.399999999999999</v>
      </c>
      <c r="J77" s="362">
        <v>-0.26663534708199998</v>
      </c>
      <c r="K77" s="365">
        <v>0.82000154092599997</v>
      </c>
    </row>
    <row r="78" spans="1:11" ht="14.4" customHeight="1" thickBot="1" x14ac:dyDescent="0.35">
      <c r="A78" s="382" t="s">
        <v>318</v>
      </c>
      <c r="B78" s="366">
        <v>18.999327369995001</v>
      </c>
      <c r="C78" s="366">
        <v>19.082999999999998</v>
      </c>
      <c r="D78" s="367">
        <v>8.3672630004000006E-2</v>
      </c>
      <c r="E78" s="368">
        <v>1.004403978539</v>
      </c>
      <c r="F78" s="366">
        <v>19.999962416498999</v>
      </c>
      <c r="G78" s="367">
        <v>16.666635347082</v>
      </c>
      <c r="H78" s="369">
        <v>1.64</v>
      </c>
      <c r="I78" s="366">
        <v>16.399999999999999</v>
      </c>
      <c r="J78" s="367">
        <v>-0.26663534708199998</v>
      </c>
      <c r="K78" s="372">
        <v>0.82000154092599997</v>
      </c>
    </row>
    <row r="79" spans="1:11" ht="14.4" customHeight="1" thickBot="1" x14ac:dyDescent="0.35">
      <c r="A79" s="383" t="s">
        <v>319</v>
      </c>
      <c r="B79" s="361">
        <v>15.999364323545</v>
      </c>
      <c r="C79" s="361">
        <v>16.501000000000001</v>
      </c>
      <c r="D79" s="362">
        <v>0.50163567645399998</v>
      </c>
      <c r="E79" s="363">
        <v>1.031353475445</v>
      </c>
      <c r="F79" s="361">
        <v>16.99999946454</v>
      </c>
      <c r="G79" s="362">
        <v>14.166666220450001</v>
      </c>
      <c r="H79" s="364">
        <v>1.423</v>
      </c>
      <c r="I79" s="361">
        <v>14.23</v>
      </c>
      <c r="J79" s="362">
        <v>6.3333779549000005E-2</v>
      </c>
      <c r="K79" s="365">
        <v>0.83705884989400003</v>
      </c>
    </row>
    <row r="80" spans="1:11" ht="14.4" customHeight="1" thickBot="1" x14ac:dyDescent="0.35">
      <c r="A80" s="383" t="s">
        <v>320</v>
      </c>
      <c r="B80" s="361">
        <v>2.99996304645</v>
      </c>
      <c r="C80" s="361">
        <v>2.5819999999999999</v>
      </c>
      <c r="D80" s="362">
        <v>-0.41796304644999999</v>
      </c>
      <c r="E80" s="363">
        <v>0.86067726836000003</v>
      </c>
      <c r="F80" s="361">
        <v>2.999962951958</v>
      </c>
      <c r="G80" s="362">
        <v>2.4999691266320001</v>
      </c>
      <c r="H80" s="364">
        <v>0.217</v>
      </c>
      <c r="I80" s="361">
        <v>2.17</v>
      </c>
      <c r="J80" s="362">
        <v>-0.32996912663200001</v>
      </c>
      <c r="K80" s="365">
        <v>0.72334226613800001</v>
      </c>
    </row>
    <row r="81" spans="1:11" ht="14.4" customHeight="1" thickBot="1" x14ac:dyDescent="0.35">
      <c r="A81" s="381" t="s">
        <v>321</v>
      </c>
      <c r="B81" s="361">
        <v>0</v>
      </c>
      <c r="C81" s="361">
        <v>6.26</v>
      </c>
      <c r="D81" s="362">
        <v>6.26</v>
      </c>
      <c r="E81" s="373" t="s">
        <v>248</v>
      </c>
      <c r="F81" s="361">
        <v>0</v>
      </c>
      <c r="G81" s="362">
        <v>0</v>
      </c>
      <c r="H81" s="364">
        <v>0</v>
      </c>
      <c r="I81" s="361">
        <v>12.993399999999999</v>
      </c>
      <c r="J81" s="362">
        <v>12.993399999999999</v>
      </c>
      <c r="K81" s="371" t="s">
        <v>248</v>
      </c>
    </row>
    <row r="82" spans="1:11" ht="14.4" customHeight="1" thickBot="1" x14ac:dyDescent="0.35">
      <c r="A82" s="382" t="s">
        <v>322</v>
      </c>
      <c r="B82" s="366">
        <v>0</v>
      </c>
      <c r="C82" s="366">
        <v>0</v>
      </c>
      <c r="D82" s="367">
        <v>0</v>
      </c>
      <c r="E82" s="368">
        <v>1</v>
      </c>
      <c r="F82" s="366">
        <v>0</v>
      </c>
      <c r="G82" s="367">
        <v>0</v>
      </c>
      <c r="H82" s="369">
        <v>0</v>
      </c>
      <c r="I82" s="366">
        <v>12.993399999999999</v>
      </c>
      <c r="J82" s="367">
        <v>12.993399999999999</v>
      </c>
      <c r="K82" s="370" t="s">
        <v>249</v>
      </c>
    </row>
    <row r="83" spans="1:11" ht="14.4" customHeight="1" thickBot="1" x14ac:dyDescent="0.35">
      <c r="A83" s="383" t="s">
        <v>323</v>
      </c>
      <c r="B83" s="361">
        <v>0</v>
      </c>
      <c r="C83" s="361">
        <v>0</v>
      </c>
      <c r="D83" s="362">
        <v>0</v>
      </c>
      <c r="E83" s="363">
        <v>1</v>
      </c>
      <c r="F83" s="361">
        <v>0</v>
      </c>
      <c r="G83" s="362">
        <v>0</v>
      </c>
      <c r="H83" s="364">
        <v>0</v>
      </c>
      <c r="I83" s="361">
        <v>12.993399999999999</v>
      </c>
      <c r="J83" s="362">
        <v>12.993399999999999</v>
      </c>
      <c r="K83" s="371" t="s">
        <v>249</v>
      </c>
    </row>
    <row r="84" spans="1:11" ht="14.4" customHeight="1" thickBot="1" x14ac:dyDescent="0.35">
      <c r="A84" s="382" t="s">
        <v>324</v>
      </c>
      <c r="B84" s="366">
        <v>0</v>
      </c>
      <c r="C84" s="366">
        <v>6.26</v>
      </c>
      <c r="D84" s="367">
        <v>6.26</v>
      </c>
      <c r="E84" s="374" t="s">
        <v>248</v>
      </c>
      <c r="F84" s="366">
        <v>0</v>
      </c>
      <c r="G84" s="367">
        <v>0</v>
      </c>
      <c r="H84" s="369">
        <v>0</v>
      </c>
      <c r="I84" s="366">
        <v>0</v>
      </c>
      <c r="J84" s="367">
        <v>0</v>
      </c>
      <c r="K84" s="370" t="s">
        <v>248</v>
      </c>
    </row>
    <row r="85" spans="1:11" ht="14.4" customHeight="1" thickBot="1" x14ac:dyDescent="0.35">
      <c r="A85" s="383" t="s">
        <v>325</v>
      </c>
      <c r="B85" s="361">
        <v>0</v>
      </c>
      <c r="C85" s="361">
        <v>6.26</v>
      </c>
      <c r="D85" s="362">
        <v>6.26</v>
      </c>
      <c r="E85" s="373" t="s">
        <v>248</v>
      </c>
      <c r="F85" s="361">
        <v>0</v>
      </c>
      <c r="G85" s="362">
        <v>0</v>
      </c>
      <c r="H85" s="364">
        <v>0</v>
      </c>
      <c r="I85" s="361">
        <v>0</v>
      </c>
      <c r="J85" s="362">
        <v>0</v>
      </c>
      <c r="K85" s="371" t="s">
        <v>248</v>
      </c>
    </row>
    <row r="86" spans="1:11" ht="14.4" customHeight="1" thickBot="1" x14ac:dyDescent="0.35">
      <c r="A86" s="379" t="s">
        <v>326</v>
      </c>
      <c r="B86" s="361">
        <v>1483.09501087221</v>
      </c>
      <c r="C86" s="361">
        <v>2306.0819900000001</v>
      </c>
      <c r="D86" s="362">
        <v>822.98697912779198</v>
      </c>
      <c r="E86" s="363">
        <v>1.554911838482</v>
      </c>
      <c r="F86" s="361">
        <v>1875.56638655706</v>
      </c>
      <c r="G86" s="362">
        <v>1562.97198879755</v>
      </c>
      <c r="H86" s="364">
        <v>119.35211</v>
      </c>
      <c r="I86" s="361">
        <v>1801.9837500000001</v>
      </c>
      <c r="J86" s="362">
        <v>239.01176120245</v>
      </c>
      <c r="K86" s="365">
        <v>0.96076777815699999</v>
      </c>
    </row>
    <row r="87" spans="1:11" ht="14.4" customHeight="1" thickBot="1" x14ac:dyDescent="0.35">
      <c r="A87" s="380" t="s">
        <v>327</v>
      </c>
      <c r="B87" s="361">
        <v>1483.09501087221</v>
      </c>
      <c r="C87" s="361">
        <v>2289.5944100000002</v>
      </c>
      <c r="D87" s="362">
        <v>806.499399127792</v>
      </c>
      <c r="E87" s="363">
        <v>1.543794829876</v>
      </c>
      <c r="F87" s="361">
        <v>1861.56638655706</v>
      </c>
      <c r="G87" s="362">
        <v>1551.3053221308801</v>
      </c>
      <c r="H87" s="364">
        <v>119.35211</v>
      </c>
      <c r="I87" s="361">
        <v>1794.75235</v>
      </c>
      <c r="J87" s="362">
        <v>243.447027869116</v>
      </c>
      <c r="K87" s="365">
        <v>0.96410870058700004</v>
      </c>
    </row>
    <row r="88" spans="1:11" ht="14.4" customHeight="1" thickBot="1" x14ac:dyDescent="0.35">
      <c r="A88" s="381" t="s">
        <v>328</v>
      </c>
      <c r="B88" s="361">
        <v>1483.09501087221</v>
      </c>
      <c r="C88" s="361">
        <v>2289.5944100000002</v>
      </c>
      <c r="D88" s="362">
        <v>806.499399127792</v>
      </c>
      <c r="E88" s="363">
        <v>1.543794829876</v>
      </c>
      <c r="F88" s="361">
        <v>1861.56638655706</v>
      </c>
      <c r="G88" s="362">
        <v>1551.3053221308801</v>
      </c>
      <c r="H88" s="364">
        <v>119.35211</v>
      </c>
      <c r="I88" s="361">
        <v>1794.75235</v>
      </c>
      <c r="J88" s="362">
        <v>243.447027869116</v>
      </c>
      <c r="K88" s="365">
        <v>0.96410870058700004</v>
      </c>
    </row>
    <row r="89" spans="1:11" ht="14.4" customHeight="1" thickBot="1" x14ac:dyDescent="0.35">
      <c r="A89" s="382" t="s">
        <v>329</v>
      </c>
      <c r="B89" s="366">
        <v>9.5010872206999997E-2</v>
      </c>
      <c r="C89" s="366">
        <v>0</v>
      </c>
      <c r="D89" s="367">
        <v>-9.5010872206999997E-2</v>
      </c>
      <c r="E89" s="368">
        <v>0</v>
      </c>
      <c r="F89" s="366">
        <v>0</v>
      </c>
      <c r="G89" s="367">
        <v>0</v>
      </c>
      <c r="H89" s="369">
        <v>0</v>
      </c>
      <c r="I89" s="366">
        <v>0.98524</v>
      </c>
      <c r="J89" s="367">
        <v>0.98524</v>
      </c>
      <c r="K89" s="370" t="s">
        <v>249</v>
      </c>
    </row>
    <row r="90" spans="1:11" ht="14.4" customHeight="1" thickBot="1" x14ac:dyDescent="0.35">
      <c r="A90" s="383" t="s">
        <v>330</v>
      </c>
      <c r="B90" s="361">
        <v>9.5010872206999997E-2</v>
      </c>
      <c r="C90" s="361">
        <v>0</v>
      </c>
      <c r="D90" s="362">
        <v>-9.5010872206999997E-2</v>
      </c>
      <c r="E90" s="363">
        <v>0</v>
      </c>
      <c r="F90" s="361">
        <v>0</v>
      </c>
      <c r="G90" s="362">
        <v>0</v>
      </c>
      <c r="H90" s="364">
        <v>0</v>
      </c>
      <c r="I90" s="361">
        <v>0</v>
      </c>
      <c r="J90" s="362">
        <v>0</v>
      </c>
      <c r="K90" s="365">
        <v>0</v>
      </c>
    </row>
    <row r="91" spans="1:11" ht="14.4" customHeight="1" thickBot="1" x14ac:dyDescent="0.35">
      <c r="A91" s="383" t="s">
        <v>331</v>
      </c>
      <c r="B91" s="361">
        <v>0</v>
      </c>
      <c r="C91" s="361">
        <v>0</v>
      </c>
      <c r="D91" s="362">
        <v>0</v>
      </c>
      <c r="E91" s="363">
        <v>1</v>
      </c>
      <c r="F91" s="361">
        <v>0</v>
      </c>
      <c r="G91" s="362">
        <v>0</v>
      </c>
      <c r="H91" s="364">
        <v>0</v>
      </c>
      <c r="I91" s="361">
        <v>0.98524</v>
      </c>
      <c r="J91" s="362">
        <v>0.98524</v>
      </c>
      <c r="K91" s="371" t="s">
        <v>249</v>
      </c>
    </row>
    <row r="92" spans="1:11" ht="14.4" customHeight="1" thickBot="1" x14ac:dyDescent="0.35">
      <c r="A92" s="382" t="s">
        <v>332</v>
      </c>
      <c r="B92" s="366">
        <v>0</v>
      </c>
      <c r="C92" s="366">
        <v>1.56993</v>
      </c>
      <c r="D92" s="367">
        <v>1.56993</v>
      </c>
      <c r="E92" s="374" t="s">
        <v>248</v>
      </c>
      <c r="F92" s="366">
        <v>1.5663865565740001</v>
      </c>
      <c r="G92" s="367">
        <v>1.3053221304780001</v>
      </c>
      <c r="H92" s="369">
        <v>0</v>
      </c>
      <c r="I92" s="366">
        <v>0</v>
      </c>
      <c r="J92" s="367">
        <v>-1.3053221304780001</v>
      </c>
      <c r="K92" s="372">
        <v>0</v>
      </c>
    </row>
    <row r="93" spans="1:11" ht="14.4" customHeight="1" thickBot="1" x14ac:dyDescent="0.35">
      <c r="A93" s="383" t="s">
        <v>333</v>
      </c>
      <c r="B93" s="361">
        <v>0</v>
      </c>
      <c r="C93" s="361">
        <v>1.56993</v>
      </c>
      <c r="D93" s="362">
        <v>1.56993</v>
      </c>
      <c r="E93" s="373" t="s">
        <v>248</v>
      </c>
      <c r="F93" s="361">
        <v>1.5663865565740001</v>
      </c>
      <c r="G93" s="362">
        <v>1.3053221304780001</v>
      </c>
      <c r="H93" s="364">
        <v>0</v>
      </c>
      <c r="I93" s="361">
        <v>0</v>
      </c>
      <c r="J93" s="362">
        <v>-1.3053221304780001</v>
      </c>
      <c r="K93" s="365">
        <v>0</v>
      </c>
    </row>
    <row r="94" spans="1:11" ht="14.4" customHeight="1" thickBot="1" x14ac:dyDescent="0.35">
      <c r="A94" s="382" t="s">
        <v>334</v>
      </c>
      <c r="B94" s="366">
        <v>1483</v>
      </c>
      <c r="C94" s="366">
        <v>2169.8414200000002</v>
      </c>
      <c r="D94" s="367">
        <v>686.84141999999997</v>
      </c>
      <c r="E94" s="368">
        <v>1.4631432366820001</v>
      </c>
      <c r="F94" s="366">
        <v>1860.00000000049</v>
      </c>
      <c r="G94" s="367">
        <v>1550.00000000041</v>
      </c>
      <c r="H94" s="369">
        <v>103.23744000000001</v>
      </c>
      <c r="I94" s="366">
        <v>1660.56663</v>
      </c>
      <c r="J94" s="367">
        <v>110.56662999959499</v>
      </c>
      <c r="K94" s="372">
        <v>0.89277775806399995</v>
      </c>
    </row>
    <row r="95" spans="1:11" ht="14.4" customHeight="1" thickBot="1" x14ac:dyDescent="0.35">
      <c r="A95" s="383" t="s">
        <v>335</v>
      </c>
      <c r="B95" s="361">
        <v>480</v>
      </c>
      <c r="C95" s="361">
        <v>776.37783000000002</v>
      </c>
      <c r="D95" s="362">
        <v>296.37783000000002</v>
      </c>
      <c r="E95" s="363">
        <v>1.6174538125</v>
      </c>
      <c r="F95" s="361">
        <v>686.00000000017906</v>
      </c>
      <c r="G95" s="362">
        <v>571.66666666681601</v>
      </c>
      <c r="H95" s="364">
        <v>26.762429999999998</v>
      </c>
      <c r="I95" s="361">
        <v>642.62194</v>
      </c>
      <c r="J95" s="362">
        <v>70.955273333183001</v>
      </c>
      <c r="K95" s="365">
        <v>0.93676667638400002</v>
      </c>
    </row>
    <row r="96" spans="1:11" ht="14.4" customHeight="1" thickBot="1" x14ac:dyDescent="0.35">
      <c r="A96" s="383" t="s">
        <v>336</v>
      </c>
      <c r="B96" s="361">
        <v>1003</v>
      </c>
      <c r="C96" s="361">
        <v>1393.4635900000001</v>
      </c>
      <c r="D96" s="362">
        <v>390.46359000000001</v>
      </c>
      <c r="E96" s="363">
        <v>1.389295702891</v>
      </c>
      <c r="F96" s="361">
        <v>1174.0000000003099</v>
      </c>
      <c r="G96" s="362">
        <v>978.33333333358905</v>
      </c>
      <c r="H96" s="364">
        <v>76.475009999999997</v>
      </c>
      <c r="I96" s="361">
        <v>1017.94469</v>
      </c>
      <c r="J96" s="362">
        <v>39.611356666410998</v>
      </c>
      <c r="K96" s="365">
        <v>0.86707384156699996</v>
      </c>
    </row>
    <row r="97" spans="1:11" ht="14.4" customHeight="1" thickBot="1" x14ac:dyDescent="0.35">
      <c r="A97" s="382" t="s">
        <v>337</v>
      </c>
      <c r="B97" s="366">
        <v>0</v>
      </c>
      <c r="C97" s="366">
        <v>118.18306</v>
      </c>
      <c r="D97" s="367">
        <v>118.18306</v>
      </c>
      <c r="E97" s="374" t="s">
        <v>248</v>
      </c>
      <c r="F97" s="366">
        <v>0</v>
      </c>
      <c r="G97" s="367">
        <v>0</v>
      </c>
      <c r="H97" s="369">
        <v>16.11467</v>
      </c>
      <c r="I97" s="366">
        <v>133.20048</v>
      </c>
      <c r="J97" s="367">
        <v>133.20048</v>
      </c>
      <c r="K97" s="370" t="s">
        <v>248</v>
      </c>
    </row>
    <row r="98" spans="1:11" ht="14.4" customHeight="1" thickBot="1" x14ac:dyDescent="0.35">
      <c r="A98" s="383" t="s">
        <v>338</v>
      </c>
      <c r="B98" s="361">
        <v>0</v>
      </c>
      <c r="C98" s="361">
        <v>3.4574500000000001</v>
      </c>
      <c r="D98" s="362">
        <v>3.4574500000000001</v>
      </c>
      <c r="E98" s="373" t="s">
        <v>248</v>
      </c>
      <c r="F98" s="361">
        <v>0</v>
      </c>
      <c r="G98" s="362">
        <v>0</v>
      </c>
      <c r="H98" s="364">
        <v>0</v>
      </c>
      <c r="I98" s="361">
        <v>19.456330000000001</v>
      </c>
      <c r="J98" s="362">
        <v>19.456330000000001</v>
      </c>
      <c r="K98" s="371" t="s">
        <v>248</v>
      </c>
    </row>
    <row r="99" spans="1:11" ht="14.4" customHeight="1" thickBot="1" x14ac:dyDescent="0.35">
      <c r="A99" s="383" t="s">
        <v>339</v>
      </c>
      <c r="B99" s="361">
        <v>0</v>
      </c>
      <c r="C99" s="361">
        <v>114.72561</v>
      </c>
      <c r="D99" s="362">
        <v>114.72561</v>
      </c>
      <c r="E99" s="373" t="s">
        <v>248</v>
      </c>
      <c r="F99" s="361">
        <v>0</v>
      </c>
      <c r="G99" s="362">
        <v>0</v>
      </c>
      <c r="H99" s="364">
        <v>16.11467</v>
      </c>
      <c r="I99" s="361">
        <v>113.74415</v>
      </c>
      <c r="J99" s="362">
        <v>113.74415</v>
      </c>
      <c r="K99" s="371" t="s">
        <v>248</v>
      </c>
    </row>
    <row r="100" spans="1:11" ht="14.4" customHeight="1" thickBot="1" x14ac:dyDescent="0.35">
      <c r="A100" s="380" t="s">
        <v>340</v>
      </c>
      <c r="B100" s="361">
        <v>0</v>
      </c>
      <c r="C100" s="361">
        <v>16.487580000000001</v>
      </c>
      <c r="D100" s="362">
        <v>16.487580000000001</v>
      </c>
      <c r="E100" s="373" t="s">
        <v>248</v>
      </c>
      <c r="F100" s="361">
        <v>14</v>
      </c>
      <c r="G100" s="362">
        <v>11.666666666666</v>
      </c>
      <c r="H100" s="364">
        <v>0</v>
      </c>
      <c r="I100" s="361">
        <v>7.2313999999999998</v>
      </c>
      <c r="J100" s="362">
        <v>-4.4352666666660001</v>
      </c>
      <c r="K100" s="365">
        <v>0.51652857142800002</v>
      </c>
    </row>
    <row r="101" spans="1:11" ht="14.4" customHeight="1" thickBot="1" x14ac:dyDescent="0.35">
      <c r="A101" s="386" t="s">
        <v>341</v>
      </c>
      <c r="B101" s="366">
        <v>0</v>
      </c>
      <c r="C101" s="366">
        <v>16.487580000000001</v>
      </c>
      <c r="D101" s="367">
        <v>16.487580000000001</v>
      </c>
      <c r="E101" s="374" t="s">
        <v>248</v>
      </c>
      <c r="F101" s="366">
        <v>14</v>
      </c>
      <c r="G101" s="367">
        <v>11.666666666666</v>
      </c>
      <c r="H101" s="369">
        <v>0</v>
      </c>
      <c r="I101" s="366">
        <v>7.2313999999999998</v>
      </c>
      <c r="J101" s="367">
        <v>-4.4352666666660001</v>
      </c>
      <c r="K101" s="372">
        <v>0.51652857142800002</v>
      </c>
    </row>
    <row r="102" spans="1:11" ht="14.4" customHeight="1" thickBot="1" x14ac:dyDescent="0.35">
      <c r="A102" s="382" t="s">
        <v>342</v>
      </c>
      <c r="B102" s="366">
        <v>0</v>
      </c>
      <c r="C102" s="366">
        <v>-2.4000000000000001E-4</v>
      </c>
      <c r="D102" s="367">
        <v>-2.4000000000000001E-4</v>
      </c>
      <c r="E102" s="374" t="s">
        <v>248</v>
      </c>
      <c r="F102" s="366">
        <v>0</v>
      </c>
      <c r="G102" s="367">
        <v>0</v>
      </c>
      <c r="H102" s="369">
        <v>0</v>
      </c>
      <c r="I102" s="366">
        <v>-1E-4</v>
      </c>
      <c r="J102" s="367">
        <v>-1E-4</v>
      </c>
      <c r="K102" s="370" t="s">
        <v>248</v>
      </c>
    </row>
    <row r="103" spans="1:11" ht="14.4" customHeight="1" thickBot="1" x14ac:dyDescent="0.35">
      <c r="A103" s="383" t="s">
        <v>343</v>
      </c>
      <c r="B103" s="361">
        <v>0</v>
      </c>
      <c r="C103" s="361">
        <v>-2.4000000000000001E-4</v>
      </c>
      <c r="D103" s="362">
        <v>-2.4000000000000001E-4</v>
      </c>
      <c r="E103" s="373" t="s">
        <v>248</v>
      </c>
      <c r="F103" s="361">
        <v>0</v>
      </c>
      <c r="G103" s="362">
        <v>0</v>
      </c>
      <c r="H103" s="364">
        <v>0</v>
      </c>
      <c r="I103" s="361">
        <v>-1E-4</v>
      </c>
      <c r="J103" s="362">
        <v>-1E-4</v>
      </c>
      <c r="K103" s="371" t="s">
        <v>248</v>
      </c>
    </row>
    <row r="104" spans="1:11" ht="14.4" customHeight="1" thickBot="1" x14ac:dyDescent="0.35">
      <c r="A104" s="382" t="s">
        <v>344</v>
      </c>
      <c r="B104" s="366">
        <v>0</v>
      </c>
      <c r="C104" s="366">
        <v>16.487819999999999</v>
      </c>
      <c r="D104" s="367">
        <v>16.487819999999999</v>
      </c>
      <c r="E104" s="374" t="s">
        <v>248</v>
      </c>
      <c r="F104" s="366">
        <v>14</v>
      </c>
      <c r="G104" s="367">
        <v>11.666666666666</v>
      </c>
      <c r="H104" s="369">
        <v>0</v>
      </c>
      <c r="I104" s="366">
        <v>7.2314999999999996</v>
      </c>
      <c r="J104" s="367">
        <v>-4.4351666666660003</v>
      </c>
      <c r="K104" s="372">
        <v>0.516535714285</v>
      </c>
    </row>
    <row r="105" spans="1:11" ht="14.4" customHeight="1" thickBot="1" x14ac:dyDescent="0.35">
      <c r="A105" s="383" t="s">
        <v>345</v>
      </c>
      <c r="B105" s="361">
        <v>0</v>
      </c>
      <c r="C105" s="361">
        <v>16.487819999999999</v>
      </c>
      <c r="D105" s="362">
        <v>16.487819999999999</v>
      </c>
      <c r="E105" s="373" t="s">
        <v>248</v>
      </c>
      <c r="F105" s="361">
        <v>14</v>
      </c>
      <c r="G105" s="362">
        <v>11.666666666666</v>
      </c>
      <c r="H105" s="364">
        <v>0</v>
      </c>
      <c r="I105" s="361">
        <v>7.2314999999999996</v>
      </c>
      <c r="J105" s="362">
        <v>-4.4351666666660003</v>
      </c>
      <c r="K105" s="365">
        <v>0.516535714285</v>
      </c>
    </row>
    <row r="106" spans="1:11" ht="14.4" customHeight="1" thickBot="1" x14ac:dyDescent="0.35">
      <c r="A106" s="379" t="s">
        <v>346</v>
      </c>
      <c r="B106" s="361">
        <v>507.00028352707699</v>
      </c>
      <c r="C106" s="361">
        <v>441.61624</v>
      </c>
      <c r="D106" s="362">
        <v>-65.384043527076003</v>
      </c>
      <c r="E106" s="363">
        <v>0.87103746161200002</v>
      </c>
      <c r="F106" s="361">
        <v>502.09512956055698</v>
      </c>
      <c r="G106" s="362">
        <v>418.41260796713101</v>
      </c>
      <c r="H106" s="364">
        <v>41.692450000000001</v>
      </c>
      <c r="I106" s="361">
        <v>423.75098000000003</v>
      </c>
      <c r="J106" s="362">
        <v>5.3383720328689996</v>
      </c>
      <c r="K106" s="365">
        <v>0.84396552575700001</v>
      </c>
    </row>
    <row r="107" spans="1:11" ht="14.4" customHeight="1" thickBot="1" x14ac:dyDescent="0.35">
      <c r="A107" s="384" t="s">
        <v>347</v>
      </c>
      <c r="B107" s="366">
        <v>507.00028352707699</v>
      </c>
      <c r="C107" s="366">
        <v>441.61624</v>
      </c>
      <c r="D107" s="367">
        <v>-65.384043527076003</v>
      </c>
      <c r="E107" s="368">
        <v>0.87103746161200002</v>
      </c>
      <c r="F107" s="366">
        <v>502.09512956055698</v>
      </c>
      <c r="G107" s="367">
        <v>418.41260796713101</v>
      </c>
      <c r="H107" s="369">
        <v>41.692450000000001</v>
      </c>
      <c r="I107" s="366">
        <v>423.75098000000003</v>
      </c>
      <c r="J107" s="367">
        <v>5.3383720328689996</v>
      </c>
      <c r="K107" s="372">
        <v>0.84396552575700001</v>
      </c>
    </row>
    <row r="108" spans="1:11" ht="14.4" customHeight="1" thickBot="1" x14ac:dyDescent="0.35">
      <c r="A108" s="386" t="s">
        <v>40</v>
      </c>
      <c r="B108" s="366">
        <v>507.00028352707699</v>
      </c>
      <c r="C108" s="366">
        <v>441.61624</v>
      </c>
      <c r="D108" s="367">
        <v>-65.384043527076003</v>
      </c>
      <c r="E108" s="368">
        <v>0.87103746161200002</v>
      </c>
      <c r="F108" s="366">
        <v>502.09512956055698</v>
      </c>
      <c r="G108" s="367">
        <v>418.41260796713101</v>
      </c>
      <c r="H108" s="369">
        <v>41.692450000000001</v>
      </c>
      <c r="I108" s="366">
        <v>423.75098000000003</v>
      </c>
      <c r="J108" s="367">
        <v>5.3383720328689996</v>
      </c>
      <c r="K108" s="372">
        <v>0.84396552575700001</v>
      </c>
    </row>
    <row r="109" spans="1:11" ht="14.4" customHeight="1" thickBot="1" x14ac:dyDescent="0.35">
      <c r="A109" s="382" t="s">
        <v>348</v>
      </c>
      <c r="B109" s="366">
        <v>5</v>
      </c>
      <c r="C109" s="366">
        <v>5.4779999999999998</v>
      </c>
      <c r="D109" s="367">
        <v>0.47799999999999998</v>
      </c>
      <c r="E109" s="368">
        <v>1.0955999999999999</v>
      </c>
      <c r="F109" s="366">
        <v>5.9297660682859998</v>
      </c>
      <c r="G109" s="367">
        <v>4.9414717235710004</v>
      </c>
      <c r="H109" s="369">
        <v>0.52200000000000002</v>
      </c>
      <c r="I109" s="366">
        <v>5.2214999999999998</v>
      </c>
      <c r="J109" s="367">
        <v>0.28002827642799999</v>
      </c>
      <c r="K109" s="372">
        <v>0.88055750258400001</v>
      </c>
    </row>
    <row r="110" spans="1:11" ht="14.4" customHeight="1" thickBot="1" x14ac:dyDescent="0.35">
      <c r="A110" s="383" t="s">
        <v>349</v>
      </c>
      <c r="B110" s="361">
        <v>5</v>
      </c>
      <c r="C110" s="361">
        <v>5.4779999999999998</v>
      </c>
      <c r="D110" s="362">
        <v>0.47799999999999998</v>
      </c>
      <c r="E110" s="363">
        <v>1.0955999999999999</v>
      </c>
      <c r="F110" s="361">
        <v>5.9297660682859998</v>
      </c>
      <c r="G110" s="362">
        <v>4.9414717235710004</v>
      </c>
      <c r="H110" s="364">
        <v>0.52200000000000002</v>
      </c>
      <c r="I110" s="361">
        <v>5.2214999999999998</v>
      </c>
      <c r="J110" s="362">
        <v>0.28002827642799999</v>
      </c>
      <c r="K110" s="365">
        <v>0.88055750258400001</v>
      </c>
    </row>
    <row r="111" spans="1:11" ht="14.4" customHeight="1" thickBot="1" x14ac:dyDescent="0.35">
      <c r="A111" s="382" t="s">
        <v>350</v>
      </c>
      <c r="B111" s="366">
        <v>2.0002835270760002</v>
      </c>
      <c r="C111" s="366">
        <v>1.5289999999999999</v>
      </c>
      <c r="D111" s="367">
        <v>-0.47128352707600002</v>
      </c>
      <c r="E111" s="368">
        <v>0.764391637136</v>
      </c>
      <c r="F111" s="366">
        <v>1.326101424198</v>
      </c>
      <c r="G111" s="367">
        <v>1.1050845201649999</v>
      </c>
      <c r="H111" s="369">
        <v>0</v>
      </c>
      <c r="I111" s="366">
        <v>0.14699999999999999</v>
      </c>
      <c r="J111" s="367">
        <v>-0.95808452016500001</v>
      </c>
      <c r="K111" s="372">
        <v>0.110851249623</v>
      </c>
    </row>
    <row r="112" spans="1:11" ht="14.4" customHeight="1" thickBot="1" x14ac:dyDescent="0.35">
      <c r="A112" s="383" t="s">
        <v>351</v>
      </c>
      <c r="B112" s="361">
        <v>2.0002835270760002</v>
      </c>
      <c r="C112" s="361">
        <v>1.5289999999999999</v>
      </c>
      <c r="D112" s="362">
        <v>-0.47128352707600002</v>
      </c>
      <c r="E112" s="363">
        <v>0.764391637136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1" t="s">
        <v>248</v>
      </c>
    </row>
    <row r="113" spans="1:11" ht="14.4" customHeight="1" thickBot="1" x14ac:dyDescent="0.35">
      <c r="A113" s="383" t="s">
        <v>352</v>
      </c>
      <c r="B113" s="361">
        <v>0</v>
      </c>
      <c r="C113" s="361">
        <v>0</v>
      </c>
      <c r="D113" s="362">
        <v>0</v>
      </c>
      <c r="E113" s="363">
        <v>1</v>
      </c>
      <c r="F113" s="361">
        <v>1.326101424198</v>
      </c>
      <c r="G113" s="362">
        <v>1.1050845201649999</v>
      </c>
      <c r="H113" s="364">
        <v>0</v>
      </c>
      <c r="I113" s="361">
        <v>0.14699999999999999</v>
      </c>
      <c r="J113" s="362">
        <v>-0.95808452016500001</v>
      </c>
      <c r="K113" s="365">
        <v>0.110851249623</v>
      </c>
    </row>
    <row r="114" spans="1:11" ht="14.4" customHeight="1" thickBot="1" x14ac:dyDescent="0.35">
      <c r="A114" s="382" t="s">
        <v>353</v>
      </c>
      <c r="B114" s="366">
        <v>0</v>
      </c>
      <c r="C114" s="366">
        <v>0.74580000000000002</v>
      </c>
      <c r="D114" s="367">
        <v>0.74580000000000002</v>
      </c>
      <c r="E114" s="374" t="s">
        <v>249</v>
      </c>
      <c r="F114" s="366">
        <v>0.73477752106299998</v>
      </c>
      <c r="G114" s="367">
        <v>0.61231460088599998</v>
      </c>
      <c r="H114" s="369">
        <v>0.1222</v>
      </c>
      <c r="I114" s="366">
        <v>1.7998000000000001</v>
      </c>
      <c r="J114" s="367">
        <v>1.1874853991130001</v>
      </c>
      <c r="K114" s="372">
        <v>2.449448912637</v>
      </c>
    </row>
    <row r="115" spans="1:11" ht="14.4" customHeight="1" thickBot="1" x14ac:dyDescent="0.35">
      <c r="A115" s="383" t="s">
        <v>354</v>
      </c>
      <c r="B115" s="361">
        <v>0</v>
      </c>
      <c r="C115" s="361">
        <v>0.74580000000000002</v>
      </c>
      <c r="D115" s="362">
        <v>0.74580000000000002</v>
      </c>
      <c r="E115" s="373" t="s">
        <v>249</v>
      </c>
      <c r="F115" s="361">
        <v>0.73477752106299998</v>
      </c>
      <c r="G115" s="362">
        <v>0.61231460088599998</v>
      </c>
      <c r="H115" s="364">
        <v>0.1222</v>
      </c>
      <c r="I115" s="361">
        <v>1.7998000000000001</v>
      </c>
      <c r="J115" s="362">
        <v>1.1874853991130001</v>
      </c>
      <c r="K115" s="365">
        <v>2.449448912637</v>
      </c>
    </row>
    <row r="116" spans="1:11" ht="14.4" customHeight="1" thickBot="1" x14ac:dyDescent="0.35">
      <c r="A116" s="382" t="s">
        <v>355</v>
      </c>
      <c r="B116" s="366">
        <v>135</v>
      </c>
      <c r="C116" s="366">
        <v>118.12345000000001</v>
      </c>
      <c r="D116" s="367">
        <v>-16.876550000000002</v>
      </c>
      <c r="E116" s="368">
        <v>0.87498851851799997</v>
      </c>
      <c r="F116" s="366">
        <v>188</v>
      </c>
      <c r="G116" s="367">
        <v>156.666666666667</v>
      </c>
      <c r="H116" s="369">
        <v>12.92789</v>
      </c>
      <c r="I116" s="366">
        <v>132.22427999999999</v>
      </c>
      <c r="J116" s="367">
        <v>-24.442386666666</v>
      </c>
      <c r="K116" s="372">
        <v>0.70332063829699998</v>
      </c>
    </row>
    <row r="117" spans="1:11" ht="14.4" customHeight="1" thickBot="1" x14ac:dyDescent="0.35">
      <c r="A117" s="383" t="s">
        <v>356</v>
      </c>
      <c r="B117" s="361">
        <v>135</v>
      </c>
      <c r="C117" s="361">
        <v>118.12345000000001</v>
      </c>
      <c r="D117" s="362">
        <v>-16.876550000000002</v>
      </c>
      <c r="E117" s="363">
        <v>0.87498851851799997</v>
      </c>
      <c r="F117" s="361">
        <v>188</v>
      </c>
      <c r="G117" s="362">
        <v>156.666666666667</v>
      </c>
      <c r="H117" s="364">
        <v>12.92789</v>
      </c>
      <c r="I117" s="361">
        <v>132.22427999999999</v>
      </c>
      <c r="J117" s="362">
        <v>-24.442386666666</v>
      </c>
      <c r="K117" s="365">
        <v>0.70332063829699998</v>
      </c>
    </row>
    <row r="118" spans="1:11" ht="14.4" customHeight="1" thickBot="1" x14ac:dyDescent="0.35">
      <c r="A118" s="382" t="s">
        <v>357</v>
      </c>
      <c r="B118" s="366">
        <v>365</v>
      </c>
      <c r="C118" s="366">
        <v>315.73998999999998</v>
      </c>
      <c r="D118" s="367">
        <v>-49.260010000000001</v>
      </c>
      <c r="E118" s="368">
        <v>0.865041068493</v>
      </c>
      <c r="F118" s="366">
        <v>306.10448454700901</v>
      </c>
      <c r="G118" s="367">
        <v>255.087070455841</v>
      </c>
      <c r="H118" s="369">
        <v>28.120360000000002</v>
      </c>
      <c r="I118" s="366">
        <v>284.35840000000002</v>
      </c>
      <c r="J118" s="367">
        <v>29.271329544158998</v>
      </c>
      <c r="K118" s="372">
        <v>0.92895862149999997</v>
      </c>
    </row>
    <row r="119" spans="1:11" ht="14.4" customHeight="1" thickBot="1" x14ac:dyDescent="0.35">
      <c r="A119" s="383" t="s">
        <v>358</v>
      </c>
      <c r="B119" s="361">
        <v>365</v>
      </c>
      <c r="C119" s="361">
        <v>315.73998999999998</v>
      </c>
      <c r="D119" s="362">
        <v>-49.260010000000001</v>
      </c>
      <c r="E119" s="363">
        <v>0.865041068493</v>
      </c>
      <c r="F119" s="361">
        <v>306.10448454700901</v>
      </c>
      <c r="G119" s="362">
        <v>255.087070455841</v>
      </c>
      <c r="H119" s="364">
        <v>28.120360000000002</v>
      </c>
      <c r="I119" s="361">
        <v>284.35840000000002</v>
      </c>
      <c r="J119" s="362">
        <v>29.271329544158998</v>
      </c>
      <c r="K119" s="365">
        <v>0.92895862149999997</v>
      </c>
    </row>
    <row r="120" spans="1:11" ht="14.4" customHeight="1" thickBot="1" x14ac:dyDescent="0.35">
      <c r="A120" s="387"/>
      <c r="B120" s="361">
        <v>-2465.05256830496</v>
      </c>
      <c r="C120" s="361">
        <v>-1153.6287600000001</v>
      </c>
      <c r="D120" s="362">
        <v>1311.4238083049499</v>
      </c>
      <c r="E120" s="363">
        <v>0.46799357337500003</v>
      </c>
      <c r="F120" s="361">
        <v>-1964.8239183820599</v>
      </c>
      <c r="G120" s="362">
        <v>-1637.35326531838</v>
      </c>
      <c r="H120" s="364">
        <v>-197.85382999999999</v>
      </c>
      <c r="I120" s="361">
        <v>-1510.04241</v>
      </c>
      <c r="J120" s="362">
        <v>127.310855318379</v>
      </c>
      <c r="K120" s="365">
        <v>0.76853828776800004</v>
      </c>
    </row>
    <row r="121" spans="1:11" ht="14.4" customHeight="1" thickBot="1" x14ac:dyDescent="0.35">
      <c r="A121" s="388" t="s">
        <v>52</v>
      </c>
      <c r="B121" s="375">
        <v>-2465.05256830496</v>
      </c>
      <c r="C121" s="375">
        <v>-1153.6287600000001</v>
      </c>
      <c r="D121" s="376">
        <v>1311.4238083049499</v>
      </c>
      <c r="E121" s="377">
        <v>-0.19318616448199999</v>
      </c>
      <c r="F121" s="375">
        <v>-1964.8239183820599</v>
      </c>
      <c r="G121" s="376">
        <v>-1637.35326531838</v>
      </c>
      <c r="H121" s="375">
        <v>-197.85382999999999</v>
      </c>
      <c r="I121" s="375">
        <v>-1510.04241</v>
      </c>
      <c r="J121" s="376">
        <v>127.310855318378</v>
      </c>
      <c r="K121" s="378">
        <v>0.76853828776800004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359</v>
      </c>
      <c r="B5" s="390" t="s">
        <v>360</v>
      </c>
      <c r="C5" s="391" t="s">
        <v>361</v>
      </c>
      <c r="D5" s="391" t="s">
        <v>361</v>
      </c>
      <c r="E5" s="391"/>
      <c r="F5" s="391" t="s">
        <v>361</v>
      </c>
      <c r="G5" s="391" t="s">
        <v>361</v>
      </c>
      <c r="H5" s="391" t="s">
        <v>361</v>
      </c>
      <c r="I5" s="392" t="s">
        <v>361</v>
      </c>
      <c r="J5" s="393" t="s">
        <v>55</v>
      </c>
    </row>
    <row r="6" spans="1:10" ht="14.4" customHeight="1" x14ac:dyDescent="0.3">
      <c r="A6" s="389" t="s">
        <v>359</v>
      </c>
      <c r="B6" s="390" t="s">
        <v>255</v>
      </c>
      <c r="C6" s="391">
        <v>0.47911999999999999</v>
      </c>
      <c r="D6" s="391">
        <v>0</v>
      </c>
      <c r="E6" s="391"/>
      <c r="F6" s="391">
        <v>0.33857999999999999</v>
      </c>
      <c r="G6" s="391">
        <v>0</v>
      </c>
      <c r="H6" s="391">
        <v>0.33857999999999999</v>
      </c>
      <c r="I6" s="392" t="s">
        <v>361</v>
      </c>
      <c r="J6" s="393" t="s">
        <v>1</v>
      </c>
    </row>
    <row r="7" spans="1:10" ht="14.4" customHeight="1" x14ac:dyDescent="0.3">
      <c r="A7" s="389" t="s">
        <v>359</v>
      </c>
      <c r="B7" s="390" t="s">
        <v>362</v>
      </c>
      <c r="C7" s="391">
        <v>0.47911999999999999</v>
      </c>
      <c r="D7" s="391">
        <v>0</v>
      </c>
      <c r="E7" s="391"/>
      <c r="F7" s="391">
        <v>0.33857999999999999</v>
      </c>
      <c r="G7" s="391">
        <v>0</v>
      </c>
      <c r="H7" s="391">
        <v>0.33857999999999999</v>
      </c>
      <c r="I7" s="392" t="s">
        <v>361</v>
      </c>
      <c r="J7" s="393" t="s">
        <v>363</v>
      </c>
    </row>
    <row r="9" spans="1:10" ht="14.4" customHeight="1" x14ac:dyDescent="0.3">
      <c r="A9" s="389" t="s">
        <v>359</v>
      </c>
      <c r="B9" s="390" t="s">
        <v>360</v>
      </c>
      <c r="C9" s="391" t="s">
        <v>361</v>
      </c>
      <c r="D9" s="391" t="s">
        <v>361</v>
      </c>
      <c r="E9" s="391"/>
      <c r="F9" s="391" t="s">
        <v>361</v>
      </c>
      <c r="G9" s="391" t="s">
        <v>361</v>
      </c>
      <c r="H9" s="391" t="s">
        <v>361</v>
      </c>
      <c r="I9" s="392" t="s">
        <v>361</v>
      </c>
      <c r="J9" s="393" t="s">
        <v>55</v>
      </c>
    </row>
    <row r="10" spans="1:10" ht="14.4" customHeight="1" x14ac:dyDescent="0.3">
      <c r="A10" s="389" t="s">
        <v>364</v>
      </c>
      <c r="B10" s="390" t="s">
        <v>365</v>
      </c>
      <c r="C10" s="391" t="s">
        <v>361</v>
      </c>
      <c r="D10" s="391" t="s">
        <v>361</v>
      </c>
      <c r="E10" s="391"/>
      <c r="F10" s="391" t="s">
        <v>361</v>
      </c>
      <c r="G10" s="391" t="s">
        <v>361</v>
      </c>
      <c r="H10" s="391" t="s">
        <v>361</v>
      </c>
      <c r="I10" s="392" t="s">
        <v>361</v>
      </c>
      <c r="J10" s="393" t="s">
        <v>0</v>
      </c>
    </row>
    <row r="11" spans="1:10" ht="14.4" customHeight="1" x14ac:dyDescent="0.3">
      <c r="A11" s="389" t="s">
        <v>364</v>
      </c>
      <c r="B11" s="390" t="s">
        <v>255</v>
      </c>
      <c r="C11" s="391">
        <v>0.47911999999999999</v>
      </c>
      <c r="D11" s="391">
        <v>0</v>
      </c>
      <c r="E11" s="391"/>
      <c r="F11" s="391">
        <v>0.33857999999999999</v>
      </c>
      <c r="G11" s="391">
        <v>0</v>
      </c>
      <c r="H11" s="391">
        <v>0.33857999999999999</v>
      </c>
      <c r="I11" s="392" t="s">
        <v>361</v>
      </c>
      <c r="J11" s="393" t="s">
        <v>1</v>
      </c>
    </row>
    <row r="12" spans="1:10" ht="14.4" customHeight="1" x14ac:dyDescent="0.3">
      <c r="A12" s="389" t="s">
        <v>364</v>
      </c>
      <c r="B12" s="390" t="s">
        <v>366</v>
      </c>
      <c r="C12" s="391">
        <v>0.47911999999999999</v>
      </c>
      <c r="D12" s="391">
        <v>0</v>
      </c>
      <c r="E12" s="391"/>
      <c r="F12" s="391">
        <v>0.33857999999999999</v>
      </c>
      <c r="G12" s="391">
        <v>0</v>
      </c>
      <c r="H12" s="391">
        <v>0.33857999999999999</v>
      </c>
      <c r="I12" s="392" t="s">
        <v>361</v>
      </c>
      <c r="J12" s="393" t="s">
        <v>367</v>
      </c>
    </row>
    <row r="13" spans="1:10" ht="14.4" customHeight="1" x14ac:dyDescent="0.3">
      <c r="A13" s="389" t="s">
        <v>361</v>
      </c>
      <c r="B13" s="390" t="s">
        <v>361</v>
      </c>
      <c r="C13" s="391" t="s">
        <v>361</v>
      </c>
      <c r="D13" s="391" t="s">
        <v>361</v>
      </c>
      <c r="E13" s="391"/>
      <c r="F13" s="391" t="s">
        <v>361</v>
      </c>
      <c r="G13" s="391" t="s">
        <v>361</v>
      </c>
      <c r="H13" s="391" t="s">
        <v>361</v>
      </c>
      <c r="I13" s="392" t="s">
        <v>361</v>
      </c>
      <c r="J13" s="393" t="s">
        <v>368</v>
      </c>
    </row>
    <row r="14" spans="1:10" ht="14.4" customHeight="1" x14ac:dyDescent="0.3">
      <c r="A14" s="389" t="s">
        <v>359</v>
      </c>
      <c r="B14" s="390" t="s">
        <v>362</v>
      </c>
      <c r="C14" s="391">
        <v>0.47911999999999999</v>
      </c>
      <c r="D14" s="391">
        <v>0</v>
      </c>
      <c r="E14" s="391"/>
      <c r="F14" s="391">
        <v>0.33857999999999999</v>
      </c>
      <c r="G14" s="391">
        <v>0</v>
      </c>
      <c r="H14" s="391">
        <v>0.33857999999999999</v>
      </c>
      <c r="I14" s="392" t="s">
        <v>361</v>
      </c>
      <c r="J14" s="393" t="s">
        <v>363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56.430275708454097</v>
      </c>
      <c r="M3" s="74">
        <f>SUBTOTAL(9,M5:M1048576)</f>
        <v>6</v>
      </c>
      <c r="N3" s="75">
        <f>SUBTOTAL(9,N5:N1048576)</f>
        <v>338.58165425072457</v>
      </c>
    </row>
    <row r="4" spans="1:14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x14ac:dyDescent="0.3">
      <c r="A5" s="399" t="s">
        <v>359</v>
      </c>
      <c r="B5" s="400" t="s">
        <v>360</v>
      </c>
      <c r="C5" s="401" t="s">
        <v>364</v>
      </c>
      <c r="D5" s="402" t="s">
        <v>381</v>
      </c>
      <c r="E5" s="401" t="s">
        <v>369</v>
      </c>
      <c r="F5" s="402" t="s">
        <v>382</v>
      </c>
      <c r="G5" s="401" t="s">
        <v>370</v>
      </c>
      <c r="H5" s="401" t="s">
        <v>371</v>
      </c>
      <c r="I5" s="401" t="s">
        <v>372</v>
      </c>
      <c r="J5" s="401" t="s">
        <v>373</v>
      </c>
      <c r="K5" s="401" t="s">
        <v>374</v>
      </c>
      <c r="L5" s="403">
        <v>46.260827125362248</v>
      </c>
      <c r="M5" s="403">
        <v>2</v>
      </c>
      <c r="N5" s="404">
        <v>92.521654250724495</v>
      </c>
    </row>
    <row r="6" spans="1:14" ht="14.4" customHeight="1" x14ac:dyDescent="0.3">
      <c r="A6" s="405" t="s">
        <v>359</v>
      </c>
      <c r="B6" s="406" t="s">
        <v>360</v>
      </c>
      <c r="C6" s="407" t="s">
        <v>364</v>
      </c>
      <c r="D6" s="408" t="s">
        <v>381</v>
      </c>
      <c r="E6" s="407" t="s">
        <v>369</v>
      </c>
      <c r="F6" s="408" t="s">
        <v>382</v>
      </c>
      <c r="G6" s="407" t="s">
        <v>370</v>
      </c>
      <c r="H6" s="407" t="s">
        <v>375</v>
      </c>
      <c r="I6" s="407" t="s">
        <v>376</v>
      </c>
      <c r="J6" s="407" t="s">
        <v>377</v>
      </c>
      <c r="K6" s="407" t="s">
        <v>378</v>
      </c>
      <c r="L6" s="409">
        <v>62.08</v>
      </c>
      <c r="M6" s="409">
        <v>2</v>
      </c>
      <c r="N6" s="410">
        <v>124.16</v>
      </c>
    </row>
    <row r="7" spans="1:14" ht="14.4" customHeight="1" thickBot="1" x14ac:dyDescent="0.35">
      <c r="A7" s="411" t="s">
        <v>359</v>
      </c>
      <c r="B7" s="412" t="s">
        <v>360</v>
      </c>
      <c r="C7" s="413" t="s">
        <v>364</v>
      </c>
      <c r="D7" s="414" t="s">
        <v>381</v>
      </c>
      <c r="E7" s="413" t="s">
        <v>369</v>
      </c>
      <c r="F7" s="414" t="s">
        <v>382</v>
      </c>
      <c r="G7" s="413" t="s">
        <v>370</v>
      </c>
      <c r="H7" s="413" t="s">
        <v>379</v>
      </c>
      <c r="I7" s="413" t="s">
        <v>134</v>
      </c>
      <c r="J7" s="413" t="s">
        <v>380</v>
      </c>
      <c r="K7" s="413"/>
      <c r="L7" s="415">
        <v>60.950000000000045</v>
      </c>
      <c r="M7" s="415">
        <v>2</v>
      </c>
      <c r="N7" s="416">
        <v>121.90000000000009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8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3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7" t="s">
        <v>211</v>
      </c>
      <c r="B5" s="418" t="s">
        <v>213</v>
      </c>
      <c r="C5" s="418" t="s">
        <v>214</v>
      </c>
      <c r="D5" s="418" t="s">
        <v>215</v>
      </c>
      <c r="E5" s="419" t="s">
        <v>216</v>
      </c>
      <c r="F5" s="420" t="s">
        <v>213</v>
      </c>
      <c r="G5" s="421" t="s">
        <v>214</v>
      </c>
      <c r="H5" s="421" t="s">
        <v>215</v>
      </c>
      <c r="I5" s="422" t="s">
        <v>216</v>
      </c>
      <c r="J5" s="418" t="s">
        <v>213</v>
      </c>
      <c r="K5" s="418" t="s">
        <v>214</v>
      </c>
      <c r="L5" s="418" t="s">
        <v>215</v>
      </c>
      <c r="M5" s="419" t="s">
        <v>216</v>
      </c>
      <c r="N5" s="420" t="s">
        <v>213</v>
      </c>
      <c r="O5" s="421" t="s">
        <v>214</v>
      </c>
      <c r="P5" s="421" t="s">
        <v>215</v>
      </c>
      <c r="Q5" s="422" t="s">
        <v>216</v>
      </c>
    </row>
    <row r="6" spans="1:17" ht="14.4" customHeight="1" x14ac:dyDescent="0.3">
      <c r="A6" s="428" t="s">
        <v>383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384</v>
      </c>
      <c r="B7" s="433">
        <v>8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3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2015-11-24T08:36:27Z</dcterms:modified>
</cp:coreProperties>
</file>