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Detail'!$A$5:$P$5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V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8" i="383"/>
  <c r="G3" i="429"/>
  <c r="F3" i="429"/>
  <c r="E3" i="429"/>
  <c r="D3" i="429"/>
  <c r="C3" i="429"/>
  <c r="B3" i="42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Q6" i="419"/>
  <c r="I6" i="419"/>
  <c r="O6" i="419"/>
  <c r="AF6" i="419"/>
  <c r="AB6" i="419"/>
  <c r="X6" i="419"/>
  <c r="T6" i="419"/>
  <c r="P6" i="419"/>
  <c r="L6" i="419"/>
  <c r="AH6" i="419"/>
  <c r="AE6" i="419"/>
  <c r="AA6" i="419"/>
  <c r="W6" i="419"/>
  <c r="S6" i="419"/>
  <c r="AD6" i="419"/>
  <c r="Z6" i="419"/>
  <c r="V6" i="419"/>
  <c r="R6" i="419"/>
  <c r="N6" i="419"/>
  <c r="J6" i="419"/>
  <c r="U6" i="419"/>
  <c r="M6" i="419"/>
  <c r="H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C19" i="414"/>
  <c r="D19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<sst xmlns="http://schemas.openxmlformats.org/spreadsheetml/2006/main" count="969" uniqueCount="414">
  <si>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</si>
  <si>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</si>
  <si>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</si>
  <si>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</si>
  <si>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</si>
  <si>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</si>
  <si>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</si>
  <si>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</si>
  <si>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</si>
  <si>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</si>
  <si>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</si>
  <si>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</si>
  <si>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</si>
  <si>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</si>
  <si>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</si>
  <si>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</si>
  <si>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</si>
  <si>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</si>
  <si>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</si>
  <si>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</si>
  <si>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</si>
  <si>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</si>
  <si>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</si>
  <si>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</si>
  <si>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</si>
  <si>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</si>
  <si>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</si>
  <si>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</si>
  <si>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</si>
  <si>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</si>
  <si>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</si>
  <si>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</si>
  <si>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</si>
  <si>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</si>
  <si>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</si>
  <si>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</si>
  <si>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</si>
  <si>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</si>
  <si>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</si>
  <si>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</si>
  <si>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</si>
  <si>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</si>
  <si>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</si>
  <si>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</si>
  <si>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</si>
  <si>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</si>
  <si>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</si>
  <si>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</si>
  <si>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</si>
  <si>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</si>
  <si>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</si>
  <si>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</si>
  <si>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</si>
  <si>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</si>
  <si>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</si>
  <si>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</si>
  <si>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</si>
  <si>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</si>
  <si>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</si>
  <si>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</si>
  <si>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</si>
  <si>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</si>
  <si>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</si>
  <si>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</si>
  <si>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</si>
  <si>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</si>
  <si>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</si>
  <si>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</si>
  <si>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</si>
  <si>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</si>
  <si>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</si>
  <si>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</si>
  <si>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</si>
  <si>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</si>
  <si>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</si>
  <si>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</si>
  <si>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</si>
  <si>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</si>
  <si>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</si>
  <si>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</si>
  <si>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</si>
  <si>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</si>
  <si>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</si>
  <si>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</si>
  <si>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</si>
  <si>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</si>
  <si>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</si>
  <si>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</si>
  <si>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</si>
  <si>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</si>
  <si>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</si>
  <si>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</si>
  <si>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</si>
  <si>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</si>
  <si>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</si>
  <si>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</si>
  <si>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</si>
  <si>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</si>
  <si>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</si>
  <si>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</si>
  <si>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</si>
  <si>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</si>
  <si>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</si>
  <si>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</si>
  <si>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</si>
  <si>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</si>
  <si>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</si>
  <si>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</si>
  <si>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</si>
  <si>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</si>
  <si>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</si>
  <si>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</si>
  <si>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</si>
  <si>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</si>
  <si>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</si>
  <si>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</si>
  <si>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</si>
  <si>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</si>
  <si>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</si>
  <si>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</si>
  <si>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</si>
  <si>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</si>
  <si>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</si>
  <si>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</si>
  <si>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</si>
  <si>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</si>
  <si>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</si>
  <si>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</si>
  <si>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</si>
  <si>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</si>
  <si>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</si>
  <si>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</si>
  <si>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</si>
  <si>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</si>
  <si>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</si>
  <si>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</si>
  <si>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</si>
  <si>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</si>
  <si>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</si>
  <si>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</si>
  <si>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</si>
  <si>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</si>
  <si>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</si>
  <si>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</si>
  <si>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</si>
  <si>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</si>
  <si>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</si>
  <si>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</si>
  <si>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</si>
  <si>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</si>
  <si>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</si>
  <si>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</si>
  <si>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</si>
  <si>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</si>
  <si>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</si>
  <si>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</si>
  <si>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</si>
  <si>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</si>
  <si>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</si>
  <si>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</si>
  <si>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</si>
  <si>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</si>
  <si>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</si>
  <si>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</si>
  <si>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</si>
  <si>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</si>
  <si>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</si>
  <si>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</si>
  <si>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</si>
  <si>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</si>
  <si>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</si>
  <si>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</si>
  <si>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</si>
  <si>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</si>
  <si>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</si>
  <si>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</si>
  <si>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</si>
  <si>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</si>
  <si>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</si>
  <si>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</si>
  <si>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</si>
  <si>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</si>
  <si>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</si>
  <si>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</si>
  <si>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</si>
  <si>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</si>
  <si>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</si>
  <si>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</si>
  <si>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</si>
  <si>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</si>
  <si>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</si>
  <si>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</si>
  <si>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</si>
  <si>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</si>
  <si>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</si>
  <si>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</si>
  <si>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</si>
  <si>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</si>
  <si>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</si>
  <si>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</si>
  <si>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</si>
  <si>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</si>
  <si>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</si>
  <si>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</si>
  <si>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</si>
  <si>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</si>
  <si>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</si>
  <si>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</si>
  <si>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</si>
  <si>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</si>
  <si>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</si>
  <si>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</si>
  <si>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</si>
  <si>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</si>
  <si>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</si>
  <si>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</si>
  <si>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</si>
  <si>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</si>
  <si>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</si>
  <si>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</si>
  <si>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</si>
  <si>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</si>
  <si>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</si>
  <si>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</si>
  <si>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</si>
  <si>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</si>
  <si>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</si>
  <si>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</si>
  <si>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</si>
  <si>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</si>
  <si>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</si>
  <si>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</si>
  <si>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</si>
  <si>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klinické logopedie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</si>
  <si>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</si>
  <si>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</si>
  <si>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</si>
  <si>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</si>
  <si>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</si>
  <si>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</si>
  <si>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</si>
  <si>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</si>
  <si>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</si>
  <si>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50115060     ostatní ZPr - mimo níže uvedené (sk.Z_503)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</si>
  <si>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</si>
  <si>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</si>
  <si>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</si>
  <si>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</si>
  <si>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</si>
  <si>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</si>
  <si>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</si>
  <si>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</si>
  <si>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</si>
  <si>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</si>
  <si>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</si>
  <si>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</si>
  <si>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</si>
  <si>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</si>
  <si>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</si>
  <si>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</si>
  <si>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</si>
  <si>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</si>
  <si>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</si>
  <si>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</si>
  <si>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</si>
  <si>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</si>
  <si>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</si>
  <si>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</si>
  <si>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</si>
  <si>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</si>
  <si>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</si>
  <si>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</si>
  <si>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</si>
  <si>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</si>
  <si>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</si>
  <si>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</si>
  <si>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</si>
  <si>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</si>
  <si>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</si>
  <si>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</si>
  <si>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</si>
  <si>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</si>
  <si>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</si>
  <si>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</si>
  <si>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</si>
  <si>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</si>
  <si>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</si>
  <si>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</si>
  <si>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</si>
  <si>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</si>
  <si>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</si>
  <si>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</si>
  <si>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</si>
  <si>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</si>
  <si>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</si>
  <si>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</si>
  <si>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</si>
  <si>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</si>
  <si>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</si>
  <si>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</si>
  <si>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</si>
  <si>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</si>
  <si>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</si>
  <si>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</si>
  <si>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</si>
  <si>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</si>
  <si>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</si>
  <si>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</si>
  <si>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</si>
  <si>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</si>
  <si>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</si>
  <si>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</si>
  <si>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</si>
  <si>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</si>
  <si>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</si>
  <si>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</si>
  <si>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</si>
  <si>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</si>
  <si>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</si>
  <si>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</si>
  <si>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</si>
  <si>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</si>
  <si>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</si>
  <si>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</si>
  <si>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</si>
  <si>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</si>
  <si>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</si>
  <si>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</si>
  <si>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</si>
  <si>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</si>
  <si>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</si>
  <si>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</si>
  <si>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</si>
  <si>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</si>
  <si>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</si>
  <si>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</si>
  <si>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</si>
  <si>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</si>
  <si>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</si>
  <si>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</si>
  <si>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</si>
  <si>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</si>
  <si>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</si>
  <si>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</si>
  <si>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</si>
  <si>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</si>
  <si>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</si>
  <si>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</si>
  <si>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</si>
  <si>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</si>
  <si>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</si>
  <si>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</si>
  <si>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</si>
  <si>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50115040     laboratorní materiál (sk.Z_505)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</si>
  <si>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</si>
  <si>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</si>
  <si>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</si>
  <si>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</si>
  <si>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</si>
  <si>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</si>
  <si>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</si>
  <si>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</si>
  <si>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</si>
  <si>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</si>
  <si>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</si>
  <si>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</si>
  <si>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</si>
  <si>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</si>
  <si>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</si>
  <si>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</si>
  <si>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</si>
  <si>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</si>
  <si>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</si>
  <si>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</si>
  <si>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</si>
  <si>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SIGNÁLNÍ VÝKON KLINICKÉHO VYŠETŘENÍ / DO 31.12.201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</si>
  <si>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</si>
  <si>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</si>
  <si>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</si>
  <si>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</si>
  <si>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</si>
  <si>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</si>
  <si>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</si>
  <si>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</si>
  <si>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</si>
  <si>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</si>
  <si>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</si>
  <si>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</si>
  <si>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</si>
  <si>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</si>
  <si>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</si>
  <si>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</si>
  <si>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</si>
  <si>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</si>
  <si>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</si>
  <si>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</si>
  <si>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</si>
  <si>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</si>
  <si>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</si>
  <si>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</si>
  <si>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</si>
  <si>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72017</t>
  </si>
  <si>
    <t>KONTROLNÍ VYŠETŘENÍ KLINICKÝM LOGOPEDEM</t>
  </si>
  <si>
    <t>07</t>
  </si>
  <si>
    <t>08</t>
  </si>
  <si>
    <t>10</t>
  </si>
  <si>
    <t>17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</si>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</sst>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2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44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4" fillId="4" borderId="34" xfId="1" applyFont="1" applyFill="1" applyBorder="1" applyAlignment="1">
      <alignment horizontal="left" indent="2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1" fillId="8" borderId="59" xfId="0" applyNumberFormat="1" applyFont="1" applyFill="1" applyBorder="1"/>
    <xf numFmtId="3" fontId="51" fillId="8" borderId="58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2" xfId="0" applyNumberFormat="1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3" fontId="53" fillId="2" borderId="65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5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83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0" borderId="69" xfId="0" applyNumberFormat="1" applyFont="1" applyBorder="1"/>
    <xf numFmtId="173" fontId="32" fillId="0" borderId="85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2" fillId="0" borderId="75" xfId="0" applyNumberFormat="1" applyFont="1" applyBorder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6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1" xfId="0" applyNumberFormat="1" applyFont="1" applyBorder="1"/>
    <xf numFmtId="9" fontId="32" fillId="0" borderId="75" xfId="0" applyNumberFormat="1" applyFont="1" applyBorder="1"/>
    <xf numFmtId="9" fontId="32" fillId="0" borderId="73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2" fillId="2" borderId="43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2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2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9" fontId="32" fillId="0" borderId="89" xfId="0" applyNumberFormat="1" applyFont="1" applyFill="1" applyBorder="1"/>
    <xf numFmtId="9" fontId="32" fillId="0" borderId="88" xfId="0" applyNumberFormat="1" applyFont="1" applyFill="1" applyBorder="1"/>
    <xf numFmtId="173" fontId="39" fillId="4" borderId="111" xfId="0" applyNumberFormat="1" applyFont="1" applyFill="1" applyBorder="1" applyAlignment="1">
      <alignment horizontal="center"/>
    </xf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 wrapText="1"/>
    </xf>
    <xf numFmtId="175" fontId="32" fillId="0" borderId="113" xfId="0" applyNumberFormat="1" applyFont="1" applyBorder="1" applyAlignment="1">
      <alignment horizontal="right"/>
    </xf>
    <xf numFmtId="175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3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7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7" xfId="0" applyNumberFormat="1" applyFont="1" applyBorder="1"/>
    <xf numFmtId="173" fontId="32" fillId="0" borderId="89" xfId="0" applyNumberFormat="1" applyFont="1" applyBorder="1"/>
    <xf numFmtId="9" fontId="32" fillId="0" borderId="87" xfId="0" applyNumberFormat="1" applyFont="1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15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5" fontId="32" fillId="0" borderId="70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6" xfId="26" applyNumberFormat="1" applyFont="1" applyFill="1" applyBorder="1"/>
    <xf numFmtId="0" fontId="32" fillId="0" borderId="62" xfId="0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3" xfId="0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6" xfId="0" applyFont="1" applyFill="1" applyBorder="1"/>
    <xf numFmtId="9" fontId="32" fillId="0" borderId="74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0.33062113461954357</c:v>
                </c:pt>
                <c:pt idx="1">
                  <c:v>0.30466758007228639</c:v>
                </c:pt>
                <c:pt idx="2">
                  <c:v>0.27332830321326801</c:v>
                </c:pt>
                <c:pt idx="3">
                  <c:v>0.27529961707032352</c:v>
                </c:pt>
                <c:pt idx="4">
                  <c:v>0.26923541811141138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601840"/>
        <c:axId val="19095990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0.2404604619509032</c:v>
                </c:pt>
                <c:pt idx="1">
                  <c:v>0.2404604619509032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598704"/>
        <c:axId val="873009128"/>
      </c:scatterChart>
      <c:catAx>
        <c:axId val="190960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59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599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09601840"/>
        <c:crosses val="autoZero"/>
        <c:crossBetween val="between"/>
      </c:valAx>
      <c:valAx>
        <c:axId val="19095987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73009128"/>
        <c:crosses val="max"/>
        <c:crossBetween val="midCat"/>
      </c:valAx>
      <c:valAx>
        <c:axId val="873009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095987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86" t="s">
        <v>85</v>
      </c>
      <c r="B1" s="286"/>
    </row>
    <row r="2" spans="1:3" ht="14.4" customHeight="1" thickBot="1" x14ac:dyDescent="0.35">
      <c r="A2" s="196" t="s">
        <v>233</v>
      </c>
      <c r="B2" s="41"/>
    </row>
    <row r="3" spans="1:3" ht="14.4" customHeight="1" thickBot="1" x14ac:dyDescent="0.35">
      <c r="A3" s="282" t="s">
        <v>106</v>
      </c>
      <c r="B3" s="283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236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84" t="s">
        <v>86</v>
      </c>
      <c r="B10" s="283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6" t="str">
        <f t="shared" ref="A12:A14" si="2">HYPERLINK("#'"&amp;C12&amp;"'!A1",C12)</f>
        <v>LŽ Statim</v>
      </c>
      <c r="B12" s="270" t="s">
        <v>196</v>
      </c>
      <c r="C12" s="42" t="s">
        <v>206</v>
      </c>
    </row>
    <row r="13" spans="1:3" ht="14.4" customHeight="1" x14ac:dyDescent="0.3">
      <c r="A13" s="118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8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85" t="s">
        <v>87</v>
      </c>
      <c r="B16" s="283"/>
    </row>
    <row r="17" spans="1:3" ht="14.4" customHeight="1" x14ac:dyDescent="0.3">
      <c r="A17" s="119" t="str">
        <f t="shared" ref="A17:A21" si="4">HYPERLINK("#'"&amp;C17&amp;"'!A1",C17)</f>
        <v>ZV Vykáz.-A</v>
      </c>
      <c r="B17" s="64" t="s">
        <v>356</v>
      </c>
      <c r="C17" s="42" t="s">
        <v>96</v>
      </c>
    </row>
    <row r="18" spans="1:3" ht="14.4" customHeight="1" x14ac:dyDescent="0.3">
      <c r="A18" s="116" t="str">
        <f t="shared" ref="A18" si="5">HYPERLINK("#'"&amp;C18&amp;"'!A1",C18)</f>
        <v>ZV Vykáz.-A Lékaři</v>
      </c>
      <c r="B18" s="65" t="s">
        <v>363</v>
      </c>
      <c r="C18" s="42" t="s">
        <v>209</v>
      </c>
    </row>
    <row r="19" spans="1:3" ht="14.4" customHeight="1" x14ac:dyDescent="0.3">
      <c r="A19" s="116" t="str">
        <f t="shared" si="4"/>
        <v>ZV Vykáz.-A Detail</v>
      </c>
      <c r="B19" s="65" t="s">
        <v>382</v>
      </c>
      <c r="C19" s="42" t="s">
        <v>97</v>
      </c>
    </row>
    <row r="20" spans="1:3" ht="14.4" customHeight="1" x14ac:dyDescent="0.3">
      <c r="A20" s="116" t="str">
        <f t="shared" si="4"/>
        <v>ZV Vykáz.-H</v>
      </c>
      <c r="B20" s="65" t="s">
        <v>100</v>
      </c>
      <c r="C20" s="42" t="s">
        <v>98</v>
      </c>
    </row>
    <row r="21" spans="1:3" ht="14.4" customHeight="1" x14ac:dyDescent="0.3">
      <c r="A21" s="116" t="str">
        <f t="shared" si="4"/>
        <v>ZV Vykáz.-H Detail</v>
      </c>
      <c r="B21" s="65" t="s">
        <v>413</v>
      </c>
      <c r="C21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18" width="13.109375" hidden="1" customWidth="1"/>
    <col min="19" max="19" width="13.109375" customWidth="1"/>
    <col min="20" max="33" width="13.109375" hidden="1" customWidth="1"/>
    <col min="34" max="34" width="13.109375" customWidth="1"/>
  </cols>
  <sheetData>
    <row r="1" spans="1:35" ht="18.600000000000001" thickBot="1" x14ac:dyDescent="0.4">
      <c r="A1" s="325" t="s">
        <v>83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</row>
    <row r="2" spans="1:35" ht="15" thickBot="1" x14ac:dyDescent="0.35">
      <c r="A2" s="196" t="s">
        <v>233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</row>
    <row r="3" spans="1:35" x14ac:dyDescent="0.3">
      <c r="A3" s="215" t="s">
        <v>156</v>
      </c>
      <c r="B3" s="326" t="s">
        <v>137</v>
      </c>
      <c r="C3" s="198">
        <v>0</v>
      </c>
      <c r="D3" s="199">
        <v>101</v>
      </c>
      <c r="E3" s="199">
        <v>102</v>
      </c>
      <c r="F3" s="218">
        <v>305</v>
      </c>
      <c r="G3" s="218">
        <v>306</v>
      </c>
      <c r="H3" s="218">
        <v>407</v>
      </c>
      <c r="I3" s="218">
        <v>408</v>
      </c>
      <c r="J3" s="218">
        <v>409</v>
      </c>
      <c r="K3" s="218">
        <v>410</v>
      </c>
      <c r="L3" s="218">
        <v>415</v>
      </c>
      <c r="M3" s="218">
        <v>416</v>
      </c>
      <c r="N3" s="218">
        <v>418</v>
      </c>
      <c r="O3" s="218">
        <v>419</v>
      </c>
      <c r="P3" s="218">
        <v>420</v>
      </c>
      <c r="Q3" s="218">
        <v>421</v>
      </c>
      <c r="R3" s="218">
        <v>522</v>
      </c>
      <c r="S3" s="218">
        <v>523</v>
      </c>
      <c r="T3" s="218">
        <v>524</v>
      </c>
      <c r="U3" s="218">
        <v>525</v>
      </c>
      <c r="V3" s="218">
        <v>526</v>
      </c>
      <c r="W3" s="218">
        <v>527</v>
      </c>
      <c r="X3" s="218">
        <v>528</v>
      </c>
      <c r="Y3" s="218">
        <v>629</v>
      </c>
      <c r="Z3" s="218">
        <v>630</v>
      </c>
      <c r="AA3" s="218">
        <v>636</v>
      </c>
      <c r="AB3" s="218">
        <v>637</v>
      </c>
      <c r="AC3" s="218">
        <v>640</v>
      </c>
      <c r="AD3" s="218">
        <v>642</v>
      </c>
      <c r="AE3" s="218">
        <v>743</v>
      </c>
      <c r="AF3" s="199">
        <v>745</v>
      </c>
      <c r="AG3" s="199">
        <v>746</v>
      </c>
      <c r="AH3" s="413">
        <v>930</v>
      </c>
      <c r="AI3" s="429"/>
    </row>
    <row r="4" spans="1:35" ht="36.6" outlineLevel="1" thickBot="1" x14ac:dyDescent="0.35">
      <c r="A4" s="216">
        <v>2015</v>
      </c>
      <c r="B4" s="327"/>
      <c r="C4" s="200" t="s">
        <v>138</v>
      </c>
      <c r="D4" s="201" t="s">
        <v>139</v>
      </c>
      <c r="E4" s="201" t="s">
        <v>140</v>
      </c>
      <c r="F4" s="219" t="s">
        <v>168</v>
      </c>
      <c r="G4" s="219" t="s">
        <v>169</v>
      </c>
      <c r="H4" s="219" t="s">
        <v>231</v>
      </c>
      <c r="I4" s="219" t="s">
        <v>170</v>
      </c>
      <c r="J4" s="219" t="s">
        <v>171</v>
      </c>
      <c r="K4" s="219" t="s">
        <v>172</v>
      </c>
      <c r="L4" s="219" t="s">
        <v>173</v>
      </c>
      <c r="M4" s="219" t="s">
        <v>174</v>
      </c>
      <c r="N4" s="219" t="s">
        <v>175</v>
      </c>
      <c r="O4" s="219" t="s">
        <v>176</v>
      </c>
      <c r="P4" s="219" t="s">
        <v>177</v>
      </c>
      <c r="Q4" s="219" t="s">
        <v>178</v>
      </c>
      <c r="R4" s="219" t="s">
        <v>179</v>
      </c>
      <c r="S4" s="219" t="s">
        <v>180</v>
      </c>
      <c r="T4" s="219" t="s">
        <v>181</v>
      </c>
      <c r="U4" s="219" t="s">
        <v>182</v>
      </c>
      <c r="V4" s="219" t="s">
        <v>183</v>
      </c>
      <c r="W4" s="219" t="s">
        <v>184</v>
      </c>
      <c r="X4" s="219" t="s">
        <v>193</v>
      </c>
      <c r="Y4" s="219" t="s">
        <v>185</v>
      </c>
      <c r="Z4" s="219" t="s">
        <v>194</v>
      </c>
      <c r="AA4" s="219" t="s">
        <v>186</v>
      </c>
      <c r="AB4" s="219" t="s">
        <v>187</v>
      </c>
      <c r="AC4" s="219" t="s">
        <v>188</v>
      </c>
      <c r="AD4" s="219" t="s">
        <v>189</v>
      </c>
      <c r="AE4" s="219" t="s">
        <v>190</v>
      </c>
      <c r="AF4" s="201" t="s">
        <v>191</v>
      </c>
      <c r="AG4" s="201" t="s">
        <v>192</v>
      </c>
      <c r="AH4" s="414" t="s">
        <v>158</v>
      </c>
      <c r="AI4" s="429"/>
    </row>
    <row r="5" spans="1:35" x14ac:dyDescent="0.3">
      <c r="A5" s="202" t="s">
        <v>141</v>
      </c>
      <c r="B5" s="238"/>
      <c r="C5" s="239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415"/>
      <c r="AI5" s="429"/>
    </row>
    <row r="6" spans="1:35" ht="15" collapsed="1" thickBot="1" x14ac:dyDescent="0.35">
      <c r="A6" s="203" t="s">
        <v>50</v>
      </c>
      <c r="B6" s="241">
        <f xml:space="preserve">
TRUNC(IF($A$4&lt;=12,SUMIFS('ON Data'!F:F,'ON Data'!$D:$D,$A$4,'ON Data'!$E:$E,1),SUMIFS('ON Data'!F:F,'ON Data'!$E:$E,1)/'ON Data'!$D$3),1)</f>
        <v>5</v>
      </c>
      <c r="C6" s="242">
        <f xml:space="preserve">
TRUNC(IF($A$4&lt;=12,SUMIFS('ON Data'!G:G,'ON Data'!$D:$D,$A$4,'ON Data'!$E:$E,1),SUMIFS('ON Data'!G:G,'ON Data'!$E:$E,1)/'ON Data'!$D$3),1)</f>
        <v>0</v>
      </c>
      <c r="D6" s="243">
        <f xml:space="preserve">
TRUNC(IF($A$4&lt;=12,SUMIFS('ON Data'!H:H,'ON Data'!$D:$D,$A$4,'ON Data'!$E:$E,1),SUMIFS('ON Data'!H:H,'ON Data'!$E:$E,1)/'ON Data'!$D$3),1)</f>
        <v>0</v>
      </c>
      <c r="E6" s="243">
        <f xml:space="preserve">
TRUNC(IF($A$4&lt;=12,SUMIFS('ON Data'!I:I,'ON Data'!$D:$D,$A$4,'ON Data'!$E:$E,1),SUMIFS('ON Data'!I:I,'ON Data'!$E:$E,1)/'ON Data'!$D$3),1)</f>
        <v>0</v>
      </c>
      <c r="F6" s="243">
        <f xml:space="preserve">
TRUNC(IF($A$4&lt;=12,SUMIFS('ON Data'!K:K,'ON Data'!$D:$D,$A$4,'ON Data'!$E:$E,1),SUMIFS('ON Data'!K:K,'ON Data'!$E:$E,1)/'ON Data'!$D$3),1)</f>
        <v>0</v>
      </c>
      <c r="G6" s="243">
        <f xml:space="preserve">
TRUNC(IF($A$4&lt;=12,SUMIFS('ON Data'!L:L,'ON Data'!$D:$D,$A$4,'ON Data'!$E:$E,1),SUMIFS('ON Data'!L:L,'ON Data'!$E:$E,1)/'ON Data'!$D$3),1)</f>
        <v>0</v>
      </c>
      <c r="H6" s="243">
        <f xml:space="preserve">
TRUNC(IF($A$4&lt;=12,SUMIFS('ON Data'!M:M,'ON Data'!$D:$D,$A$4,'ON Data'!$E:$E,1),SUMIFS('ON Data'!M:M,'ON Data'!$E:$E,1)/'ON Data'!$D$3),1)</f>
        <v>0</v>
      </c>
      <c r="I6" s="243">
        <f xml:space="preserve">
TRUNC(IF($A$4&lt;=12,SUMIFS('ON Data'!N:N,'ON Data'!$D:$D,$A$4,'ON Data'!$E:$E,1),SUMIFS('ON Data'!N:N,'ON Data'!$E:$E,1)/'ON Data'!$D$3),1)</f>
        <v>0</v>
      </c>
      <c r="J6" s="243">
        <f xml:space="preserve">
TRUNC(IF($A$4&lt;=12,SUMIFS('ON Data'!O:O,'ON Data'!$D:$D,$A$4,'ON Data'!$E:$E,1),SUMIFS('ON Data'!O:O,'ON Data'!$E:$E,1)/'ON Data'!$D$3),1)</f>
        <v>0</v>
      </c>
      <c r="K6" s="243">
        <f xml:space="preserve">
TRUNC(IF($A$4&lt;=12,SUMIFS('ON Data'!P:P,'ON Data'!$D:$D,$A$4,'ON Data'!$E:$E,1),SUMIFS('ON Data'!P:P,'ON Data'!$E:$E,1)/'ON Data'!$D$3),1)</f>
        <v>0</v>
      </c>
      <c r="L6" s="243">
        <f xml:space="preserve">
TRUNC(IF($A$4&lt;=12,SUMIFS('ON Data'!Q:Q,'ON Data'!$D:$D,$A$4,'ON Data'!$E:$E,1),SUMIFS('ON Data'!Q:Q,'ON Data'!$E:$E,1)/'ON Data'!$D$3),1)</f>
        <v>0</v>
      </c>
      <c r="M6" s="243">
        <f xml:space="preserve">
TRUNC(IF($A$4&lt;=12,SUMIFS('ON Data'!R:R,'ON Data'!$D:$D,$A$4,'ON Data'!$E:$E,1),SUMIFS('ON Data'!R:R,'ON Data'!$E:$E,1)/'ON Data'!$D$3),1)</f>
        <v>0</v>
      </c>
      <c r="N6" s="243">
        <f xml:space="preserve">
TRUNC(IF($A$4&lt;=12,SUMIFS('ON Data'!S:S,'ON Data'!$D:$D,$A$4,'ON Data'!$E:$E,1),SUMIFS('ON Data'!S:S,'ON Data'!$E:$E,1)/'ON Data'!$D$3),1)</f>
        <v>0</v>
      </c>
      <c r="O6" s="243">
        <f xml:space="preserve">
TRUNC(IF($A$4&lt;=12,SUMIFS('ON Data'!T:T,'ON Data'!$D:$D,$A$4,'ON Data'!$E:$E,1),SUMIFS('ON Data'!T:T,'ON Data'!$E:$E,1)/'ON Data'!$D$3),1)</f>
        <v>0</v>
      </c>
      <c r="P6" s="243">
        <f xml:space="preserve">
TRUNC(IF($A$4&lt;=12,SUMIFS('ON Data'!U:U,'ON Data'!$D:$D,$A$4,'ON Data'!$E:$E,1),SUMIFS('ON Data'!U:U,'ON Data'!$E:$E,1)/'ON Data'!$D$3),1)</f>
        <v>0</v>
      </c>
      <c r="Q6" s="243">
        <f xml:space="preserve">
TRUNC(IF($A$4&lt;=12,SUMIFS('ON Data'!V:V,'ON Data'!$D:$D,$A$4,'ON Data'!$E:$E,1),SUMIFS('ON Data'!V:V,'ON Data'!$E:$E,1)/'ON Data'!$D$3),1)</f>
        <v>0</v>
      </c>
      <c r="R6" s="243">
        <f xml:space="preserve">
TRUNC(IF($A$4&lt;=12,SUMIFS('ON Data'!W:W,'ON Data'!$D:$D,$A$4,'ON Data'!$E:$E,1),SUMIFS('ON Data'!W:W,'ON Data'!$E:$E,1)/'ON Data'!$D$3),1)</f>
        <v>0</v>
      </c>
      <c r="S6" s="243">
        <f xml:space="preserve">
TRUNC(IF($A$4&lt;=12,SUMIFS('ON Data'!X:X,'ON Data'!$D:$D,$A$4,'ON Data'!$E:$E,1),SUMIFS('ON Data'!X:X,'ON Data'!$E:$E,1)/'ON Data'!$D$3),1)</f>
        <v>5</v>
      </c>
      <c r="T6" s="243">
        <f xml:space="preserve">
TRUNC(IF($A$4&lt;=12,SUMIFS('ON Data'!Y:Y,'ON Data'!$D:$D,$A$4,'ON Data'!$E:$E,1),SUMIFS('ON Data'!Y:Y,'ON Data'!$E:$E,1)/'ON Data'!$D$3),1)</f>
        <v>0</v>
      </c>
      <c r="U6" s="243">
        <f xml:space="preserve">
TRUNC(IF($A$4&lt;=12,SUMIFS('ON Data'!Z:Z,'ON Data'!$D:$D,$A$4,'ON Data'!$E:$E,1),SUMIFS('ON Data'!Z:Z,'ON Data'!$E:$E,1)/'ON Data'!$D$3),1)</f>
        <v>0</v>
      </c>
      <c r="V6" s="243">
        <f xml:space="preserve">
TRUNC(IF($A$4&lt;=12,SUMIFS('ON Data'!AA:AA,'ON Data'!$D:$D,$A$4,'ON Data'!$E:$E,1),SUMIFS('ON Data'!AA:AA,'ON Data'!$E:$E,1)/'ON Data'!$D$3),1)</f>
        <v>0</v>
      </c>
      <c r="W6" s="243">
        <f xml:space="preserve">
TRUNC(IF($A$4&lt;=12,SUMIFS('ON Data'!AB:AB,'ON Data'!$D:$D,$A$4,'ON Data'!$E:$E,1),SUMIFS('ON Data'!AB:AB,'ON Data'!$E:$E,1)/'ON Data'!$D$3),1)</f>
        <v>0</v>
      </c>
      <c r="X6" s="243">
        <f xml:space="preserve">
TRUNC(IF($A$4&lt;=12,SUMIFS('ON Data'!AC:AC,'ON Data'!$D:$D,$A$4,'ON Data'!$E:$E,1),SUMIFS('ON Data'!AC:AC,'ON Data'!$E:$E,1)/'ON Data'!$D$3),1)</f>
        <v>0</v>
      </c>
      <c r="Y6" s="243">
        <f xml:space="preserve">
TRUNC(IF($A$4&lt;=12,SUMIFS('ON Data'!AD:AD,'ON Data'!$D:$D,$A$4,'ON Data'!$E:$E,1),SUMIFS('ON Data'!AD:AD,'ON Data'!$E:$E,1)/'ON Data'!$D$3),1)</f>
        <v>0</v>
      </c>
      <c r="Z6" s="243">
        <f xml:space="preserve">
TRUNC(IF($A$4&lt;=12,SUMIFS('ON Data'!AE:AE,'ON Data'!$D:$D,$A$4,'ON Data'!$E:$E,1),SUMIFS('ON Data'!AE:AE,'ON Data'!$E:$E,1)/'ON Data'!$D$3),1)</f>
        <v>0</v>
      </c>
      <c r="AA6" s="243">
        <f xml:space="preserve">
TRUNC(IF($A$4&lt;=12,SUMIFS('ON Data'!AF:AF,'ON Data'!$D:$D,$A$4,'ON Data'!$E:$E,1),SUMIFS('ON Data'!AF:AF,'ON Data'!$E:$E,1)/'ON Data'!$D$3),1)</f>
        <v>0</v>
      </c>
      <c r="AB6" s="243">
        <f xml:space="preserve">
TRUNC(IF($A$4&lt;=12,SUMIFS('ON Data'!AG:AG,'ON Data'!$D:$D,$A$4,'ON Data'!$E:$E,1),SUMIFS('ON Data'!AG:AG,'ON Data'!$E:$E,1)/'ON Data'!$D$3),1)</f>
        <v>0</v>
      </c>
      <c r="AC6" s="243">
        <f xml:space="preserve">
TRUNC(IF($A$4&lt;=12,SUMIFS('ON Data'!AH:AH,'ON Data'!$D:$D,$A$4,'ON Data'!$E:$E,1),SUMIFS('ON Data'!AH:AH,'ON Data'!$E:$E,1)/'ON Data'!$D$3),1)</f>
        <v>0</v>
      </c>
      <c r="AD6" s="243">
        <f xml:space="preserve">
TRUNC(IF($A$4&lt;=12,SUMIFS('ON Data'!AI:AI,'ON Data'!$D:$D,$A$4,'ON Data'!$E:$E,1),SUMIFS('ON Data'!AI:AI,'ON Data'!$E:$E,1)/'ON Data'!$D$3),1)</f>
        <v>0</v>
      </c>
      <c r="AE6" s="243">
        <f xml:space="preserve">
TRUNC(IF($A$4&lt;=12,SUMIFS('ON Data'!AJ:AJ,'ON Data'!$D:$D,$A$4,'ON Data'!$E:$E,1),SUMIFS('ON Data'!AJ:AJ,'ON Data'!$E:$E,1)/'ON Data'!$D$3),1)</f>
        <v>0</v>
      </c>
      <c r="AF6" s="243">
        <f xml:space="preserve">
TRUNC(IF($A$4&lt;=12,SUMIFS('ON Data'!AK:AK,'ON Data'!$D:$D,$A$4,'ON Data'!$E:$E,1),SUMIFS('ON Data'!AK:AK,'ON Data'!$E:$E,1)/'ON Data'!$D$3),1)</f>
        <v>0</v>
      </c>
      <c r="AG6" s="243">
        <f xml:space="preserve">
TRUNC(IF($A$4&lt;=12,SUMIFS('ON Data'!AL:AL,'ON Data'!$D:$D,$A$4,'ON Data'!$E:$E,1),SUMIFS('ON Data'!AL:AL,'ON Data'!$E:$E,1)/'ON Data'!$D$3),1)</f>
        <v>0</v>
      </c>
      <c r="AH6" s="416">
        <f xml:space="preserve">
TRUNC(IF($A$4&lt;=12,SUMIFS('ON Data'!AN:AN,'ON Data'!$D:$D,$A$4,'ON Data'!$E:$E,1),SUMIFS('ON Data'!AN:AN,'ON Data'!$E:$E,1)/'ON Data'!$D$3),1)</f>
        <v>0</v>
      </c>
      <c r="AI6" s="429"/>
    </row>
    <row r="7" spans="1:35" ht="15" hidden="1" outlineLevel="1" thickBot="1" x14ac:dyDescent="0.35">
      <c r="A7" s="203" t="s">
        <v>84</v>
      </c>
      <c r="B7" s="241"/>
      <c r="C7" s="244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416"/>
      <c r="AI7" s="429"/>
    </row>
    <row r="8" spans="1:35" ht="15" hidden="1" outlineLevel="1" thickBot="1" x14ac:dyDescent="0.35">
      <c r="A8" s="203" t="s">
        <v>52</v>
      </c>
      <c r="B8" s="241"/>
      <c r="C8" s="244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416"/>
      <c r="AI8" s="429"/>
    </row>
    <row r="9" spans="1:35" ht="15" hidden="1" outlineLevel="1" thickBot="1" x14ac:dyDescent="0.35">
      <c r="A9" s="204" t="s">
        <v>45</v>
      </c>
      <c r="B9" s="245"/>
      <c r="C9" s="246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417"/>
      <c r="AI9" s="429"/>
    </row>
    <row r="10" spans="1:35" x14ac:dyDescent="0.3">
      <c r="A10" s="205" t="s">
        <v>142</v>
      </c>
      <c r="B10" s="220"/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418"/>
      <c r="AI10" s="429"/>
    </row>
    <row r="11" spans="1:35" x14ac:dyDescent="0.3">
      <c r="A11" s="206" t="s">
        <v>143</v>
      </c>
      <c r="B11" s="223">
        <f xml:space="preserve">
IF($A$4&lt;=12,SUMIFS('ON Data'!F:F,'ON Data'!$D:$D,$A$4,'ON Data'!$E:$E,2),SUMIFS('ON Data'!F:F,'ON Data'!$E:$E,2))</f>
        <v>3960</v>
      </c>
      <c r="C11" s="224">
        <f xml:space="preserve">
IF($A$4&lt;=12,SUMIFS('ON Data'!G:G,'ON Data'!$D:$D,$A$4,'ON Data'!$E:$E,2),SUMIFS('ON Data'!G:G,'ON Data'!$E:$E,2))</f>
        <v>0</v>
      </c>
      <c r="D11" s="225">
        <f xml:space="preserve">
IF($A$4&lt;=12,SUMIFS('ON Data'!H:H,'ON Data'!$D:$D,$A$4,'ON Data'!$E:$E,2),SUMIFS('ON Data'!H:H,'ON Data'!$E:$E,2))</f>
        <v>0</v>
      </c>
      <c r="E11" s="225">
        <f xml:space="preserve">
IF($A$4&lt;=12,SUMIFS('ON Data'!I:I,'ON Data'!$D:$D,$A$4,'ON Data'!$E:$E,2),SUMIFS('ON Data'!I:I,'ON Data'!$E:$E,2))</f>
        <v>0</v>
      </c>
      <c r="F11" s="225">
        <f xml:space="preserve">
IF($A$4&lt;=12,SUMIFS('ON Data'!K:K,'ON Data'!$D:$D,$A$4,'ON Data'!$E:$E,2),SUMIFS('ON Data'!K:K,'ON Data'!$E:$E,2))</f>
        <v>0</v>
      </c>
      <c r="G11" s="225">
        <f xml:space="preserve">
IF($A$4&lt;=12,SUMIFS('ON Data'!L:L,'ON Data'!$D:$D,$A$4,'ON Data'!$E:$E,2),SUMIFS('ON Data'!L:L,'ON Data'!$E:$E,2))</f>
        <v>0</v>
      </c>
      <c r="H11" s="225">
        <f xml:space="preserve">
IF($A$4&lt;=12,SUMIFS('ON Data'!M:M,'ON Data'!$D:$D,$A$4,'ON Data'!$E:$E,2),SUMIFS('ON Data'!M:M,'ON Data'!$E:$E,2))</f>
        <v>0</v>
      </c>
      <c r="I11" s="225">
        <f xml:space="preserve">
IF($A$4&lt;=12,SUMIFS('ON Data'!N:N,'ON Data'!$D:$D,$A$4,'ON Data'!$E:$E,2),SUMIFS('ON Data'!N:N,'ON Data'!$E:$E,2))</f>
        <v>0</v>
      </c>
      <c r="J11" s="225">
        <f xml:space="preserve">
IF($A$4&lt;=12,SUMIFS('ON Data'!O:O,'ON Data'!$D:$D,$A$4,'ON Data'!$E:$E,2),SUMIFS('ON Data'!O:O,'ON Data'!$E:$E,2))</f>
        <v>0</v>
      </c>
      <c r="K11" s="225">
        <f xml:space="preserve">
IF($A$4&lt;=12,SUMIFS('ON Data'!P:P,'ON Data'!$D:$D,$A$4,'ON Data'!$E:$E,2),SUMIFS('ON Data'!P:P,'ON Data'!$E:$E,2))</f>
        <v>0</v>
      </c>
      <c r="L11" s="225">
        <f xml:space="preserve">
IF($A$4&lt;=12,SUMIFS('ON Data'!Q:Q,'ON Data'!$D:$D,$A$4,'ON Data'!$E:$E,2),SUMIFS('ON Data'!Q:Q,'ON Data'!$E:$E,2))</f>
        <v>0</v>
      </c>
      <c r="M11" s="225">
        <f xml:space="preserve">
IF($A$4&lt;=12,SUMIFS('ON Data'!R:R,'ON Data'!$D:$D,$A$4,'ON Data'!$E:$E,2),SUMIFS('ON Data'!R:R,'ON Data'!$E:$E,2))</f>
        <v>0</v>
      </c>
      <c r="N11" s="225">
        <f xml:space="preserve">
IF($A$4&lt;=12,SUMIFS('ON Data'!S:S,'ON Data'!$D:$D,$A$4,'ON Data'!$E:$E,2),SUMIFS('ON Data'!S:S,'ON Data'!$E:$E,2))</f>
        <v>0</v>
      </c>
      <c r="O11" s="225">
        <f xml:space="preserve">
IF($A$4&lt;=12,SUMIFS('ON Data'!T:T,'ON Data'!$D:$D,$A$4,'ON Data'!$E:$E,2),SUMIFS('ON Data'!T:T,'ON Data'!$E:$E,2))</f>
        <v>0</v>
      </c>
      <c r="P11" s="225">
        <f xml:space="preserve">
IF($A$4&lt;=12,SUMIFS('ON Data'!U:U,'ON Data'!$D:$D,$A$4,'ON Data'!$E:$E,2),SUMIFS('ON Data'!U:U,'ON Data'!$E:$E,2))</f>
        <v>0</v>
      </c>
      <c r="Q11" s="225">
        <f xml:space="preserve">
IF($A$4&lt;=12,SUMIFS('ON Data'!V:V,'ON Data'!$D:$D,$A$4,'ON Data'!$E:$E,2),SUMIFS('ON Data'!V:V,'ON Data'!$E:$E,2))</f>
        <v>0</v>
      </c>
      <c r="R11" s="225">
        <f xml:space="preserve">
IF($A$4&lt;=12,SUMIFS('ON Data'!W:W,'ON Data'!$D:$D,$A$4,'ON Data'!$E:$E,2),SUMIFS('ON Data'!W:W,'ON Data'!$E:$E,2))</f>
        <v>0</v>
      </c>
      <c r="S11" s="225">
        <f xml:space="preserve">
IF($A$4&lt;=12,SUMIFS('ON Data'!X:X,'ON Data'!$D:$D,$A$4,'ON Data'!$E:$E,2),SUMIFS('ON Data'!X:X,'ON Data'!$E:$E,2))</f>
        <v>3960</v>
      </c>
      <c r="T11" s="225">
        <f xml:space="preserve">
IF($A$4&lt;=12,SUMIFS('ON Data'!Y:Y,'ON Data'!$D:$D,$A$4,'ON Data'!$E:$E,2),SUMIFS('ON Data'!Y:Y,'ON Data'!$E:$E,2))</f>
        <v>0</v>
      </c>
      <c r="U11" s="225">
        <f xml:space="preserve">
IF($A$4&lt;=12,SUMIFS('ON Data'!Z:Z,'ON Data'!$D:$D,$A$4,'ON Data'!$E:$E,2),SUMIFS('ON Data'!Z:Z,'ON Data'!$E:$E,2))</f>
        <v>0</v>
      </c>
      <c r="V11" s="225">
        <f xml:space="preserve">
IF($A$4&lt;=12,SUMIFS('ON Data'!AA:AA,'ON Data'!$D:$D,$A$4,'ON Data'!$E:$E,2),SUMIFS('ON Data'!AA:AA,'ON Data'!$E:$E,2))</f>
        <v>0</v>
      </c>
      <c r="W11" s="225">
        <f xml:space="preserve">
IF($A$4&lt;=12,SUMIFS('ON Data'!AB:AB,'ON Data'!$D:$D,$A$4,'ON Data'!$E:$E,2),SUMIFS('ON Data'!AB:AB,'ON Data'!$E:$E,2))</f>
        <v>0</v>
      </c>
      <c r="X11" s="225">
        <f xml:space="preserve">
IF($A$4&lt;=12,SUMIFS('ON Data'!AC:AC,'ON Data'!$D:$D,$A$4,'ON Data'!$E:$E,2),SUMIFS('ON Data'!AC:AC,'ON Data'!$E:$E,2))</f>
        <v>0</v>
      </c>
      <c r="Y11" s="225">
        <f xml:space="preserve">
IF($A$4&lt;=12,SUMIFS('ON Data'!AD:AD,'ON Data'!$D:$D,$A$4,'ON Data'!$E:$E,2),SUMIFS('ON Data'!AD:AD,'ON Data'!$E:$E,2))</f>
        <v>0</v>
      </c>
      <c r="Z11" s="225">
        <f xml:space="preserve">
IF($A$4&lt;=12,SUMIFS('ON Data'!AE:AE,'ON Data'!$D:$D,$A$4,'ON Data'!$E:$E,2),SUMIFS('ON Data'!AE:AE,'ON Data'!$E:$E,2))</f>
        <v>0</v>
      </c>
      <c r="AA11" s="225">
        <f xml:space="preserve">
IF($A$4&lt;=12,SUMIFS('ON Data'!AF:AF,'ON Data'!$D:$D,$A$4,'ON Data'!$E:$E,2),SUMIFS('ON Data'!AF:AF,'ON Data'!$E:$E,2))</f>
        <v>0</v>
      </c>
      <c r="AB11" s="225">
        <f xml:space="preserve">
IF($A$4&lt;=12,SUMIFS('ON Data'!AG:AG,'ON Data'!$D:$D,$A$4,'ON Data'!$E:$E,2),SUMIFS('ON Data'!AG:AG,'ON Data'!$E:$E,2))</f>
        <v>0</v>
      </c>
      <c r="AC11" s="225">
        <f xml:space="preserve">
IF($A$4&lt;=12,SUMIFS('ON Data'!AH:AH,'ON Data'!$D:$D,$A$4,'ON Data'!$E:$E,2),SUMIFS('ON Data'!AH:AH,'ON Data'!$E:$E,2))</f>
        <v>0</v>
      </c>
      <c r="AD11" s="225">
        <f xml:space="preserve">
IF($A$4&lt;=12,SUMIFS('ON Data'!AI:AI,'ON Data'!$D:$D,$A$4,'ON Data'!$E:$E,2),SUMIFS('ON Data'!AI:AI,'ON Data'!$E:$E,2))</f>
        <v>0</v>
      </c>
      <c r="AE11" s="225">
        <f xml:space="preserve">
IF($A$4&lt;=12,SUMIFS('ON Data'!AJ:AJ,'ON Data'!$D:$D,$A$4,'ON Data'!$E:$E,2),SUMIFS('ON Data'!AJ:AJ,'ON Data'!$E:$E,2))</f>
        <v>0</v>
      </c>
      <c r="AF11" s="225">
        <f xml:space="preserve">
IF($A$4&lt;=12,SUMIFS('ON Data'!AK:AK,'ON Data'!$D:$D,$A$4,'ON Data'!$E:$E,2),SUMIFS('ON Data'!AK:AK,'ON Data'!$E:$E,2))</f>
        <v>0</v>
      </c>
      <c r="AG11" s="225">
        <f xml:space="preserve">
IF($A$4&lt;=12,SUMIFS('ON Data'!AL:AL,'ON Data'!$D:$D,$A$4,'ON Data'!$E:$E,2),SUMIFS('ON Data'!AL:AL,'ON Data'!$E:$E,2))</f>
        <v>0</v>
      </c>
      <c r="AH11" s="419">
        <f xml:space="preserve">
IF($A$4&lt;=12,SUMIFS('ON Data'!AN:AN,'ON Data'!$D:$D,$A$4,'ON Data'!$E:$E,2),SUMIFS('ON Data'!AN:AN,'ON Data'!$E:$E,2))</f>
        <v>0</v>
      </c>
      <c r="AI11" s="429"/>
    </row>
    <row r="12" spans="1:35" x14ac:dyDescent="0.3">
      <c r="A12" s="206" t="s">
        <v>144</v>
      </c>
      <c r="B12" s="223">
        <f xml:space="preserve">
IF($A$4&lt;=12,SUMIFS('ON Data'!F:F,'ON Data'!$D:$D,$A$4,'ON Data'!$E:$E,3),SUMIFS('ON Data'!F:F,'ON Data'!$E:$E,3))</f>
        <v>0</v>
      </c>
      <c r="C12" s="224">
        <f xml:space="preserve">
IF($A$4&lt;=12,SUMIFS('ON Data'!G:G,'ON Data'!$D:$D,$A$4,'ON Data'!$E:$E,3),SUMIFS('ON Data'!G:G,'ON Data'!$E:$E,3))</f>
        <v>0</v>
      </c>
      <c r="D12" s="225">
        <f xml:space="preserve">
IF($A$4&lt;=12,SUMIFS('ON Data'!H:H,'ON Data'!$D:$D,$A$4,'ON Data'!$E:$E,3),SUMIFS('ON Data'!H:H,'ON Data'!$E:$E,3))</f>
        <v>0</v>
      </c>
      <c r="E12" s="225">
        <f xml:space="preserve">
IF($A$4&lt;=12,SUMIFS('ON Data'!I:I,'ON Data'!$D:$D,$A$4,'ON Data'!$E:$E,3),SUMIFS('ON Data'!I:I,'ON Data'!$E:$E,3))</f>
        <v>0</v>
      </c>
      <c r="F12" s="225">
        <f xml:space="preserve">
IF($A$4&lt;=12,SUMIFS('ON Data'!K:K,'ON Data'!$D:$D,$A$4,'ON Data'!$E:$E,3),SUMIFS('ON Data'!K:K,'ON Data'!$E:$E,3))</f>
        <v>0</v>
      </c>
      <c r="G12" s="225">
        <f xml:space="preserve">
IF($A$4&lt;=12,SUMIFS('ON Data'!L:L,'ON Data'!$D:$D,$A$4,'ON Data'!$E:$E,3),SUMIFS('ON Data'!L:L,'ON Data'!$E:$E,3))</f>
        <v>0</v>
      </c>
      <c r="H12" s="225">
        <f xml:space="preserve">
IF($A$4&lt;=12,SUMIFS('ON Data'!M:M,'ON Data'!$D:$D,$A$4,'ON Data'!$E:$E,3),SUMIFS('ON Data'!M:M,'ON Data'!$E:$E,3))</f>
        <v>0</v>
      </c>
      <c r="I12" s="225">
        <f xml:space="preserve">
IF($A$4&lt;=12,SUMIFS('ON Data'!N:N,'ON Data'!$D:$D,$A$4,'ON Data'!$E:$E,3),SUMIFS('ON Data'!N:N,'ON Data'!$E:$E,3))</f>
        <v>0</v>
      </c>
      <c r="J12" s="225">
        <f xml:space="preserve">
IF($A$4&lt;=12,SUMIFS('ON Data'!O:O,'ON Data'!$D:$D,$A$4,'ON Data'!$E:$E,3),SUMIFS('ON Data'!O:O,'ON Data'!$E:$E,3))</f>
        <v>0</v>
      </c>
      <c r="K12" s="225">
        <f xml:space="preserve">
IF($A$4&lt;=12,SUMIFS('ON Data'!P:P,'ON Data'!$D:$D,$A$4,'ON Data'!$E:$E,3),SUMIFS('ON Data'!P:P,'ON Data'!$E:$E,3))</f>
        <v>0</v>
      </c>
      <c r="L12" s="225">
        <f xml:space="preserve">
IF($A$4&lt;=12,SUMIFS('ON Data'!Q:Q,'ON Data'!$D:$D,$A$4,'ON Data'!$E:$E,3),SUMIFS('ON Data'!Q:Q,'ON Data'!$E:$E,3))</f>
        <v>0</v>
      </c>
      <c r="M12" s="225">
        <f xml:space="preserve">
IF($A$4&lt;=12,SUMIFS('ON Data'!R:R,'ON Data'!$D:$D,$A$4,'ON Data'!$E:$E,3),SUMIFS('ON Data'!R:R,'ON Data'!$E:$E,3))</f>
        <v>0</v>
      </c>
      <c r="N12" s="225">
        <f xml:space="preserve">
IF($A$4&lt;=12,SUMIFS('ON Data'!S:S,'ON Data'!$D:$D,$A$4,'ON Data'!$E:$E,3),SUMIFS('ON Data'!S:S,'ON Data'!$E:$E,3))</f>
        <v>0</v>
      </c>
      <c r="O12" s="225">
        <f xml:space="preserve">
IF($A$4&lt;=12,SUMIFS('ON Data'!T:T,'ON Data'!$D:$D,$A$4,'ON Data'!$E:$E,3),SUMIFS('ON Data'!T:T,'ON Data'!$E:$E,3))</f>
        <v>0</v>
      </c>
      <c r="P12" s="225">
        <f xml:space="preserve">
IF($A$4&lt;=12,SUMIFS('ON Data'!U:U,'ON Data'!$D:$D,$A$4,'ON Data'!$E:$E,3),SUMIFS('ON Data'!U:U,'ON Data'!$E:$E,3))</f>
        <v>0</v>
      </c>
      <c r="Q12" s="225">
        <f xml:space="preserve">
IF($A$4&lt;=12,SUMIFS('ON Data'!V:V,'ON Data'!$D:$D,$A$4,'ON Data'!$E:$E,3),SUMIFS('ON Data'!V:V,'ON Data'!$E:$E,3))</f>
        <v>0</v>
      </c>
      <c r="R12" s="225">
        <f xml:space="preserve">
IF($A$4&lt;=12,SUMIFS('ON Data'!W:W,'ON Data'!$D:$D,$A$4,'ON Data'!$E:$E,3),SUMIFS('ON Data'!W:W,'ON Data'!$E:$E,3))</f>
        <v>0</v>
      </c>
      <c r="S12" s="225">
        <f xml:space="preserve">
IF($A$4&lt;=12,SUMIFS('ON Data'!X:X,'ON Data'!$D:$D,$A$4,'ON Data'!$E:$E,3),SUMIFS('ON Data'!X:X,'ON Data'!$E:$E,3))</f>
        <v>0</v>
      </c>
      <c r="T12" s="225">
        <f xml:space="preserve">
IF($A$4&lt;=12,SUMIFS('ON Data'!Y:Y,'ON Data'!$D:$D,$A$4,'ON Data'!$E:$E,3),SUMIFS('ON Data'!Y:Y,'ON Data'!$E:$E,3))</f>
        <v>0</v>
      </c>
      <c r="U12" s="225">
        <f xml:space="preserve">
IF($A$4&lt;=12,SUMIFS('ON Data'!Z:Z,'ON Data'!$D:$D,$A$4,'ON Data'!$E:$E,3),SUMIFS('ON Data'!Z:Z,'ON Data'!$E:$E,3))</f>
        <v>0</v>
      </c>
      <c r="V12" s="225">
        <f xml:space="preserve">
IF($A$4&lt;=12,SUMIFS('ON Data'!AA:AA,'ON Data'!$D:$D,$A$4,'ON Data'!$E:$E,3),SUMIFS('ON Data'!AA:AA,'ON Data'!$E:$E,3))</f>
        <v>0</v>
      </c>
      <c r="W12" s="225">
        <f xml:space="preserve">
IF($A$4&lt;=12,SUMIFS('ON Data'!AB:AB,'ON Data'!$D:$D,$A$4,'ON Data'!$E:$E,3),SUMIFS('ON Data'!AB:AB,'ON Data'!$E:$E,3))</f>
        <v>0</v>
      </c>
      <c r="X12" s="225">
        <f xml:space="preserve">
IF($A$4&lt;=12,SUMIFS('ON Data'!AC:AC,'ON Data'!$D:$D,$A$4,'ON Data'!$E:$E,3),SUMIFS('ON Data'!AC:AC,'ON Data'!$E:$E,3))</f>
        <v>0</v>
      </c>
      <c r="Y12" s="225">
        <f xml:space="preserve">
IF($A$4&lt;=12,SUMIFS('ON Data'!AD:AD,'ON Data'!$D:$D,$A$4,'ON Data'!$E:$E,3),SUMIFS('ON Data'!AD:AD,'ON Data'!$E:$E,3))</f>
        <v>0</v>
      </c>
      <c r="Z12" s="225">
        <f xml:space="preserve">
IF($A$4&lt;=12,SUMIFS('ON Data'!AE:AE,'ON Data'!$D:$D,$A$4,'ON Data'!$E:$E,3),SUMIFS('ON Data'!AE:AE,'ON Data'!$E:$E,3))</f>
        <v>0</v>
      </c>
      <c r="AA12" s="225">
        <f xml:space="preserve">
IF($A$4&lt;=12,SUMIFS('ON Data'!AF:AF,'ON Data'!$D:$D,$A$4,'ON Data'!$E:$E,3),SUMIFS('ON Data'!AF:AF,'ON Data'!$E:$E,3))</f>
        <v>0</v>
      </c>
      <c r="AB12" s="225">
        <f xml:space="preserve">
IF($A$4&lt;=12,SUMIFS('ON Data'!AG:AG,'ON Data'!$D:$D,$A$4,'ON Data'!$E:$E,3),SUMIFS('ON Data'!AG:AG,'ON Data'!$E:$E,3))</f>
        <v>0</v>
      </c>
      <c r="AC12" s="225">
        <f xml:space="preserve">
IF($A$4&lt;=12,SUMIFS('ON Data'!AH:AH,'ON Data'!$D:$D,$A$4,'ON Data'!$E:$E,3),SUMIFS('ON Data'!AH:AH,'ON Data'!$E:$E,3))</f>
        <v>0</v>
      </c>
      <c r="AD12" s="225">
        <f xml:space="preserve">
IF($A$4&lt;=12,SUMIFS('ON Data'!AI:AI,'ON Data'!$D:$D,$A$4,'ON Data'!$E:$E,3),SUMIFS('ON Data'!AI:AI,'ON Data'!$E:$E,3))</f>
        <v>0</v>
      </c>
      <c r="AE12" s="225">
        <f xml:space="preserve">
IF($A$4&lt;=12,SUMIFS('ON Data'!AJ:AJ,'ON Data'!$D:$D,$A$4,'ON Data'!$E:$E,3),SUMIFS('ON Data'!AJ:AJ,'ON Data'!$E:$E,3))</f>
        <v>0</v>
      </c>
      <c r="AF12" s="225">
        <f xml:space="preserve">
IF($A$4&lt;=12,SUMIFS('ON Data'!AK:AK,'ON Data'!$D:$D,$A$4,'ON Data'!$E:$E,3),SUMIFS('ON Data'!AK:AK,'ON Data'!$E:$E,3))</f>
        <v>0</v>
      </c>
      <c r="AG12" s="225">
        <f xml:space="preserve">
IF($A$4&lt;=12,SUMIFS('ON Data'!AL:AL,'ON Data'!$D:$D,$A$4,'ON Data'!$E:$E,3),SUMIFS('ON Data'!AL:AL,'ON Data'!$E:$E,3))</f>
        <v>0</v>
      </c>
      <c r="AH12" s="419">
        <f xml:space="preserve">
IF($A$4&lt;=12,SUMIFS('ON Data'!AN:AN,'ON Data'!$D:$D,$A$4,'ON Data'!$E:$E,3),SUMIFS('ON Data'!AN:AN,'ON Data'!$E:$E,3))</f>
        <v>0</v>
      </c>
      <c r="AI12" s="429"/>
    </row>
    <row r="13" spans="1:35" x14ac:dyDescent="0.3">
      <c r="A13" s="206" t="s">
        <v>151</v>
      </c>
      <c r="B13" s="223">
        <f xml:space="preserve">
IF($A$4&lt;=12,SUMIFS('ON Data'!F:F,'ON Data'!$D:$D,$A$4,'ON Data'!$E:$E,4),SUMIFS('ON Data'!F:F,'ON Data'!$E:$E,4))</f>
        <v>0</v>
      </c>
      <c r="C13" s="224">
        <f xml:space="preserve">
IF($A$4&lt;=12,SUMIFS('ON Data'!G:G,'ON Data'!$D:$D,$A$4,'ON Data'!$E:$E,4),SUMIFS('ON Data'!G:G,'ON Data'!$E:$E,4))</f>
        <v>0</v>
      </c>
      <c r="D13" s="225">
        <f xml:space="preserve">
IF($A$4&lt;=12,SUMIFS('ON Data'!H:H,'ON Data'!$D:$D,$A$4,'ON Data'!$E:$E,4),SUMIFS('ON Data'!H:H,'ON Data'!$E:$E,4))</f>
        <v>0</v>
      </c>
      <c r="E13" s="225">
        <f xml:space="preserve">
IF($A$4&lt;=12,SUMIFS('ON Data'!I:I,'ON Data'!$D:$D,$A$4,'ON Data'!$E:$E,4),SUMIFS('ON Data'!I:I,'ON Data'!$E:$E,4))</f>
        <v>0</v>
      </c>
      <c r="F13" s="225">
        <f xml:space="preserve">
IF($A$4&lt;=12,SUMIFS('ON Data'!K:K,'ON Data'!$D:$D,$A$4,'ON Data'!$E:$E,4),SUMIFS('ON Data'!K:K,'ON Data'!$E:$E,4))</f>
        <v>0</v>
      </c>
      <c r="G13" s="225">
        <f xml:space="preserve">
IF($A$4&lt;=12,SUMIFS('ON Data'!L:L,'ON Data'!$D:$D,$A$4,'ON Data'!$E:$E,4),SUMIFS('ON Data'!L:L,'ON Data'!$E:$E,4))</f>
        <v>0</v>
      </c>
      <c r="H13" s="225">
        <f xml:space="preserve">
IF($A$4&lt;=12,SUMIFS('ON Data'!M:M,'ON Data'!$D:$D,$A$4,'ON Data'!$E:$E,4),SUMIFS('ON Data'!M:M,'ON Data'!$E:$E,4))</f>
        <v>0</v>
      </c>
      <c r="I13" s="225">
        <f xml:space="preserve">
IF($A$4&lt;=12,SUMIFS('ON Data'!N:N,'ON Data'!$D:$D,$A$4,'ON Data'!$E:$E,4),SUMIFS('ON Data'!N:N,'ON Data'!$E:$E,4))</f>
        <v>0</v>
      </c>
      <c r="J13" s="225">
        <f xml:space="preserve">
IF($A$4&lt;=12,SUMIFS('ON Data'!O:O,'ON Data'!$D:$D,$A$4,'ON Data'!$E:$E,4),SUMIFS('ON Data'!O:O,'ON Data'!$E:$E,4))</f>
        <v>0</v>
      </c>
      <c r="K13" s="225">
        <f xml:space="preserve">
IF($A$4&lt;=12,SUMIFS('ON Data'!P:P,'ON Data'!$D:$D,$A$4,'ON Data'!$E:$E,4),SUMIFS('ON Data'!P:P,'ON Data'!$E:$E,4))</f>
        <v>0</v>
      </c>
      <c r="L13" s="225">
        <f xml:space="preserve">
IF($A$4&lt;=12,SUMIFS('ON Data'!Q:Q,'ON Data'!$D:$D,$A$4,'ON Data'!$E:$E,4),SUMIFS('ON Data'!Q:Q,'ON Data'!$E:$E,4))</f>
        <v>0</v>
      </c>
      <c r="M13" s="225">
        <f xml:space="preserve">
IF($A$4&lt;=12,SUMIFS('ON Data'!R:R,'ON Data'!$D:$D,$A$4,'ON Data'!$E:$E,4),SUMIFS('ON Data'!R:R,'ON Data'!$E:$E,4))</f>
        <v>0</v>
      </c>
      <c r="N13" s="225">
        <f xml:space="preserve">
IF($A$4&lt;=12,SUMIFS('ON Data'!S:S,'ON Data'!$D:$D,$A$4,'ON Data'!$E:$E,4),SUMIFS('ON Data'!S:S,'ON Data'!$E:$E,4))</f>
        <v>0</v>
      </c>
      <c r="O13" s="225">
        <f xml:space="preserve">
IF($A$4&lt;=12,SUMIFS('ON Data'!T:T,'ON Data'!$D:$D,$A$4,'ON Data'!$E:$E,4),SUMIFS('ON Data'!T:T,'ON Data'!$E:$E,4))</f>
        <v>0</v>
      </c>
      <c r="P13" s="225">
        <f xml:space="preserve">
IF($A$4&lt;=12,SUMIFS('ON Data'!U:U,'ON Data'!$D:$D,$A$4,'ON Data'!$E:$E,4),SUMIFS('ON Data'!U:U,'ON Data'!$E:$E,4))</f>
        <v>0</v>
      </c>
      <c r="Q13" s="225">
        <f xml:space="preserve">
IF($A$4&lt;=12,SUMIFS('ON Data'!V:V,'ON Data'!$D:$D,$A$4,'ON Data'!$E:$E,4),SUMIFS('ON Data'!V:V,'ON Data'!$E:$E,4))</f>
        <v>0</v>
      </c>
      <c r="R13" s="225">
        <f xml:space="preserve">
IF($A$4&lt;=12,SUMIFS('ON Data'!W:W,'ON Data'!$D:$D,$A$4,'ON Data'!$E:$E,4),SUMIFS('ON Data'!W:W,'ON Data'!$E:$E,4))</f>
        <v>0</v>
      </c>
      <c r="S13" s="225">
        <f xml:space="preserve">
IF($A$4&lt;=12,SUMIFS('ON Data'!X:X,'ON Data'!$D:$D,$A$4,'ON Data'!$E:$E,4),SUMIFS('ON Data'!X:X,'ON Data'!$E:$E,4))</f>
        <v>0</v>
      </c>
      <c r="T13" s="225">
        <f xml:space="preserve">
IF($A$4&lt;=12,SUMIFS('ON Data'!Y:Y,'ON Data'!$D:$D,$A$4,'ON Data'!$E:$E,4),SUMIFS('ON Data'!Y:Y,'ON Data'!$E:$E,4))</f>
        <v>0</v>
      </c>
      <c r="U13" s="225">
        <f xml:space="preserve">
IF($A$4&lt;=12,SUMIFS('ON Data'!Z:Z,'ON Data'!$D:$D,$A$4,'ON Data'!$E:$E,4),SUMIFS('ON Data'!Z:Z,'ON Data'!$E:$E,4))</f>
        <v>0</v>
      </c>
      <c r="V13" s="225">
        <f xml:space="preserve">
IF($A$4&lt;=12,SUMIFS('ON Data'!AA:AA,'ON Data'!$D:$D,$A$4,'ON Data'!$E:$E,4),SUMIFS('ON Data'!AA:AA,'ON Data'!$E:$E,4))</f>
        <v>0</v>
      </c>
      <c r="W13" s="225">
        <f xml:space="preserve">
IF($A$4&lt;=12,SUMIFS('ON Data'!AB:AB,'ON Data'!$D:$D,$A$4,'ON Data'!$E:$E,4),SUMIFS('ON Data'!AB:AB,'ON Data'!$E:$E,4))</f>
        <v>0</v>
      </c>
      <c r="X13" s="225">
        <f xml:space="preserve">
IF($A$4&lt;=12,SUMIFS('ON Data'!AC:AC,'ON Data'!$D:$D,$A$4,'ON Data'!$E:$E,4),SUMIFS('ON Data'!AC:AC,'ON Data'!$E:$E,4))</f>
        <v>0</v>
      </c>
      <c r="Y13" s="225">
        <f xml:space="preserve">
IF($A$4&lt;=12,SUMIFS('ON Data'!AD:AD,'ON Data'!$D:$D,$A$4,'ON Data'!$E:$E,4),SUMIFS('ON Data'!AD:AD,'ON Data'!$E:$E,4))</f>
        <v>0</v>
      </c>
      <c r="Z13" s="225">
        <f xml:space="preserve">
IF($A$4&lt;=12,SUMIFS('ON Data'!AE:AE,'ON Data'!$D:$D,$A$4,'ON Data'!$E:$E,4),SUMIFS('ON Data'!AE:AE,'ON Data'!$E:$E,4))</f>
        <v>0</v>
      </c>
      <c r="AA13" s="225">
        <f xml:space="preserve">
IF($A$4&lt;=12,SUMIFS('ON Data'!AF:AF,'ON Data'!$D:$D,$A$4,'ON Data'!$E:$E,4),SUMIFS('ON Data'!AF:AF,'ON Data'!$E:$E,4))</f>
        <v>0</v>
      </c>
      <c r="AB13" s="225">
        <f xml:space="preserve">
IF($A$4&lt;=12,SUMIFS('ON Data'!AG:AG,'ON Data'!$D:$D,$A$4,'ON Data'!$E:$E,4),SUMIFS('ON Data'!AG:AG,'ON Data'!$E:$E,4))</f>
        <v>0</v>
      </c>
      <c r="AC13" s="225">
        <f xml:space="preserve">
IF($A$4&lt;=12,SUMIFS('ON Data'!AH:AH,'ON Data'!$D:$D,$A$4,'ON Data'!$E:$E,4),SUMIFS('ON Data'!AH:AH,'ON Data'!$E:$E,4))</f>
        <v>0</v>
      </c>
      <c r="AD13" s="225">
        <f xml:space="preserve">
IF($A$4&lt;=12,SUMIFS('ON Data'!AI:AI,'ON Data'!$D:$D,$A$4,'ON Data'!$E:$E,4),SUMIFS('ON Data'!AI:AI,'ON Data'!$E:$E,4))</f>
        <v>0</v>
      </c>
      <c r="AE13" s="225">
        <f xml:space="preserve">
IF($A$4&lt;=12,SUMIFS('ON Data'!AJ:AJ,'ON Data'!$D:$D,$A$4,'ON Data'!$E:$E,4),SUMIFS('ON Data'!AJ:AJ,'ON Data'!$E:$E,4))</f>
        <v>0</v>
      </c>
      <c r="AF13" s="225">
        <f xml:space="preserve">
IF($A$4&lt;=12,SUMIFS('ON Data'!AK:AK,'ON Data'!$D:$D,$A$4,'ON Data'!$E:$E,4),SUMIFS('ON Data'!AK:AK,'ON Data'!$E:$E,4))</f>
        <v>0</v>
      </c>
      <c r="AG13" s="225">
        <f xml:space="preserve">
IF($A$4&lt;=12,SUMIFS('ON Data'!AL:AL,'ON Data'!$D:$D,$A$4,'ON Data'!$E:$E,4),SUMIFS('ON Data'!AL:AL,'ON Data'!$E:$E,4))</f>
        <v>0</v>
      </c>
      <c r="AH13" s="419">
        <f xml:space="preserve">
IF($A$4&lt;=12,SUMIFS('ON Data'!AN:AN,'ON Data'!$D:$D,$A$4,'ON Data'!$E:$E,4),SUMIFS('ON Data'!AN:AN,'ON Data'!$E:$E,4))</f>
        <v>0</v>
      </c>
      <c r="AI13" s="429"/>
    </row>
    <row r="14" spans="1:35" ht="15" thickBot="1" x14ac:dyDescent="0.35">
      <c r="A14" s="207" t="s">
        <v>145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Data'!G:G,'ON Data'!$D:$D,$A$4,'ON Data'!$E:$E,5),SUMIFS('ON Data'!G:G,'ON Data'!$E:$E,5))</f>
        <v>0</v>
      </c>
      <c r="D14" s="228">
        <f xml:space="preserve">
IF($A$4&lt;=12,SUMIFS('ON Data'!H:H,'ON Data'!$D:$D,$A$4,'ON Data'!$E:$E,5),SUMIFS('ON Data'!H:H,'ON Data'!$E:$E,5))</f>
        <v>0</v>
      </c>
      <c r="E14" s="228">
        <f xml:space="preserve">
IF($A$4&lt;=12,SUMIFS('ON Data'!I:I,'ON Data'!$D:$D,$A$4,'ON Data'!$E:$E,5),SUMIFS('ON Data'!I:I,'ON Data'!$E:$E,5))</f>
        <v>0</v>
      </c>
      <c r="F14" s="228">
        <f xml:space="preserve">
IF($A$4&lt;=12,SUMIFS('ON Data'!K:K,'ON Data'!$D:$D,$A$4,'ON Data'!$E:$E,5),SUMIFS('ON Data'!K:K,'ON Data'!$E:$E,5))</f>
        <v>0</v>
      </c>
      <c r="G14" s="228">
        <f xml:space="preserve">
IF($A$4&lt;=12,SUMIFS('ON Data'!L:L,'ON Data'!$D:$D,$A$4,'ON Data'!$E:$E,5),SUMIFS('ON Data'!L:L,'ON Data'!$E:$E,5))</f>
        <v>0</v>
      </c>
      <c r="H14" s="228">
        <f xml:space="preserve">
IF($A$4&lt;=12,SUMIFS('ON Data'!M:M,'ON Data'!$D:$D,$A$4,'ON Data'!$E:$E,5),SUMIFS('ON Data'!M:M,'ON Data'!$E:$E,5))</f>
        <v>0</v>
      </c>
      <c r="I14" s="228">
        <f xml:space="preserve">
IF($A$4&lt;=12,SUMIFS('ON Data'!N:N,'ON Data'!$D:$D,$A$4,'ON Data'!$E:$E,5),SUMIFS('ON Data'!N:N,'ON Data'!$E:$E,5))</f>
        <v>0</v>
      </c>
      <c r="J14" s="228">
        <f xml:space="preserve">
IF($A$4&lt;=12,SUMIFS('ON Data'!O:O,'ON Data'!$D:$D,$A$4,'ON Data'!$E:$E,5),SUMIFS('ON Data'!O:O,'ON Data'!$E:$E,5))</f>
        <v>0</v>
      </c>
      <c r="K14" s="228">
        <f xml:space="preserve">
IF($A$4&lt;=12,SUMIFS('ON Data'!P:P,'ON Data'!$D:$D,$A$4,'ON Data'!$E:$E,5),SUMIFS('ON Data'!P:P,'ON Data'!$E:$E,5))</f>
        <v>0</v>
      </c>
      <c r="L14" s="228">
        <f xml:space="preserve">
IF($A$4&lt;=12,SUMIFS('ON Data'!Q:Q,'ON Data'!$D:$D,$A$4,'ON Data'!$E:$E,5),SUMIFS('ON Data'!Q:Q,'ON Data'!$E:$E,5))</f>
        <v>0</v>
      </c>
      <c r="M14" s="228">
        <f xml:space="preserve">
IF($A$4&lt;=12,SUMIFS('ON Data'!R:R,'ON Data'!$D:$D,$A$4,'ON Data'!$E:$E,5),SUMIFS('ON Data'!R:R,'ON Data'!$E:$E,5))</f>
        <v>0</v>
      </c>
      <c r="N14" s="228">
        <f xml:space="preserve">
IF($A$4&lt;=12,SUMIFS('ON Data'!S:S,'ON Data'!$D:$D,$A$4,'ON Data'!$E:$E,5),SUMIFS('ON Data'!S:S,'ON Data'!$E:$E,5))</f>
        <v>0</v>
      </c>
      <c r="O14" s="228">
        <f xml:space="preserve">
IF($A$4&lt;=12,SUMIFS('ON Data'!T:T,'ON Data'!$D:$D,$A$4,'ON Data'!$E:$E,5),SUMIFS('ON Data'!T:T,'ON Data'!$E:$E,5))</f>
        <v>0</v>
      </c>
      <c r="P14" s="228">
        <f xml:space="preserve">
IF($A$4&lt;=12,SUMIFS('ON Data'!U:U,'ON Data'!$D:$D,$A$4,'ON Data'!$E:$E,5),SUMIFS('ON Data'!U:U,'ON Data'!$E:$E,5))</f>
        <v>0</v>
      </c>
      <c r="Q14" s="228">
        <f xml:space="preserve">
IF($A$4&lt;=12,SUMIFS('ON Data'!V:V,'ON Data'!$D:$D,$A$4,'ON Data'!$E:$E,5),SUMIFS('ON Data'!V:V,'ON Data'!$E:$E,5))</f>
        <v>0</v>
      </c>
      <c r="R14" s="228">
        <f xml:space="preserve">
IF($A$4&lt;=12,SUMIFS('ON Data'!W:W,'ON Data'!$D:$D,$A$4,'ON Data'!$E:$E,5),SUMIFS('ON Data'!W:W,'ON Data'!$E:$E,5))</f>
        <v>0</v>
      </c>
      <c r="S14" s="228">
        <f xml:space="preserve">
IF($A$4&lt;=12,SUMIFS('ON Data'!X:X,'ON Data'!$D:$D,$A$4,'ON Data'!$E:$E,5),SUMIFS('ON Data'!X:X,'ON Data'!$E:$E,5))</f>
        <v>0</v>
      </c>
      <c r="T14" s="228">
        <f xml:space="preserve">
IF($A$4&lt;=12,SUMIFS('ON Data'!Y:Y,'ON Data'!$D:$D,$A$4,'ON Data'!$E:$E,5),SUMIFS('ON Data'!Y:Y,'ON Data'!$E:$E,5))</f>
        <v>0</v>
      </c>
      <c r="U14" s="228">
        <f xml:space="preserve">
IF($A$4&lt;=12,SUMIFS('ON Data'!Z:Z,'ON Data'!$D:$D,$A$4,'ON Data'!$E:$E,5),SUMIFS('ON Data'!Z:Z,'ON Data'!$E:$E,5))</f>
        <v>0</v>
      </c>
      <c r="V14" s="228">
        <f xml:space="preserve">
IF($A$4&lt;=12,SUMIFS('ON Data'!AA:AA,'ON Data'!$D:$D,$A$4,'ON Data'!$E:$E,5),SUMIFS('ON Data'!AA:AA,'ON Data'!$E:$E,5))</f>
        <v>0</v>
      </c>
      <c r="W14" s="228">
        <f xml:space="preserve">
IF($A$4&lt;=12,SUMIFS('ON Data'!AB:AB,'ON Data'!$D:$D,$A$4,'ON Data'!$E:$E,5),SUMIFS('ON Data'!AB:AB,'ON Data'!$E:$E,5))</f>
        <v>0</v>
      </c>
      <c r="X14" s="228">
        <f xml:space="preserve">
IF($A$4&lt;=12,SUMIFS('ON Data'!AC:AC,'ON Data'!$D:$D,$A$4,'ON Data'!$E:$E,5),SUMIFS('ON Data'!AC:AC,'ON Data'!$E:$E,5))</f>
        <v>0</v>
      </c>
      <c r="Y14" s="228">
        <f xml:space="preserve">
IF($A$4&lt;=12,SUMIFS('ON Data'!AD:AD,'ON Data'!$D:$D,$A$4,'ON Data'!$E:$E,5),SUMIFS('ON Data'!AD:AD,'ON Data'!$E:$E,5))</f>
        <v>0</v>
      </c>
      <c r="Z14" s="228">
        <f xml:space="preserve">
IF($A$4&lt;=12,SUMIFS('ON Data'!AE:AE,'ON Data'!$D:$D,$A$4,'ON Data'!$E:$E,5),SUMIFS('ON Data'!AE:AE,'ON Data'!$E:$E,5))</f>
        <v>0</v>
      </c>
      <c r="AA14" s="228">
        <f xml:space="preserve">
IF($A$4&lt;=12,SUMIFS('ON Data'!AF:AF,'ON Data'!$D:$D,$A$4,'ON Data'!$E:$E,5),SUMIFS('ON Data'!AF:AF,'ON Data'!$E:$E,5))</f>
        <v>0</v>
      </c>
      <c r="AB14" s="228">
        <f xml:space="preserve">
IF($A$4&lt;=12,SUMIFS('ON Data'!AG:AG,'ON Data'!$D:$D,$A$4,'ON Data'!$E:$E,5),SUMIFS('ON Data'!AG:AG,'ON Data'!$E:$E,5))</f>
        <v>0</v>
      </c>
      <c r="AC14" s="228">
        <f xml:space="preserve">
IF($A$4&lt;=12,SUMIFS('ON Data'!AH:AH,'ON Data'!$D:$D,$A$4,'ON Data'!$E:$E,5),SUMIFS('ON Data'!AH:AH,'ON Data'!$E:$E,5))</f>
        <v>0</v>
      </c>
      <c r="AD14" s="228">
        <f xml:space="preserve">
IF($A$4&lt;=12,SUMIFS('ON Data'!AI:AI,'ON Data'!$D:$D,$A$4,'ON Data'!$E:$E,5),SUMIFS('ON Data'!AI:AI,'ON Data'!$E:$E,5))</f>
        <v>0</v>
      </c>
      <c r="AE14" s="228">
        <f xml:space="preserve">
IF($A$4&lt;=12,SUMIFS('ON Data'!AJ:AJ,'ON Data'!$D:$D,$A$4,'ON Data'!$E:$E,5),SUMIFS('ON Data'!AJ:AJ,'ON Data'!$E:$E,5))</f>
        <v>0</v>
      </c>
      <c r="AF14" s="228">
        <f xml:space="preserve">
IF($A$4&lt;=12,SUMIFS('ON Data'!AK:AK,'ON Data'!$D:$D,$A$4,'ON Data'!$E:$E,5),SUMIFS('ON Data'!AK:AK,'ON Data'!$E:$E,5))</f>
        <v>0</v>
      </c>
      <c r="AG14" s="228">
        <f xml:space="preserve">
IF($A$4&lt;=12,SUMIFS('ON Data'!AL:AL,'ON Data'!$D:$D,$A$4,'ON Data'!$E:$E,5),SUMIFS('ON Data'!AL:AL,'ON Data'!$E:$E,5))</f>
        <v>0</v>
      </c>
      <c r="AH14" s="420">
        <f xml:space="preserve">
IF($A$4&lt;=12,SUMIFS('ON Data'!AN:AN,'ON Data'!$D:$D,$A$4,'ON Data'!$E:$E,5),SUMIFS('ON Data'!AN:AN,'ON Data'!$E:$E,5))</f>
        <v>0</v>
      </c>
      <c r="AI14" s="429"/>
    </row>
    <row r="15" spans="1:35" x14ac:dyDescent="0.3">
      <c r="A15" s="132" t="s">
        <v>155</v>
      </c>
      <c r="B15" s="229"/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421"/>
      <c r="AI15" s="429"/>
    </row>
    <row r="16" spans="1:35" x14ac:dyDescent="0.3">
      <c r="A16" s="208" t="s">
        <v>146</v>
      </c>
      <c r="B16" s="223">
        <f xml:space="preserve">
IF($A$4&lt;=12,SUMIFS('ON Data'!F:F,'ON Data'!$D:$D,$A$4,'ON Data'!$E:$E,7),SUMIFS('ON Data'!F:F,'ON Data'!$E:$E,7))</f>
        <v>0</v>
      </c>
      <c r="C16" s="224">
        <f xml:space="preserve">
IF($A$4&lt;=12,SUMIFS('ON Data'!G:G,'ON Data'!$D:$D,$A$4,'ON Data'!$E:$E,7),SUMIFS('ON Data'!G:G,'ON Data'!$E:$E,7))</f>
        <v>0</v>
      </c>
      <c r="D16" s="225">
        <f xml:space="preserve">
IF($A$4&lt;=12,SUMIFS('ON Data'!H:H,'ON Data'!$D:$D,$A$4,'ON Data'!$E:$E,7),SUMIFS('ON Data'!H:H,'ON Data'!$E:$E,7))</f>
        <v>0</v>
      </c>
      <c r="E16" s="225">
        <f xml:space="preserve">
IF($A$4&lt;=12,SUMIFS('ON Data'!I:I,'ON Data'!$D:$D,$A$4,'ON Data'!$E:$E,7),SUMIFS('ON Data'!I:I,'ON Data'!$E:$E,7))</f>
        <v>0</v>
      </c>
      <c r="F16" s="225">
        <f xml:space="preserve">
IF($A$4&lt;=12,SUMIFS('ON Data'!K:K,'ON Data'!$D:$D,$A$4,'ON Data'!$E:$E,7),SUMIFS('ON Data'!K:K,'ON Data'!$E:$E,7))</f>
        <v>0</v>
      </c>
      <c r="G16" s="225">
        <f xml:space="preserve">
IF($A$4&lt;=12,SUMIFS('ON Data'!L:L,'ON Data'!$D:$D,$A$4,'ON Data'!$E:$E,7),SUMIFS('ON Data'!L:L,'ON Data'!$E:$E,7))</f>
        <v>0</v>
      </c>
      <c r="H16" s="225">
        <f xml:space="preserve">
IF($A$4&lt;=12,SUMIFS('ON Data'!M:M,'ON Data'!$D:$D,$A$4,'ON Data'!$E:$E,7),SUMIFS('ON Data'!M:M,'ON Data'!$E:$E,7))</f>
        <v>0</v>
      </c>
      <c r="I16" s="225">
        <f xml:space="preserve">
IF($A$4&lt;=12,SUMIFS('ON Data'!N:N,'ON Data'!$D:$D,$A$4,'ON Data'!$E:$E,7),SUMIFS('ON Data'!N:N,'ON Data'!$E:$E,7))</f>
        <v>0</v>
      </c>
      <c r="J16" s="225">
        <f xml:space="preserve">
IF($A$4&lt;=12,SUMIFS('ON Data'!O:O,'ON Data'!$D:$D,$A$4,'ON Data'!$E:$E,7),SUMIFS('ON Data'!O:O,'ON Data'!$E:$E,7))</f>
        <v>0</v>
      </c>
      <c r="K16" s="225">
        <f xml:space="preserve">
IF($A$4&lt;=12,SUMIFS('ON Data'!P:P,'ON Data'!$D:$D,$A$4,'ON Data'!$E:$E,7),SUMIFS('ON Data'!P:P,'ON Data'!$E:$E,7))</f>
        <v>0</v>
      </c>
      <c r="L16" s="225">
        <f xml:space="preserve">
IF($A$4&lt;=12,SUMIFS('ON Data'!Q:Q,'ON Data'!$D:$D,$A$4,'ON Data'!$E:$E,7),SUMIFS('ON Data'!Q:Q,'ON Data'!$E:$E,7))</f>
        <v>0</v>
      </c>
      <c r="M16" s="225">
        <f xml:space="preserve">
IF($A$4&lt;=12,SUMIFS('ON Data'!R:R,'ON Data'!$D:$D,$A$4,'ON Data'!$E:$E,7),SUMIFS('ON Data'!R:R,'ON Data'!$E:$E,7))</f>
        <v>0</v>
      </c>
      <c r="N16" s="225">
        <f xml:space="preserve">
IF($A$4&lt;=12,SUMIFS('ON Data'!S:S,'ON Data'!$D:$D,$A$4,'ON Data'!$E:$E,7),SUMIFS('ON Data'!S:S,'ON Data'!$E:$E,7))</f>
        <v>0</v>
      </c>
      <c r="O16" s="225">
        <f xml:space="preserve">
IF($A$4&lt;=12,SUMIFS('ON Data'!T:T,'ON Data'!$D:$D,$A$4,'ON Data'!$E:$E,7),SUMIFS('ON Data'!T:T,'ON Data'!$E:$E,7))</f>
        <v>0</v>
      </c>
      <c r="P16" s="225">
        <f xml:space="preserve">
IF($A$4&lt;=12,SUMIFS('ON Data'!U:U,'ON Data'!$D:$D,$A$4,'ON Data'!$E:$E,7),SUMIFS('ON Data'!U:U,'ON Data'!$E:$E,7))</f>
        <v>0</v>
      </c>
      <c r="Q16" s="225">
        <f xml:space="preserve">
IF($A$4&lt;=12,SUMIFS('ON Data'!V:V,'ON Data'!$D:$D,$A$4,'ON Data'!$E:$E,7),SUMIFS('ON Data'!V:V,'ON Data'!$E:$E,7))</f>
        <v>0</v>
      </c>
      <c r="R16" s="225">
        <f xml:space="preserve">
IF($A$4&lt;=12,SUMIFS('ON Data'!W:W,'ON Data'!$D:$D,$A$4,'ON Data'!$E:$E,7),SUMIFS('ON Data'!W:W,'ON Data'!$E:$E,7))</f>
        <v>0</v>
      </c>
      <c r="S16" s="225">
        <f xml:space="preserve">
IF($A$4&lt;=12,SUMIFS('ON Data'!X:X,'ON Data'!$D:$D,$A$4,'ON Data'!$E:$E,7),SUMIFS('ON Data'!X:X,'ON Data'!$E:$E,7))</f>
        <v>0</v>
      </c>
      <c r="T16" s="225">
        <f xml:space="preserve">
IF($A$4&lt;=12,SUMIFS('ON Data'!Y:Y,'ON Data'!$D:$D,$A$4,'ON Data'!$E:$E,7),SUMIFS('ON Data'!Y:Y,'ON Data'!$E:$E,7))</f>
        <v>0</v>
      </c>
      <c r="U16" s="225">
        <f xml:space="preserve">
IF($A$4&lt;=12,SUMIFS('ON Data'!Z:Z,'ON Data'!$D:$D,$A$4,'ON Data'!$E:$E,7),SUMIFS('ON Data'!Z:Z,'ON Data'!$E:$E,7))</f>
        <v>0</v>
      </c>
      <c r="V16" s="225">
        <f xml:space="preserve">
IF($A$4&lt;=12,SUMIFS('ON Data'!AA:AA,'ON Data'!$D:$D,$A$4,'ON Data'!$E:$E,7),SUMIFS('ON Data'!AA:AA,'ON Data'!$E:$E,7))</f>
        <v>0</v>
      </c>
      <c r="W16" s="225">
        <f xml:space="preserve">
IF($A$4&lt;=12,SUMIFS('ON Data'!AB:AB,'ON Data'!$D:$D,$A$4,'ON Data'!$E:$E,7),SUMIFS('ON Data'!AB:AB,'ON Data'!$E:$E,7))</f>
        <v>0</v>
      </c>
      <c r="X16" s="225">
        <f xml:space="preserve">
IF($A$4&lt;=12,SUMIFS('ON Data'!AC:AC,'ON Data'!$D:$D,$A$4,'ON Data'!$E:$E,7),SUMIFS('ON Data'!AC:AC,'ON Data'!$E:$E,7))</f>
        <v>0</v>
      </c>
      <c r="Y16" s="225">
        <f xml:space="preserve">
IF($A$4&lt;=12,SUMIFS('ON Data'!AD:AD,'ON Data'!$D:$D,$A$4,'ON Data'!$E:$E,7),SUMIFS('ON Data'!AD:AD,'ON Data'!$E:$E,7))</f>
        <v>0</v>
      </c>
      <c r="Z16" s="225">
        <f xml:space="preserve">
IF($A$4&lt;=12,SUMIFS('ON Data'!AE:AE,'ON Data'!$D:$D,$A$4,'ON Data'!$E:$E,7),SUMIFS('ON Data'!AE:AE,'ON Data'!$E:$E,7))</f>
        <v>0</v>
      </c>
      <c r="AA16" s="225">
        <f xml:space="preserve">
IF($A$4&lt;=12,SUMIFS('ON Data'!AF:AF,'ON Data'!$D:$D,$A$4,'ON Data'!$E:$E,7),SUMIFS('ON Data'!AF:AF,'ON Data'!$E:$E,7))</f>
        <v>0</v>
      </c>
      <c r="AB16" s="225">
        <f xml:space="preserve">
IF($A$4&lt;=12,SUMIFS('ON Data'!AG:AG,'ON Data'!$D:$D,$A$4,'ON Data'!$E:$E,7),SUMIFS('ON Data'!AG:AG,'ON Data'!$E:$E,7))</f>
        <v>0</v>
      </c>
      <c r="AC16" s="225">
        <f xml:space="preserve">
IF($A$4&lt;=12,SUMIFS('ON Data'!AH:AH,'ON Data'!$D:$D,$A$4,'ON Data'!$E:$E,7),SUMIFS('ON Data'!AH:AH,'ON Data'!$E:$E,7))</f>
        <v>0</v>
      </c>
      <c r="AD16" s="225">
        <f xml:space="preserve">
IF($A$4&lt;=12,SUMIFS('ON Data'!AI:AI,'ON Data'!$D:$D,$A$4,'ON Data'!$E:$E,7),SUMIFS('ON Data'!AI:AI,'ON Data'!$E:$E,7))</f>
        <v>0</v>
      </c>
      <c r="AE16" s="225">
        <f xml:space="preserve">
IF($A$4&lt;=12,SUMIFS('ON Data'!AJ:AJ,'ON Data'!$D:$D,$A$4,'ON Data'!$E:$E,7),SUMIFS('ON Data'!AJ:AJ,'ON Data'!$E:$E,7))</f>
        <v>0</v>
      </c>
      <c r="AF16" s="225">
        <f xml:space="preserve">
IF($A$4&lt;=12,SUMIFS('ON Data'!AK:AK,'ON Data'!$D:$D,$A$4,'ON Data'!$E:$E,7),SUMIFS('ON Data'!AK:AK,'ON Data'!$E:$E,7))</f>
        <v>0</v>
      </c>
      <c r="AG16" s="225">
        <f xml:space="preserve">
IF($A$4&lt;=12,SUMIFS('ON Data'!AL:AL,'ON Data'!$D:$D,$A$4,'ON Data'!$E:$E,7),SUMIFS('ON Data'!AL:AL,'ON Data'!$E:$E,7))</f>
        <v>0</v>
      </c>
      <c r="AH16" s="419">
        <f xml:space="preserve">
IF($A$4&lt;=12,SUMIFS('ON Data'!AN:AN,'ON Data'!$D:$D,$A$4,'ON Data'!$E:$E,7),SUMIFS('ON Data'!AN:AN,'ON Data'!$E:$E,7))</f>
        <v>0</v>
      </c>
      <c r="AI16" s="429"/>
    </row>
    <row r="17" spans="1:35" x14ac:dyDescent="0.3">
      <c r="A17" s="208" t="s">
        <v>147</v>
      </c>
      <c r="B17" s="223">
        <f xml:space="preserve">
IF($A$4&lt;=12,SUMIFS('ON Data'!F:F,'ON Data'!$D:$D,$A$4,'ON Data'!$E:$E,8),SUMIFS('ON Data'!F:F,'ON Data'!$E:$E,8))</f>
        <v>0</v>
      </c>
      <c r="C17" s="224">
        <f xml:space="preserve">
IF($A$4&lt;=12,SUMIFS('ON Data'!G:G,'ON Data'!$D:$D,$A$4,'ON Data'!$E:$E,8),SUMIFS('ON Data'!G:G,'ON Data'!$E:$E,8))</f>
        <v>0</v>
      </c>
      <c r="D17" s="225">
        <f xml:space="preserve">
IF($A$4&lt;=12,SUMIFS('ON Data'!H:H,'ON Data'!$D:$D,$A$4,'ON Data'!$E:$E,8),SUMIFS('ON Data'!H:H,'ON Data'!$E:$E,8))</f>
        <v>0</v>
      </c>
      <c r="E17" s="225">
        <f xml:space="preserve">
IF($A$4&lt;=12,SUMIFS('ON Data'!I:I,'ON Data'!$D:$D,$A$4,'ON Data'!$E:$E,8),SUMIFS('ON Data'!I:I,'ON Data'!$E:$E,8))</f>
        <v>0</v>
      </c>
      <c r="F17" s="225">
        <f xml:space="preserve">
IF($A$4&lt;=12,SUMIFS('ON Data'!K:K,'ON Data'!$D:$D,$A$4,'ON Data'!$E:$E,8),SUMIFS('ON Data'!K:K,'ON Data'!$E:$E,8))</f>
        <v>0</v>
      </c>
      <c r="G17" s="225">
        <f xml:space="preserve">
IF($A$4&lt;=12,SUMIFS('ON Data'!L:L,'ON Data'!$D:$D,$A$4,'ON Data'!$E:$E,8),SUMIFS('ON Data'!L:L,'ON Data'!$E:$E,8))</f>
        <v>0</v>
      </c>
      <c r="H17" s="225">
        <f xml:space="preserve">
IF($A$4&lt;=12,SUMIFS('ON Data'!M:M,'ON Data'!$D:$D,$A$4,'ON Data'!$E:$E,8),SUMIFS('ON Data'!M:M,'ON Data'!$E:$E,8))</f>
        <v>0</v>
      </c>
      <c r="I17" s="225">
        <f xml:space="preserve">
IF($A$4&lt;=12,SUMIFS('ON Data'!N:N,'ON Data'!$D:$D,$A$4,'ON Data'!$E:$E,8),SUMIFS('ON Data'!N:N,'ON Data'!$E:$E,8))</f>
        <v>0</v>
      </c>
      <c r="J17" s="225">
        <f xml:space="preserve">
IF($A$4&lt;=12,SUMIFS('ON Data'!O:O,'ON Data'!$D:$D,$A$4,'ON Data'!$E:$E,8),SUMIFS('ON Data'!O:O,'ON Data'!$E:$E,8))</f>
        <v>0</v>
      </c>
      <c r="K17" s="225">
        <f xml:space="preserve">
IF($A$4&lt;=12,SUMIFS('ON Data'!P:P,'ON Data'!$D:$D,$A$4,'ON Data'!$E:$E,8),SUMIFS('ON Data'!P:P,'ON Data'!$E:$E,8))</f>
        <v>0</v>
      </c>
      <c r="L17" s="225">
        <f xml:space="preserve">
IF($A$4&lt;=12,SUMIFS('ON Data'!Q:Q,'ON Data'!$D:$D,$A$4,'ON Data'!$E:$E,8),SUMIFS('ON Data'!Q:Q,'ON Data'!$E:$E,8))</f>
        <v>0</v>
      </c>
      <c r="M17" s="225">
        <f xml:space="preserve">
IF($A$4&lt;=12,SUMIFS('ON Data'!R:R,'ON Data'!$D:$D,$A$4,'ON Data'!$E:$E,8),SUMIFS('ON Data'!R:R,'ON Data'!$E:$E,8))</f>
        <v>0</v>
      </c>
      <c r="N17" s="225">
        <f xml:space="preserve">
IF($A$4&lt;=12,SUMIFS('ON Data'!S:S,'ON Data'!$D:$D,$A$4,'ON Data'!$E:$E,8),SUMIFS('ON Data'!S:S,'ON Data'!$E:$E,8))</f>
        <v>0</v>
      </c>
      <c r="O17" s="225">
        <f xml:space="preserve">
IF($A$4&lt;=12,SUMIFS('ON Data'!T:T,'ON Data'!$D:$D,$A$4,'ON Data'!$E:$E,8),SUMIFS('ON Data'!T:T,'ON Data'!$E:$E,8))</f>
        <v>0</v>
      </c>
      <c r="P17" s="225">
        <f xml:space="preserve">
IF($A$4&lt;=12,SUMIFS('ON Data'!U:U,'ON Data'!$D:$D,$A$4,'ON Data'!$E:$E,8),SUMIFS('ON Data'!U:U,'ON Data'!$E:$E,8))</f>
        <v>0</v>
      </c>
      <c r="Q17" s="225">
        <f xml:space="preserve">
IF($A$4&lt;=12,SUMIFS('ON Data'!V:V,'ON Data'!$D:$D,$A$4,'ON Data'!$E:$E,8),SUMIFS('ON Data'!V:V,'ON Data'!$E:$E,8))</f>
        <v>0</v>
      </c>
      <c r="R17" s="225">
        <f xml:space="preserve">
IF($A$4&lt;=12,SUMIFS('ON Data'!W:W,'ON Data'!$D:$D,$A$4,'ON Data'!$E:$E,8),SUMIFS('ON Data'!W:W,'ON Data'!$E:$E,8))</f>
        <v>0</v>
      </c>
      <c r="S17" s="225">
        <f xml:space="preserve">
IF($A$4&lt;=12,SUMIFS('ON Data'!X:X,'ON Data'!$D:$D,$A$4,'ON Data'!$E:$E,8),SUMIFS('ON Data'!X:X,'ON Data'!$E:$E,8))</f>
        <v>0</v>
      </c>
      <c r="T17" s="225">
        <f xml:space="preserve">
IF($A$4&lt;=12,SUMIFS('ON Data'!Y:Y,'ON Data'!$D:$D,$A$4,'ON Data'!$E:$E,8),SUMIFS('ON Data'!Y:Y,'ON Data'!$E:$E,8))</f>
        <v>0</v>
      </c>
      <c r="U17" s="225">
        <f xml:space="preserve">
IF($A$4&lt;=12,SUMIFS('ON Data'!Z:Z,'ON Data'!$D:$D,$A$4,'ON Data'!$E:$E,8),SUMIFS('ON Data'!Z:Z,'ON Data'!$E:$E,8))</f>
        <v>0</v>
      </c>
      <c r="V17" s="225">
        <f xml:space="preserve">
IF($A$4&lt;=12,SUMIFS('ON Data'!AA:AA,'ON Data'!$D:$D,$A$4,'ON Data'!$E:$E,8),SUMIFS('ON Data'!AA:AA,'ON Data'!$E:$E,8))</f>
        <v>0</v>
      </c>
      <c r="W17" s="225">
        <f xml:space="preserve">
IF($A$4&lt;=12,SUMIFS('ON Data'!AB:AB,'ON Data'!$D:$D,$A$4,'ON Data'!$E:$E,8),SUMIFS('ON Data'!AB:AB,'ON Data'!$E:$E,8))</f>
        <v>0</v>
      </c>
      <c r="X17" s="225">
        <f xml:space="preserve">
IF($A$4&lt;=12,SUMIFS('ON Data'!AC:AC,'ON Data'!$D:$D,$A$4,'ON Data'!$E:$E,8),SUMIFS('ON Data'!AC:AC,'ON Data'!$E:$E,8))</f>
        <v>0</v>
      </c>
      <c r="Y17" s="225">
        <f xml:space="preserve">
IF($A$4&lt;=12,SUMIFS('ON Data'!AD:AD,'ON Data'!$D:$D,$A$4,'ON Data'!$E:$E,8),SUMIFS('ON Data'!AD:AD,'ON Data'!$E:$E,8))</f>
        <v>0</v>
      </c>
      <c r="Z17" s="225">
        <f xml:space="preserve">
IF($A$4&lt;=12,SUMIFS('ON Data'!AE:AE,'ON Data'!$D:$D,$A$4,'ON Data'!$E:$E,8),SUMIFS('ON Data'!AE:AE,'ON Data'!$E:$E,8))</f>
        <v>0</v>
      </c>
      <c r="AA17" s="225">
        <f xml:space="preserve">
IF($A$4&lt;=12,SUMIFS('ON Data'!AF:AF,'ON Data'!$D:$D,$A$4,'ON Data'!$E:$E,8),SUMIFS('ON Data'!AF:AF,'ON Data'!$E:$E,8))</f>
        <v>0</v>
      </c>
      <c r="AB17" s="225">
        <f xml:space="preserve">
IF($A$4&lt;=12,SUMIFS('ON Data'!AG:AG,'ON Data'!$D:$D,$A$4,'ON Data'!$E:$E,8),SUMIFS('ON Data'!AG:AG,'ON Data'!$E:$E,8))</f>
        <v>0</v>
      </c>
      <c r="AC17" s="225">
        <f xml:space="preserve">
IF($A$4&lt;=12,SUMIFS('ON Data'!AH:AH,'ON Data'!$D:$D,$A$4,'ON Data'!$E:$E,8),SUMIFS('ON Data'!AH:AH,'ON Data'!$E:$E,8))</f>
        <v>0</v>
      </c>
      <c r="AD17" s="225">
        <f xml:space="preserve">
IF($A$4&lt;=12,SUMIFS('ON Data'!AI:AI,'ON Data'!$D:$D,$A$4,'ON Data'!$E:$E,8),SUMIFS('ON Data'!AI:AI,'ON Data'!$E:$E,8))</f>
        <v>0</v>
      </c>
      <c r="AE17" s="225">
        <f xml:space="preserve">
IF($A$4&lt;=12,SUMIFS('ON Data'!AJ:AJ,'ON Data'!$D:$D,$A$4,'ON Data'!$E:$E,8),SUMIFS('ON Data'!AJ:AJ,'ON Data'!$E:$E,8))</f>
        <v>0</v>
      </c>
      <c r="AF17" s="225">
        <f xml:space="preserve">
IF($A$4&lt;=12,SUMIFS('ON Data'!AK:AK,'ON Data'!$D:$D,$A$4,'ON Data'!$E:$E,8),SUMIFS('ON Data'!AK:AK,'ON Data'!$E:$E,8))</f>
        <v>0</v>
      </c>
      <c r="AG17" s="225">
        <f xml:space="preserve">
IF($A$4&lt;=12,SUMIFS('ON Data'!AL:AL,'ON Data'!$D:$D,$A$4,'ON Data'!$E:$E,8),SUMIFS('ON Data'!AL:AL,'ON Data'!$E:$E,8))</f>
        <v>0</v>
      </c>
      <c r="AH17" s="419">
        <f xml:space="preserve">
IF($A$4&lt;=12,SUMIFS('ON Data'!AN:AN,'ON Data'!$D:$D,$A$4,'ON Data'!$E:$E,8),SUMIFS('ON Data'!AN:AN,'ON Data'!$E:$E,8))</f>
        <v>0</v>
      </c>
      <c r="AI17" s="429"/>
    </row>
    <row r="18" spans="1:35" x14ac:dyDescent="0.3">
      <c r="A18" s="208" t="s">
        <v>148</v>
      </c>
      <c r="B18" s="223">
        <f xml:space="preserve">
B19-B16-B17</f>
        <v>0</v>
      </c>
      <c r="C18" s="224">
        <f t="shared" ref="C18:G18" si="0" xml:space="preserve">
C19-C16-C17</f>
        <v>0</v>
      </c>
      <c r="D18" s="225">
        <f t="shared" si="0"/>
        <v>0</v>
      </c>
      <c r="E18" s="225">
        <f t="shared" si="0"/>
        <v>0</v>
      </c>
      <c r="F18" s="225">
        <f t="shared" si="0"/>
        <v>0</v>
      </c>
      <c r="G18" s="225">
        <f t="shared" si="0"/>
        <v>0</v>
      </c>
      <c r="H18" s="225">
        <f t="shared" ref="H18:AH18" si="1" xml:space="preserve">
H19-H16-H17</f>
        <v>0</v>
      </c>
      <c r="I18" s="225">
        <f t="shared" si="1"/>
        <v>0</v>
      </c>
      <c r="J18" s="225">
        <f t="shared" si="1"/>
        <v>0</v>
      </c>
      <c r="K18" s="225">
        <f t="shared" si="1"/>
        <v>0</v>
      </c>
      <c r="L18" s="225">
        <f t="shared" si="1"/>
        <v>0</v>
      </c>
      <c r="M18" s="225">
        <f t="shared" si="1"/>
        <v>0</v>
      </c>
      <c r="N18" s="225">
        <f t="shared" si="1"/>
        <v>0</v>
      </c>
      <c r="O18" s="225">
        <f t="shared" si="1"/>
        <v>0</v>
      </c>
      <c r="P18" s="225">
        <f t="shared" si="1"/>
        <v>0</v>
      </c>
      <c r="Q18" s="225">
        <f t="shared" si="1"/>
        <v>0</v>
      </c>
      <c r="R18" s="225">
        <f t="shared" si="1"/>
        <v>0</v>
      </c>
      <c r="S18" s="225">
        <f t="shared" si="1"/>
        <v>0</v>
      </c>
      <c r="T18" s="225">
        <f t="shared" si="1"/>
        <v>0</v>
      </c>
      <c r="U18" s="225">
        <f t="shared" si="1"/>
        <v>0</v>
      </c>
      <c r="V18" s="225">
        <f t="shared" si="1"/>
        <v>0</v>
      </c>
      <c r="W18" s="225">
        <f t="shared" si="1"/>
        <v>0</v>
      </c>
      <c r="X18" s="225">
        <f t="shared" si="1"/>
        <v>0</v>
      </c>
      <c r="Y18" s="225">
        <f t="shared" si="1"/>
        <v>0</v>
      </c>
      <c r="Z18" s="225">
        <f t="shared" si="1"/>
        <v>0</v>
      </c>
      <c r="AA18" s="225">
        <f t="shared" si="1"/>
        <v>0</v>
      </c>
      <c r="AB18" s="225">
        <f t="shared" si="1"/>
        <v>0</v>
      </c>
      <c r="AC18" s="225">
        <f t="shared" si="1"/>
        <v>0</v>
      </c>
      <c r="AD18" s="225">
        <f t="shared" si="1"/>
        <v>0</v>
      </c>
      <c r="AE18" s="225">
        <f t="shared" si="1"/>
        <v>0</v>
      </c>
      <c r="AF18" s="225">
        <f t="shared" si="1"/>
        <v>0</v>
      </c>
      <c r="AG18" s="225">
        <f t="shared" si="1"/>
        <v>0</v>
      </c>
      <c r="AH18" s="419">
        <f t="shared" si="1"/>
        <v>0</v>
      </c>
      <c r="AI18" s="429"/>
    </row>
    <row r="19" spans="1:35" ht="15" thickBot="1" x14ac:dyDescent="0.35">
      <c r="A19" s="209" t="s">
        <v>149</v>
      </c>
      <c r="B19" s="232">
        <f xml:space="preserve">
IF($A$4&lt;=12,SUMIFS('ON Data'!F:F,'ON Data'!$D:$D,$A$4,'ON Data'!$E:$E,9),SUMIFS('ON Data'!F:F,'ON Data'!$E:$E,9))</f>
        <v>0</v>
      </c>
      <c r="C19" s="233">
        <f xml:space="preserve">
IF($A$4&lt;=12,SUMIFS('ON Data'!G:G,'ON Data'!$D:$D,$A$4,'ON Data'!$E:$E,9),SUMIFS('ON Data'!G:G,'ON Data'!$E:$E,9))</f>
        <v>0</v>
      </c>
      <c r="D19" s="234">
        <f xml:space="preserve">
IF($A$4&lt;=12,SUMIFS('ON Data'!H:H,'ON Data'!$D:$D,$A$4,'ON Data'!$E:$E,9),SUMIFS('ON Data'!H:H,'ON Data'!$E:$E,9))</f>
        <v>0</v>
      </c>
      <c r="E19" s="234">
        <f xml:space="preserve">
IF($A$4&lt;=12,SUMIFS('ON Data'!I:I,'ON Data'!$D:$D,$A$4,'ON Data'!$E:$E,9),SUMIFS('ON Data'!I:I,'ON Data'!$E:$E,9))</f>
        <v>0</v>
      </c>
      <c r="F19" s="234">
        <f xml:space="preserve">
IF($A$4&lt;=12,SUMIFS('ON Data'!K:K,'ON Data'!$D:$D,$A$4,'ON Data'!$E:$E,9),SUMIFS('ON Data'!K:K,'ON Data'!$E:$E,9))</f>
        <v>0</v>
      </c>
      <c r="G19" s="234">
        <f xml:space="preserve">
IF($A$4&lt;=12,SUMIFS('ON Data'!L:L,'ON Data'!$D:$D,$A$4,'ON Data'!$E:$E,9),SUMIFS('ON Data'!L:L,'ON Data'!$E:$E,9))</f>
        <v>0</v>
      </c>
      <c r="H19" s="234">
        <f xml:space="preserve">
IF($A$4&lt;=12,SUMIFS('ON Data'!M:M,'ON Data'!$D:$D,$A$4,'ON Data'!$E:$E,9),SUMIFS('ON Data'!M:M,'ON Data'!$E:$E,9))</f>
        <v>0</v>
      </c>
      <c r="I19" s="234">
        <f xml:space="preserve">
IF($A$4&lt;=12,SUMIFS('ON Data'!N:N,'ON Data'!$D:$D,$A$4,'ON Data'!$E:$E,9),SUMIFS('ON Data'!N:N,'ON Data'!$E:$E,9))</f>
        <v>0</v>
      </c>
      <c r="J19" s="234">
        <f xml:space="preserve">
IF($A$4&lt;=12,SUMIFS('ON Data'!O:O,'ON Data'!$D:$D,$A$4,'ON Data'!$E:$E,9),SUMIFS('ON Data'!O:O,'ON Data'!$E:$E,9))</f>
        <v>0</v>
      </c>
      <c r="K19" s="234">
        <f xml:space="preserve">
IF($A$4&lt;=12,SUMIFS('ON Data'!P:P,'ON Data'!$D:$D,$A$4,'ON Data'!$E:$E,9),SUMIFS('ON Data'!P:P,'ON Data'!$E:$E,9))</f>
        <v>0</v>
      </c>
      <c r="L19" s="234">
        <f xml:space="preserve">
IF($A$4&lt;=12,SUMIFS('ON Data'!Q:Q,'ON Data'!$D:$D,$A$4,'ON Data'!$E:$E,9),SUMIFS('ON Data'!Q:Q,'ON Data'!$E:$E,9))</f>
        <v>0</v>
      </c>
      <c r="M19" s="234">
        <f xml:space="preserve">
IF($A$4&lt;=12,SUMIFS('ON Data'!R:R,'ON Data'!$D:$D,$A$4,'ON Data'!$E:$E,9),SUMIFS('ON Data'!R:R,'ON Data'!$E:$E,9))</f>
        <v>0</v>
      </c>
      <c r="N19" s="234">
        <f xml:space="preserve">
IF($A$4&lt;=12,SUMIFS('ON Data'!S:S,'ON Data'!$D:$D,$A$4,'ON Data'!$E:$E,9),SUMIFS('ON Data'!S:S,'ON Data'!$E:$E,9))</f>
        <v>0</v>
      </c>
      <c r="O19" s="234">
        <f xml:space="preserve">
IF($A$4&lt;=12,SUMIFS('ON Data'!T:T,'ON Data'!$D:$D,$A$4,'ON Data'!$E:$E,9),SUMIFS('ON Data'!T:T,'ON Data'!$E:$E,9))</f>
        <v>0</v>
      </c>
      <c r="P19" s="234">
        <f xml:space="preserve">
IF($A$4&lt;=12,SUMIFS('ON Data'!U:U,'ON Data'!$D:$D,$A$4,'ON Data'!$E:$E,9),SUMIFS('ON Data'!U:U,'ON Data'!$E:$E,9))</f>
        <v>0</v>
      </c>
      <c r="Q19" s="234">
        <f xml:space="preserve">
IF($A$4&lt;=12,SUMIFS('ON Data'!V:V,'ON Data'!$D:$D,$A$4,'ON Data'!$E:$E,9),SUMIFS('ON Data'!V:V,'ON Data'!$E:$E,9))</f>
        <v>0</v>
      </c>
      <c r="R19" s="234">
        <f xml:space="preserve">
IF($A$4&lt;=12,SUMIFS('ON Data'!W:W,'ON Data'!$D:$D,$A$4,'ON Data'!$E:$E,9),SUMIFS('ON Data'!W:W,'ON Data'!$E:$E,9))</f>
        <v>0</v>
      </c>
      <c r="S19" s="234">
        <f xml:space="preserve">
IF($A$4&lt;=12,SUMIFS('ON Data'!X:X,'ON Data'!$D:$D,$A$4,'ON Data'!$E:$E,9),SUMIFS('ON Data'!X:X,'ON Data'!$E:$E,9))</f>
        <v>0</v>
      </c>
      <c r="T19" s="234">
        <f xml:space="preserve">
IF($A$4&lt;=12,SUMIFS('ON Data'!Y:Y,'ON Data'!$D:$D,$A$4,'ON Data'!$E:$E,9),SUMIFS('ON Data'!Y:Y,'ON Data'!$E:$E,9))</f>
        <v>0</v>
      </c>
      <c r="U19" s="234">
        <f xml:space="preserve">
IF($A$4&lt;=12,SUMIFS('ON Data'!Z:Z,'ON Data'!$D:$D,$A$4,'ON Data'!$E:$E,9),SUMIFS('ON Data'!Z:Z,'ON Data'!$E:$E,9))</f>
        <v>0</v>
      </c>
      <c r="V19" s="234">
        <f xml:space="preserve">
IF($A$4&lt;=12,SUMIFS('ON Data'!AA:AA,'ON Data'!$D:$D,$A$4,'ON Data'!$E:$E,9),SUMIFS('ON Data'!AA:AA,'ON Data'!$E:$E,9))</f>
        <v>0</v>
      </c>
      <c r="W19" s="234">
        <f xml:space="preserve">
IF($A$4&lt;=12,SUMIFS('ON Data'!AB:AB,'ON Data'!$D:$D,$A$4,'ON Data'!$E:$E,9),SUMIFS('ON Data'!AB:AB,'ON Data'!$E:$E,9))</f>
        <v>0</v>
      </c>
      <c r="X19" s="234">
        <f xml:space="preserve">
IF($A$4&lt;=12,SUMIFS('ON Data'!AC:AC,'ON Data'!$D:$D,$A$4,'ON Data'!$E:$E,9),SUMIFS('ON Data'!AC:AC,'ON Data'!$E:$E,9))</f>
        <v>0</v>
      </c>
      <c r="Y19" s="234">
        <f xml:space="preserve">
IF($A$4&lt;=12,SUMIFS('ON Data'!AD:AD,'ON Data'!$D:$D,$A$4,'ON Data'!$E:$E,9),SUMIFS('ON Data'!AD:AD,'ON Data'!$E:$E,9))</f>
        <v>0</v>
      </c>
      <c r="Z19" s="234">
        <f xml:space="preserve">
IF($A$4&lt;=12,SUMIFS('ON Data'!AE:AE,'ON Data'!$D:$D,$A$4,'ON Data'!$E:$E,9),SUMIFS('ON Data'!AE:AE,'ON Data'!$E:$E,9))</f>
        <v>0</v>
      </c>
      <c r="AA19" s="234">
        <f xml:space="preserve">
IF($A$4&lt;=12,SUMIFS('ON Data'!AF:AF,'ON Data'!$D:$D,$A$4,'ON Data'!$E:$E,9),SUMIFS('ON Data'!AF:AF,'ON Data'!$E:$E,9))</f>
        <v>0</v>
      </c>
      <c r="AB19" s="234">
        <f xml:space="preserve">
IF($A$4&lt;=12,SUMIFS('ON Data'!AG:AG,'ON Data'!$D:$D,$A$4,'ON Data'!$E:$E,9),SUMIFS('ON Data'!AG:AG,'ON Data'!$E:$E,9))</f>
        <v>0</v>
      </c>
      <c r="AC19" s="234">
        <f xml:space="preserve">
IF($A$4&lt;=12,SUMIFS('ON Data'!AH:AH,'ON Data'!$D:$D,$A$4,'ON Data'!$E:$E,9),SUMIFS('ON Data'!AH:AH,'ON Data'!$E:$E,9))</f>
        <v>0</v>
      </c>
      <c r="AD19" s="234">
        <f xml:space="preserve">
IF($A$4&lt;=12,SUMIFS('ON Data'!AI:AI,'ON Data'!$D:$D,$A$4,'ON Data'!$E:$E,9),SUMIFS('ON Data'!AI:AI,'ON Data'!$E:$E,9))</f>
        <v>0</v>
      </c>
      <c r="AE19" s="234">
        <f xml:space="preserve">
IF($A$4&lt;=12,SUMIFS('ON Data'!AJ:AJ,'ON Data'!$D:$D,$A$4,'ON Data'!$E:$E,9),SUMIFS('ON Data'!AJ:AJ,'ON Data'!$E:$E,9))</f>
        <v>0</v>
      </c>
      <c r="AF19" s="234">
        <f xml:space="preserve">
IF($A$4&lt;=12,SUMIFS('ON Data'!AK:AK,'ON Data'!$D:$D,$A$4,'ON Data'!$E:$E,9),SUMIFS('ON Data'!AK:AK,'ON Data'!$E:$E,9))</f>
        <v>0</v>
      </c>
      <c r="AG19" s="234">
        <f xml:space="preserve">
IF($A$4&lt;=12,SUMIFS('ON Data'!AL:AL,'ON Data'!$D:$D,$A$4,'ON Data'!$E:$E,9),SUMIFS('ON Data'!AL:AL,'ON Data'!$E:$E,9))</f>
        <v>0</v>
      </c>
      <c r="AH19" s="422">
        <f xml:space="preserve">
IF($A$4&lt;=12,SUMIFS('ON Data'!AN:AN,'ON Data'!$D:$D,$A$4,'ON Data'!$E:$E,9),SUMIFS('ON Data'!AN:AN,'ON Data'!$E:$E,9))</f>
        <v>0</v>
      </c>
      <c r="AI19" s="429"/>
    </row>
    <row r="20" spans="1:35" ht="15" collapsed="1" thickBot="1" x14ac:dyDescent="0.35">
      <c r="A20" s="210" t="s">
        <v>50</v>
      </c>
      <c r="B20" s="235">
        <f xml:space="preserve">
IF($A$4&lt;=12,SUMIFS('ON Data'!F:F,'ON Data'!$D:$D,$A$4,'ON Data'!$E:$E,6),SUMIFS('ON Data'!F:F,'ON Data'!$E:$E,6))</f>
        <v>898118</v>
      </c>
      <c r="C20" s="236">
        <f xml:space="preserve">
IF($A$4&lt;=12,SUMIFS('ON Data'!G:G,'ON Data'!$D:$D,$A$4,'ON Data'!$E:$E,6),SUMIFS('ON Data'!G:G,'ON Data'!$E:$E,6))</f>
        <v>0</v>
      </c>
      <c r="D20" s="237">
        <f xml:space="preserve">
IF($A$4&lt;=12,SUMIFS('ON Data'!H:H,'ON Data'!$D:$D,$A$4,'ON Data'!$E:$E,6),SUMIFS('ON Data'!H:H,'ON Data'!$E:$E,6))</f>
        <v>0</v>
      </c>
      <c r="E20" s="237">
        <f xml:space="preserve">
IF($A$4&lt;=12,SUMIFS('ON Data'!I:I,'ON Data'!$D:$D,$A$4,'ON Data'!$E:$E,6),SUMIFS('ON Data'!I:I,'ON Data'!$E:$E,6))</f>
        <v>0</v>
      </c>
      <c r="F20" s="237">
        <f xml:space="preserve">
IF($A$4&lt;=12,SUMIFS('ON Data'!K:K,'ON Data'!$D:$D,$A$4,'ON Data'!$E:$E,6),SUMIFS('ON Data'!K:K,'ON Data'!$E:$E,6))</f>
        <v>0</v>
      </c>
      <c r="G20" s="237">
        <f xml:space="preserve">
IF($A$4&lt;=12,SUMIFS('ON Data'!L:L,'ON Data'!$D:$D,$A$4,'ON Data'!$E:$E,6),SUMIFS('ON Data'!L:L,'ON Data'!$E:$E,6))</f>
        <v>0</v>
      </c>
      <c r="H20" s="237">
        <f xml:space="preserve">
IF($A$4&lt;=12,SUMIFS('ON Data'!M:M,'ON Data'!$D:$D,$A$4,'ON Data'!$E:$E,6),SUMIFS('ON Data'!M:M,'ON Data'!$E:$E,6))</f>
        <v>0</v>
      </c>
      <c r="I20" s="237">
        <f xml:space="preserve">
IF($A$4&lt;=12,SUMIFS('ON Data'!N:N,'ON Data'!$D:$D,$A$4,'ON Data'!$E:$E,6),SUMIFS('ON Data'!N:N,'ON Data'!$E:$E,6))</f>
        <v>0</v>
      </c>
      <c r="J20" s="237">
        <f xml:space="preserve">
IF($A$4&lt;=12,SUMIFS('ON Data'!O:O,'ON Data'!$D:$D,$A$4,'ON Data'!$E:$E,6),SUMIFS('ON Data'!O:O,'ON Data'!$E:$E,6))</f>
        <v>0</v>
      </c>
      <c r="K20" s="237">
        <f xml:space="preserve">
IF($A$4&lt;=12,SUMIFS('ON Data'!P:P,'ON Data'!$D:$D,$A$4,'ON Data'!$E:$E,6),SUMIFS('ON Data'!P:P,'ON Data'!$E:$E,6))</f>
        <v>0</v>
      </c>
      <c r="L20" s="237">
        <f xml:space="preserve">
IF($A$4&lt;=12,SUMIFS('ON Data'!Q:Q,'ON Data'!$D:$D,$A$4,'ON Data'!$E:$E,6),SUMIFS('ON Data'!Q:Q,'ON Data'!$E:$E,6))</f>
        <v>0</v>
      </c>
      <c r="M20" s="237">
        <f xml:space="preserve">
IF($A$4&lt;=12,SUMIFS('ON Data'!R:R,'ON Data'!$D:$D,$A$4,'ON Data'!$E:$E,6),SUMIFS('ON Data'!R:R,'ON Data'!$E:$E,6))</f>
        <v>0</v>
      </c>
      <c r="N20" s="237">
        <f xml:space="preserve">
IF($A$4&lt;=12,SUMIFS('ON Data'!S:S,'ON Data'!$D:$D,$A$4,'ON Data'!$E:$E,6),SUMIFS('ON Data'!S:S,'ON Data'!$E:$E,6))</f>
        <v>0</v>
      </c>
      <c r="O20" s="237">
        <f xml:space="preserve">
IF($A$4&lt;=12,SUMIFS('ON Data'!T:T,'ON Data'!$D:$D,$A$4,'ON Data'!$E:$E,6),SUMIFS('ON Data'!T:T,'ON Data'!$E:$E,6))</f>
        <v>0</v>
      </c>
      <c r="P20" s="237">
        <f xml:space="preserve">
IF($A$4&lt;=12,SUMIFS('ON Data'!U:U,'ON Data'!$D:$D,$A$4,'ON Data'!$E:$E,6),SUMIFS('ON Data'!U:U,'ON Data'!$E:$E,6))</f>
        <v>0</v>
      </c>
      <c r="Q20" s="237">
        <f xml:space="preserve">
IF($A$4&lt;=12,SUMIFS('ON Data'!V:V,'ON Data'!$D:$D,$A$4,'ON Data'!$E:$E,6),SUMIFS('ON Data'!V:V,'ON Data'!$E:$E,6))</f>
        <v>0</v>
      </c>
      <c r="R20" s="237">
        <f xml:space="preserve">
IF($A$4&lt;=12,SUMIFS('ON Data'!W:W,'ON Data'!$D:$D,$A$4,'ON Data'!$E:$E,6),SUMIFS('ON Data'!W:W,'ON Data'!$E:$E,6))</f>
        <v>0</v>
      </c>
      <c r="S20" s="237">
        <f xml:space="preserve">
IF($A$4&lt;=12,SUMIFS('ON Data'!X:X,'ON Data'!$D:$D,$A$4,'ON Data'!$E:$E,6),SUMIFS('ON Data'!X:X,'ON Data'!$E:$E,6))</f>
        <v>880502</v>
      </c>
      <c r="T20" s="237">
        <f xml:space="preserve">
IF($A$4&lt;=12,SUMIFS('ON Data'!Y:Y,'ON Data'!$D:$D,$A$4,'ON Data'!$E:$E,6),SUMIFS('ON Data'!Y:Y,'ON Data'!$E:$E,6))</f>
        <v>0</v>
      </c>
      <c r="U20" s="237">
        <f xml:space="preserve">
IF($A$4&lt;=12,SUMIFS('ON Data'!Z:Z,'ON Data'!$D:$D,$A$4,'ON Data'!$E:$E,6),SUMIFS('ON Data'!Z:Z,'ON Data'!$E:$E,6))</f>
        <v>0</v>
      </c>
      <c r="V20" s="237">
        <f xml:space="preserve">
IF($A$4&lt;=12,SUMIFS('ON Data'!AA:AA,'ON Data'!$D:$D,$A$4,'ON Data'!$E:$E,6),SUMIFS('ON Data'!AA:AA,'ON Data'!$E:$E,6))</f>
        <v>0</v>
      </c>
      <c r="W20" s="237">
        <f xml:space="preserve">
IF($A$4&lt;=12,SUMIFS('ON Data'!AB:AB,'ON Data'!$D:$D,$A$4,'ON Data'!$E:$E,6),SUMIFS('ON Data'!AB:AB,'ON Data'!$E:$E,6))</f>
        <v>0</v>
      </c>
      <c r="X20" s="237">
        <f xml:space="preserve">
IF($A$4&lt;=12,SUMIFS('ON Data'!AC:AC,'ON Data'!$D:$D,$A$4,'ON Data'!$E:$E,6),SUMIFS('ON Data'!AC:AC,'ON Data'!$E:$E,6))</f>
        <v>0</v>
      </c>
      <c r="Y20" s="237">
        <f xml:space="preserve">
IF($A$4&lt;=12,SUMIFS('ON Data'!AD:AD,'ON Data'!$D:$D,$A$4,'ON Data'!$E:$E,6),SUMIFS('ON Data'!AD:AD,'ON Data'!$E:$E,6))</f>
        <v>0</v>
      </c>
      <c r="Z20" s="237">
        <f xml:space="preserve">
IF($A$4&lt;=12,SUMIFS('ON Data'!AE:AE,'ON Data'!$D:$D,$A$4,'ON Data'!$E:$E,6),SUMIFS('ON Data'!AE:AE,'ON Data'!$E:$E,6))</f>
        <v>0</v>
      </c>
      <c r="AA20" s="237">
        <f xml:space="preserve">
IF($A$4&lt;=12,SUMIFS('ON Data'!AF:AF,'ON Data'!$D:$D,$A$4,'ON Data'!$E:$E,6),SUMIFS('ON Data'!AF:AF,'ON Data'!$E:$E,6))</f>
        <v>0</v>
      </c>
      <c r="AB20" s="237">
        <f xml:space="preserve">
IF($A$4&lt;=12,SUMIFS('ON Data'!AG:AG,'ON Data'!$D:$D,$A$4,'ON Data'!$E:$E,6),SUMIFS('ON Data'!AG:AG,'ON Data'!$E:$E,6))</f>
        <v>0</v>
      </c>
      <c r="AC20" s="237">
        <f xml:space="preserve">
IF($A$4&lt;=12,SUMIFS('ON Data'!AH:AH,'ON Data'!$D:$D,$A$4,'ON Data'!$E:$E,6),SUMIFS('ON Data'!AH:AH,'ON Data'!$E:$E,6))</f>
        <v>0</v>
      </c>
      <c r="AD20" s="237">
        <f xml:space="preserve">
IF($A$4&lt;=12,SUMIFS('ON Data'!AI:AI,'ON Data'!$D:$D,$A$4,'ON Data'!$E:$E,6),SUMIFS('ON Data'!AI:AI,'ON Data'!$E:$E,6))</f>
        <v>0</v>
      </c>
      <c r="AE20" s="237">
        <f xml:space="preserve">
IF($A$4&lt;=12,SUMIFS('ON Data'!AJ:AJ,'ON Data'!$D:$D,$A$4,'ON Data'!$E:$E,6),SUMIFS('ON Data'!AJ:AJ,'ON Data'!$E:$E,6))</f>
        <v>0</v>
      </c>
      <c r="AF20" s="237">
        <f xml:space="preserve">
IF($A$4&lt;=12,SUMIFS('ON Data'!AK:AK,'ON Data'!$D:$D,$A$4,'ON Data'!$E:$E,6),SUMIFS('ON Data'!AK:AK,'ON Data'!$E:$E,6))</f>
        <v>0</v>
      </c>
      <c r="AG20" s="237">
        <f xml:space="preserve">
IF($A$4&lt;=12,SUMIFS('ON Data'!AL:AL,'ON Data'!$D:$D,$A$4,'ON Data'!$E:$E,6),SUMIFS('ON Data'!AL:AL,'ON Data'!$E:$E,6))</f>
        <v>0</v>
      </c>
      <c r="AH20" s="423">
        <f xml:space="preserve">
IF($A$4&lt;=12,SUMIFS('ON Data'!AN:AN,'ON Data'!$D:$D,$A$4,'ON Data'!$E:$E,6),SUMIFS('ON Data'!AN:AN,'ON Data'!$E:$E,6))</f>
        <v>17616</v>
      </c>
      <c r="AI20" s="429"/>
    </row>
    <row r="21" spans="1:35" ht="15" hidden="1" outlineLevel="1" thickBot="1" x14ac:dyDescent="0.35">
      <c r="A21" s="203" t="s">
        <v>84</v>
      </c>
      <c r="B21" s="223">
        <f xml:space="preserve">
IF($A$4&lt;=12,SUMIFS('ON Data'!F:F,'ON Data'!$D:$D,$A$4,'ON Data'!$E:$E,12),SUMIFS('ON Data'!F:F,'ON Data'!$E:$E,12))</f>
        <v>0</v>
      </c>
      <c r="C21" s="224">
        <f xml:space="preserve">
IF($A$4&lt;=12,SUMIFS('ON Data'!G:G,'ON Data'!$D:$D,$A$4,'ON Data'!$E:$E,12),SUMIFS('ON Data'!G:G,'ON Data'!$E:$E,12))</f>
        <v>0</v>
      </c>
      <c r="D21" s="225">
        <f xml:space="preserve">
IF($A$4&lt;=12,SUMIFS('ON Data'!H:H,'ON Data'!$D:$D,$A$4,'ON Data'!$E:$E,12),SUMIFS('ON Data'!H:H,'ON Data'!$E:$E,12))</f>
        <v>0</v>
      </c>
      <c r="E21" s="225">
        <f xml:space="preserve">
IF($A$4&lt;=12,SUMIFS('ON Data'!I:I,'ON Data'!$D:$D,$A$4,'ON Data'!$E:$E,12),SUMIFS('ON Data'!I:I,'ON Data'!$E:$E,12))</f>
        <v>0</v>
      </c>
      <c r="F21" s="225">
        <f xml:space="preserve">
IF($A$4&lt;=12,SUMIFS('ON Data'!K:K,'ON Data'!$D:$D,$A$4,'ON Data'!$E:$E,12),SUMIFS('ON Data'!K:K,'ON Data'!$E:$E,12))</f>
        <v>0</v>
      </c>
      <c r="G21" s="225">
        <f xml:space="preserve">
IF($A$4&lt;=12,SUMIFS('ON Data'!L:L,'ON Data'!$D:$D,$A$4,'ON Data'!$E:$E,12),SUMIFS('ON Data'!L:L,'ON Data'!$E:$E,12))</f>
        <v>0</v>
      </c>
      <c r="H21" s="225">
        <f xml:space="preserve">
IF($A$4&lt;=12,SUMIFS('ON Data'!M:M,'ON Data'!$D:$D,$A$4,'ON Data'!$E:$E,12),SUMIFS('ON Data'!M:M,'ON Data'!$E:$E,12))</f>
        <v>0</v>
      </c>
      <c r="I21" s="225">
        <f xml:space="preserve">
IF($A$4&lt;=12,SUMIFS('ON Data'!N:N,'ON Data'!$D:$D,$A$4,'ON Data'!$E:$E,12),SUMIFS('ON Data'!N:N,'ON Data'!$E:$E,12))</f>
        <v>0</v>
      </c>
      <c r="J21" s="225">
        <f xml:space="preserve">
IF($A$4&lt;=12,SUMIFS('ON Data'!O:O,'ON Data'!$D:$D,$A$4,'ON Data'!$E:$E,12),SUMIFS('ON Data'!O:O,'ON Data'!$E:$E,12))</f>
        <v>0</v>
      </c>
      <c r="K21" s="225">
        <f xml:space="preserve">
IF($A$4&lt;=12,SUMIFS('ON Data'!P:P,'ON Data'!$D:$D,$A$4,'ON Data'!$E:$E,12),SUMIFS('ON Data'!P:P,'ON Data'!$E:$E,12))</f>
        <v>0</v>
      </c>
      <c r="L21" s="225">
        <f xml:space="preserve">
IF($A$4&lt;=12,SUMIFS('ON Data'!Q:Q,'ON Data'!$D:$D,$A$4,'ON Data'!$E:$E,12),SUMIFS('ON Data'!Q:Q,'ON Data'!$E:$E,12))</f>
        <v>0</v>
      </c>
      <c r="M21" s="225">
        <f xml:space="preserve">
IF($A$4&lt;=12,SUMIFS('ON Data'!R:R,'ON Data'!$D:$D,$A$4,'ON Data'!$E:$E,12),SUMIFS('ON Data'!R:R,'ON Data'!$E:$E,12))</f>
        <v>0</v>
      </c>
      <c r="N21" s="225">
        <f xml:space="preserve">
IF($A$4&lt;=12,SUMIFS('ON Data'!S:S,'ON Data'!$D:$D,$A$4,'ON Data'!$E:$E,12),SUMIFS('ON Data'!S:S,'ON Data'!$E:$E,12))</f>
        <v>0</v>
      </c>
      <c r="O21" s="225">
        <f xml:space="preserve">
IF($A$4&lt;=12,SUMIFS('ON Data'!T:T,'ON Data'!$D:$D,$A$4,'ON Data'!$E:$E,12),SUMIFS('ON Data'!T:T,'ON Data'!$E:$E,12))</f>
        <v>0</v>
      </c>
      <c r="P21" s="225">
        <f xml:space="preserve">
IF($A$4&lt;=12,SUMIFS('ON Data'!U:U,'ON Data'!$D:$D,$A$4,'ON Data'!$E:$E,12),SUMIFS('ON Data'!U:U,'ON Data'!$E:$E,12))</f>
        <v>0</v>
      </c>
      <c r="Q21" s="225">
        <f xml:space="preserve">
IF($A$4&lt;=12,SUMIFS('ON Data'!V:V,'ON Data'!$D:$D,$A$4,'ON Data'!$E:$E,12),SUMIFS('ON Data'!V:V,'ON Data'!$E:$E,12))</f>
        <v>0</v>
      </c>
      <c r="R21" s="225">
        <f xml:space="preserve">
IF($A$4&lt;=12,SUMIFS('ON Data'!W:W,'ON Data'!$D:$D,$A$4,'ON Data'!$E:$E,12),SUMIFS('ON Data'!W:W,'ON Data'!$E:$E,12))</f>
        <v>0</v>
      </c>
      <c r="S21" s="225">
        <f xml:space="preserve">
IF($A$4&lt;=12,SUMIFS('ON Data'!X:X,'ON Data'!$D:$D,$A$4,'ON Data'!$E:$E,12),SUMIFS('ON Data'!X:X,'ON Data'!$E:$E,12))</f>
        <v>0</v>
      </c>
      <c r="T21" s="225">
        <f xml:space="preserve">
IF($A$4&lt;=12,SUMIFS('ON Data'!Y:Y,'ON Data'!$D:$D,$A$4,'ON Data'!$E:$E,12),SUMIFS('ON Data'!Y:Y,'ON Data'!$E:$E,12))</f>
        <v>0</v>
      </c>
      <c r="U21" s="225">
        <f xml:space="preserve">
IF($A$4&lt;=12,SUMIFS('ON Data'!Z:Z,'ON Data'!$D:$D,$A$4,'ON Data'!$E:$E,12),SUMIFS('ON Data'!Z:Z,'ON Data'!$E:$E,12))</f>
        <v>0</v>
      </c>
      <c r="V21" s="225">
        <f xml:space="preserve">
IF($A$4&lt;=12,SUMIFS('ON Data'!AA:AA,'ON Data'!$D:$D,$A$4,'ON Data'!$E:$E,12),SUMIFS('ON Data'!AA:AA,'ON Data'!$E:$E,12))</f>
        <v>0</v>
      </c>
      <c r="W21" s="225">
        <f xml:space="preserve">
IF($A$4&lt;=12,SUMIFS('ON Data'!AB:AB,'ON Data'!$D:$D,$A$4,'ON Data'!$E:$E,12),SUMIFS('ON Data'!AB:AB,'ON Data'!$E:$E,12))</f>
        <v>0</v>
      </c>
      <c r="X21" s="225">
        <f xml:space="preserve">
IF($A$4&lt;=12,SUMIFS('ON Data'!AC:AC,'ON Data'!$D:$D,$A$4,'ON Data'!$E:$E,12),SUMIFS('ON Data'!AC:AC,'ON Data'!$E:$E,12))</f>
        <v>0</v>
      </c>
      <c r="Y21" s="225">
        <f xml:space="preserve">
IF($A$4&lt;=12,SUMIFS('ON Data'!AD:AD,'ON Data'!$D:$D,$A$4,'ON Data'!$E:$E,12),SUMIFS('ON Data'!AD:AD,'ON Data'!$E:$E,12))</f>
        <v>0</v>
      </c>
      <c r="Z21" s="225">
        <f xml:space="preserve">
IF($A$4&lt;=12,SUMIFS('ON Data'!AE:AE,'ON Data'!$D:$D,$A$4,'ON Data'!$E:$E,12),SUMIFS('ON Data'!AE:AE,'ON Data'!$E:$E,12))</f>
        <v>0</v>
      </c>
      <c r="AA21" s="225">
        <f xml:space="preserve">
IF($A$4&lt;=12,SUMIFS('ON Data'!AF:AF,'ON Data'!$D:$D,$A$4,'ON Data'!$E:$E,12),SUMIFS('ON Data'!AF:AF,'ON Data'!$E:$E,12))</f>
        <v>0</v>
      </c>
      <c r="AB21" s="225">
        <f xml:space="preserve">
IF($A$4&lt;=12,SUMIFS('ON Data'!AG:AG,'ON Data'!$D:$D,$A$4,'ON Data'!$E:$E,12),SUMIFS('ON Data'!AG:AG,'ON Data'!$E:$E,12))</f>
        <v>0</v>
      </c>
      <c r="AC21" s="225">
        <f xml:space="preserve">
IF($A$4&lt;=12,SUMIFS('ON Data'!AH:AH,'ON Data'!$D:$D,$A$4,'ON Data'!$E:$E,12),SUMIFS('ON Data'!AH:AH,'ON Data'!$E:$E,12))</f>
        <v>0</v>
      </c>
      <c r="AD21" s="225">
        <f xml:space="preserve">
IF($A$4&lt;=12,SUMIFS('ON Data'!AI:AI,'ON Data'!$D:$D,$A$4,'ON Data'!$E:$E,12),SUMIFS('ON Data'!AI:AI,'ON Data'!$E:$E,12))</f>
        <v>0</v>
      </c>
      <c r="AE21" s="225">
        <f xml:space="preserve">
IF($A$4&lt;=12,SUMIFS('ON Data'!AJ:AJ,'ON Data'!$D:$D,$A$4,'ON Data'!$E:$E,12),SUMIFS('ON Data'!AJ:AJ,'ON Data'!$E:$E,12))</f>
        <v>0</v>
      </c>
      <c r="AF21" s="225">
        <f xml:space="preserve">
IF($A$4&lt;=12,SUMIFS('ON Data'!AK:AK,'ON Data'!$D:$D,$A$4,'ON Data'!$E:$E,12),SUMIFS('ON Data'!AK:AK,'ON Data'!$E:$E,12))</f>
        <v>0</v>
      </c>
      <c r="AG21" s="225">
        <f xml:space="preserve">
IF($A$4&lt;=12,SUMIFS('ON Data'!AL:AL,'ON Data'!$D:$D,$A$4,'ON Data'!$E:$E,12),SUMIFS('ON Data'!AL:AL,'ON Data'!$E:$E,12))</f>
        <v>0</v>
      </c>
      <c r="AH21" s="419">
        <f xml:space="preserve">
IF($A$4&lt;=12,SUMIFS('ON Data'!AN:AN,'ON Data'!$D:$D,$A$4,'ON Data'!$E:$E,12),SUMIFS('ON Data'!AN:AN,'ON Data'!$E:$E,12))</f>
        <v>0</v>
      </c>
      <c r="AI21" s="429"/>
    </row>
    <row r="22" spans="1:35" ht="15" hidden="1" outlineLevel="1" thickBot="1" x14ac:dyDescent="0.35">
      <c r="A22" s="203" t="s">
        <v>52</v>
      </c>
      <c r="B22" s="279" t="str">
        <f xml:space="preserve">
IF(OR(B21="",B21=0),"",B20/B21)</f>
        <v/>
      </c>
      <c r="C22" s="280" t="str">
        <f t="shared" ref="C22:G22" si="2" xml:space="preserve">
IF(OR(C21="",C21=0),"",C20/C21)</f>
        <v/>
      </c>
      <c r="D22" s="281" t="str">
        <f t="shared" si="2"/>
        <v/>
      </c>
      <c r="E22" s="281" t="str">
        <f t="shared" si="2"/>
        <v/>
      </c>
      <c r="F22" s="281" t="str">
        <f t="shared" si="2"/>
        <v/>
      </c>
      <c r="G22" s="281" t="str">
        <f t="shared" si="2"/>
        <v/>
      </c>
      <c r="H22" s="281" t="str">
        <f t="shared" ref="H22:AH22" si="3" xml:space="preserve">
IF(OR(H21="",H21=0),"",H20/H21)</f>
        <v/>
      </c>
      <c r="I22" s="281" t="str">
        <f t="shared" si="3"/>
        <v/>
      </c>
      <c r="J22" s="281" t="str">
        <f t="shared" si="3"/>
        <v/>
      </c>
      <c r="K22" s="281" t="str">
        <f t="shared" si="3"/>
        <v/>
      </c>
      <c r="L22" s="281" t="str">
        <f t="shared" si="3"/>
        <v/>
      </c>
      <c r="M22" s="281" t="str">
        <f t="shared" si="3"/>
        <v/>
      </c>
      <c r="N22" s="281" t="str">
        <f t="shared" si="3"/>
        <v/>
      </c>
      <c r="O22" s="281" t="str">
        <f t="shared" si="3"/>
        <v/>
      </c>
      <c r="P22" s="281" t="str">
        <f t="shared" si="3"/>
        <v/>
      </c>
      <c r="Q22" s="281" t="str">
        <f t="shared" si="3"/>
        <v/>
      </c>
      <c r="R22" s="281" t="str">
        <f t="shared" si="3"/>
        <v/>
      </c>
      <c r="S22" s="281" t="str">
        <f t="shared" si="3"/>
        <v/>
      </c>
      <c r="T22" s="281" t="str">
        <f t="shared" si="3"/>
        <v/>
      </c>
      <c r="U22" s="281" t="str">
        <f t="shared" si="3"/>
        <v/>
      </c>
      <c r="V22" s="281" t="str">
        <f t="shared" si="3"/>
        <v/>
      </c>
      <c r="W22" s="281" t="str">
        <f t="shared" si="3"/>
        <v/>
      </c>
      <c r="X22" s="281" t="str">
        <f t="shared" si="3"/>
        <v/>
      </c>
      <c r="Y22" s="281" t="str">
        <f t="shared" si="3"/>
        <v/>
      </c>
      <c r="Z22" s="281" t="str">
        <f t="shared" si="3"/>
        <v/>
      </c>
      <c r="AA22" s="281" t="str">
        <f t="shared" si="3"/>
        <v/>
      </c>
      <c r="AB22" s="281" t="str">
        <f t="shared" si="3"/>
        <v/>
      </c>
      <c r="AC22" s="281" t="str">
        <f t="shared" si="3"/>
        <v/>
      </c>
      <c r="AD22" s="281" t="str">
        <f t="shared" si="3"/>
        <v/>
      </c>
      <c r="AE22" s="281" t="str">
        <f t="shared" si="3"/>
        <v/>
      </c>
      <c r="AF22" s="281" t="str">
        <f t="shared" si="3"/>
        <v/>
      </c>
      <c r="AG22" s="281" t="str">
        <f t="shared" si="3"/>
        <v/>
      </c>
      <c r="AH22" s="424" t="str">
        <f t="shared" si="3"/>
        <v/>
      </c>
      <c r="AI22" s="429"/>
    </row>
    <row r="23" spans="1:35" ht="15" hidden="1" outlineLevel="1" thickBot="1" x14ac:dyDescent="0.35">
      <c r="A23" s="211" t="s">
        <v>45</v>
      </c>
      <c r="B23" s="226">
        <f xml:space="preserve">
IF(B21="","",B20-B21)</f>
        <v>898118</v>
      </c>
      <c r="C23" s="227">
        <f t="shared" ref="C23:G23" si="4" xml:space="preserve">
IF(C21="","",C20-C21)</f>
        <v>0</v>
      </c>
      <c r="D23" s="228">
        <f t="shared" si="4"/>
        <v>0</v>
      </c>
      <c r="E23" s="228">
        <f t="shared" si="4"/>
        <v>0</v>
      </c>
      <c r="F23" s="228">
        <f t="shared" si="4"/>
        <v>0</v>
      </c>
      <c r="G23" s="228">
        <f t="shared" si="4"/>
        <v>0</v>
      </c>
      <c r="H23" s="228">
        <f t="shared" ref="H23:AH23" si="5" xml:space="preserve">
IF(H21="","",H20-H21)</f>
        <v>0</v>
      </c>
      <c r="I23" s="228">
        <f t="shared" si="5"/>
        <v>0</v>
      </c>
      <c r="J23" s="228">
        <f t="shared" si="5"/>
        <v>0</v>
      </c>
      <c r="K23" s="228">
        <f t="shared" si="5"/>
        <v>0</v>
      </c>
      <c r="L23" s="228">
        <f t="shared" si="5"/>
        <v>0</v>
      </c>
      <c r="M23" s="228">
        <f t="shared" si="5"/>
        <v>0</v>
      </c>
      <c r="N23" s="228">
        <f t="shared" si="5"/>
        <v>0</v>
      </c>
      <c r="O23" s="228">
        <f t="shared" si="5"/>
        <v>0</v>
      </c>
      <c r="P23" s="228">
        <f t="shared" si="5"/>
        <v>0</v>
      </c>
      <c r="Q23" s="228">
        <f t="shared" si="5"/>
        <v>0</v>
      </c>
      <c r="R23" s="228">
        <f t="shared" si="5"/>
        <v>0</v>
      </c>
      <c r="S23" s="228">
        <f t="shared" si="5"/>
        <v>880502</v>
      </c>
      <c r="T23" s="228">
        <f t="shared" si="5"/>
        <v>0</v>
      </c>
      <c r="U23" s="228">
        <f t="shared" si="5"/>
        <v>0</v>
      </c>
      <c r="V23" s="228">
        <f t="shared" si="5"/>
        <v>0</v>
      </c>
      <c r="W23" s="228">
        <f t="shared" si="5"/>
        <v>0</v>
      </c>
      <c r="X23" s="228">
        <f t="shared" si="5"/>
        <v>0</v>
      </c>
      <c r="Y23" s="228">
        <f t="shared" si="5"/>
        <v>0</v>
      </c>
      <c r="Z23" s="228">
        <f t="shared" si="5"/>
        <v>0</v>
      </c>
      <c r="AA23" s="228">
        <f t="shared" si="5"/>
        <v>0</v>
      </c>
      <c r="AB23" s="228">
        <f t="shared" si="5"/>
        <v>0</v>
      </c>
      <c r="AC23" s="228">
        <f t="shared" si="5"/>
        <v>0</v>
      </c>
      <c r="AD23" s="228">
        <f t="shared" si="5"/>
        <v>0</v>
      </c>
      <c r="AE23" s="228">
        <f t="shared" si="5"/>
        <v>0</v>
      </c>
      <c r="AF23" s="228">
        <f t="shared" si="5"/>
        <v>0</v>
      </c>
      <c r="AG23" s="228">
        <f t="shared" si="5"/>
        <v>0</v>
      </c>
      <c r="AH23" s="420">
        <f t="shared" si="5"/>
        <v>17616</v>
      </c>
      <c r="AI23" s="429"/>
    </row>
    <row r="24" spans="1:35" x14ac:dyDescent="0.3">
      <c r="A24" s="205" t="s">
        <v>150</v>
      </c>
      <c r="B24" s="252" t="s">
        <v>3</v>
      </c>
      <c r="C24" s="430" t="s">
        <v>161</v>
      </c>
      <c r="D24" s="404"/>
      <c r="E24" s="405"/>
      <c r="F24" s="405" t="s">
        <v>162</v>
      </c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5"/>
      <c r="Z24" s="405"/>
      <c r="AA24" s="405"/>
      <c r="AB24" s="405"/>
      <c r="AC24" s="405"/>
      <c r="AD24" s="405"/>
      <c r="AE24" s="405"/>
      <c r="AF24" s="405"/>
      <c r="AG24" s="405"/>
      <c r="AH24" s="425" t="s">
        <v>163</v>
      </c>
      <c r="AI24" s="429"/>
    </row>
    <row r="25" spans="1:35" x14ac:dyDescent="0.3">
      <c r="A25" s="206" t="s">
        <v>50</v>
      </c>
      <c r="B25" s="223">
        <f xml:space="preserve">
SUM(C25:AH25)</f>
        <v>2250</v>
      </c>
      <c r="C25" s="431">
        <f xml:space="preserve">
IF($A$4&lt;=12,SUMIFS('ON Data'!H:H,'ON Data'!$D:$D,$A$4,'ON Data'!$E:$E,10),SUMIFS('ON Data'!H:H,'ON Data'!$E:$E,10))</f>
        <v>0</v>
      </c>
      <c r="D25" s="406"/>
      <c r="E25" s="407"/>
      <c r="F25" s="407">
        <f xml:space="preserve">
IF($A$4&lt;=12,SUMIFS('ON Data'!K:K,'ON Data'!$D:$D,$A$4,'ON Data'!$E:$E,10),SUMIFS('ON Data'!K:K,'ON Data'!$E:$E,10))</f>
        <v>2250</v>
      </c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26">
        <f xml:space="preserve">
IF($A$4&lt;=12,SUMIFS('ON Data'!AN:AN,'ON Data'!$D:$D,$A$4,'ON Data'!$E:$E,10),SUMIFS('ON Data'!AN:AN,'ON Data'!$E:$E,10))</f>
        <v>0</v>
      </c>
      <c r="AI25" s="429"/>
    </row>
    <row r="26" spans="1:35" x14ac:dyDescent="0.3">
      <c r="A26" s="212" t="s">
        <v>160</v>
      </c>
      <c r="B26" s="232">
        <f xml:space="preserve">
SUM(C26:AH26)</f>
        <v>4166.666666666667</v>
      </c>
      <c r="C26" s="431">
        <f xml:space="preserve">
IF($A$4&lt;=12,SUMIFS('ON Data'!H:H,'ON Data'!$D:$D,$A$4,'ON Data'!$E:$E,11),SUMIFS('ON Data'!H:H,'ON Data'!$E:$E,11))</f>
        <v>0</v>
      </c>
      <c r="D26" s="406"/>
      <c r="E26" s="407"/>
      <c r="F26" s="408">
        <f xml:space="preserve">
IF($A$4&lt;=12,SUMIFS('ON Data'!K:K,'ON Data'!$D:$D,$A$4,'ON Data'!$E:$E,11),SUMIFS('ON Data'!K:K,'ON Data'!$E:$E,11))</f>
        <v>4166.666666666667</v>
      </c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26">
        <f xml:space="preserve">
IF($A$4&lt;=12,SUMIFS('ON Data'!AN:AN,'ON Data'!$D:$D,$A$4,'ON Data'!$E:$E,11),SUMIFS('ON Data'!AN:AN,'ON Data'!$E:$E,11))</f>
        <v>0</v>
      </c>
      <c r="AI26" s="429"/>
    </row>
    <row r="27" spans="1:35" x14ac:dyDescent="0.3">
      <c r="A27" s="212" t="s">
        <v>52</v>
      </c>
      <c r="B27" s="253">
        <f xml:space="preserve">
IF(B26=0,0,B25/B26)</f>
        <v>0.53999999999999992</v>
      </c>
      <c r="C27" s="432">
        <f xml:space="preserve">
IF(C26=0,0,C25/C26)</f>
        <v>0</v>
      </c>
      <c r="D27" s="409"/>
      <c r="E27" s="410"/>
      <c r="F27" s="410">
        <f xml:space="preserve">
IF(F26=0,0,F25/F26)</f>
        <v>0.53999999999999992</v>
      </c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27">
        <f xml:space="preserve">
IF(AH26=0,0,AH25/AH26)</f>
        <v>0</v>
      </c>
      <c r="AI27" s="429"/>
    </row>
    <row r="28" spans="1:35" ht="15" thickBot="1" x14ac:dyDescent="0.35">
      <c r="A28" s="212" t="s">
        <v>159</v>
      </c>
      <c r="B28" s="232">
        <f xml:space="preserve">
SUM(C28:AH28)</f>
        <v>1916.666666666667</v>
      </c>
      <c r="C28" s="433">
        <f xml:space="preserve">
C26-C25</f>
        <v>0</v>
      </c>
      <c r="D28" s="411"/>
      <c r="E28" s="412"/>
      <c r="F28" s="412">
        <f xml:space="preserve">
F26-F25</f>
        <v>1916.666666666667</v>
      </c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28">
        <f xml:space="preserve">
AH26-AH25</f>
        <v>0</v>
      </c>
      <c r="AI28" s="429"/>
    </row>
    <row r="29" spans="1:35" x14ac:dyDescent="0.3">
      <c r="A29" s="213"/>
      <c r="B29" s="213"/>
      <c r="C29" s="214"/>
      <c r="D29" s="213"/>
      <c r="E29" s="213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3"/>
      <c r="AG29" s="213"/>
      <c r="AH29" s="213"/>
    </row>
    <row r="30" spans="1:35" x14ac:dyDescent="0.3">
      <c r="A30" s="85" t="s">
        <v>115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157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9" t="s">
        <v>154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</row>
    <row r="33" spans="1:1" x14ac:dyDescent="0.3">
      <c r="A33" s="251" t="s">
        <v>164</v>
      </c>
    </row>
    <row r="34" spans="1:1" x14ac:dyDescent="0.3">
      <c r="A34" s="251" t="s">
        <v>165</v>
      </c>
    </row>
    <row r="35" spans="1:1" x14ac:dyDescent="0.3">
      <c r="A35" s="251" t="s">
        <v>166</v>
      </c>
    </row>
    <row r="36" spans="1:1" x14ac:dyDescent="0.3">
      <c r="A36" s="251" t="s">
        <v>167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5"/>
  <sheetViews>
    <sheetView showGridLines="0" showRowColHeaders="0" workbookViewId="0"/>
  </sheetViews>
  <sheetFormatPr defaultRowHeight="14.4" x14ac:dyDescent="0.3"/>
  <cols>
    <col min="1" max="16384" width="8.88671875" style="192"/>
  </cols>
  <sheetData>
    <row r="1" spans="1:41" x14ac:dyDescent="0.3">
      <c r="A1" s="192" t="s">
        <v>354</v>
      </c>
    </row>
    <row r="2" spans="1:41" x14ac:dyDescent="0.3">
      <c r="A2" s="196" t="s">
        <v>233</v>
      </c>
    </row>
    <row r="3" spans="1:41" x14ac:dyDescent="0.3">
      <c r="A3" s="192" t="s">
        <v>124</v>
      </c>
      <c r="B3" s="217">
        <v>2015</v>
      </c>
      <c r="D3" s="193">
        <f>MAX(D5:D1048576)</f>
        <v>5</v>
      </c>
      <c r="F3" s="193">
        <f>SUMIF($E5:$E1048576,"&lt;10",F5:F1048576)</f>
        <v>902103</v>
      </c>
      <c r="G3" s="193">
        <f t="shared" ref="G3:AO3" si="0">SUMIF($E5:$E1048576,"&lt;10",G5:G1048576)</f>
        <v>0</v>
      </c>
      <c r="H3" s="193">
        <f t="shared" si="0"/>
        <v>0</v>
      </c>
      <c r="I3" s="193">
        <f t="shared" si="0"/>
        <v>0</v>
      </c>
      <c r="J3" s="193">
        <f t="shared" si="0"/>
        <v>0</v>
      </c>
      <c r="K3" s="193">
        <f t="shared" si="0"/>
        <v>0</v>
      </c>
      <c r="L3" s="193">
        <f t="shared" si="0"/>
        <v>0</v>
      </c>
      <c r="M3" s="193">
        <f t="shared" si="0"/>
        <v>0</v>
      </c>
      <c r="N3" s="193">
        <f t="shared" si="0"/>
        <v>0</v>
      </c>
      <c r="O3" s="193">
        <f t="shared" si="0"/>
        <v>0</v>
      </c>
      <c r="P3" s="193">
        <f t="shared" si="0"/>
        <v>0</v>
      </c>
      <c r="Q3" s="193">
        <f t="shared" si="0"/>
        <v>0</v>
      </c>
      <c r="R3" s="193">
        <f t="shared" si="0"/>
        <v>0</v>
      </c>
      <c r="S3" s="193">
        <f t="shared" si="0"/>
        <v>0</v>
      </c>
      <c r="T3" s="193">
        <f t="shared" si="0"/>
        <v>0</v>
      </c>
      <c r="U3" s="193">
        <f t="shared" si="0"/>
        <v>0</v>
      </c>
      <c r="V3" s="193">
        <f t="shared" si="0"/>
        <v>0</v>
      </c>
      <c r="W3" s="193">
        <f t="shared" si="0"/>
        <v>0</v>
      </c>
      <c r="X3" s="193">
        <f t="shared" si="0"/>
        <v>884487</v>
      </c>
      <c r="Y3" s="193">
        <f t="shared" si="0"/>
        <v>0</v>
      </c>
      <c r="Z3" s="193">
        <f t="shared" si="0"/>
        <v>0</v>
      </c>
      <c r="AA3" s="193">
        <f t="shared" si="0"/>
        <v>0</v>
      </c>
      <c r="AB3" s="193">
        <f t="shared" si="0"/>
        <v>0</v>
      </c>
      <c r="AC3" s="193">
        <f t="shared" si="0"/>
        <v>0</v>
      </c>
      <c r="AD3" s="193">
        <f t="shared" si="0"/>
        <v>0</v>
      </c>
      <c r="AE3" s="193">
        <f t="shared" si="0"/>
        <v>0</v>
      </c>
      <c r="AF3" s="193">
        <f t="shared" si="0"/>
        <v>0</v>
      </c>
      <c r="AG3" s="193">
        <f t="shared" si="0"/>
        <v>0</v>
      </c>
      <c r="AH3" s="193">
        <f t="shared" si="0"/>
        <v>0</v>
      </c>
      <c r="AI3" s="193">
        <f t="shared" si="0"/>
        <v>0</v>
      </c>
      <c r="AJ3" s="193">
        <f t="shared" si="0"/>
        <v>0</v>
      </c>
      <c r="AK3" s="193">
        <f t="shared" si="0"/>
        <v>0</v>
      </c>
      <c r="AL3" s="193">
        <f t="shared" si="0"/>
        <v>0</v>
      </c>
      <c r="AM3" s="193">
        <f t="shared" si="0"/>
        <v>0</v>
      </c>
      <c r="AN3" s="193">
        <f t="shared" si="0"/>
        <v>17616</v>
      </c>
      <c r="AO3" s="193">
        <f t="shared" si="0"/>
        <v>0</v>
      </c>
    </row>
    <row r="4" spans="1:41" x14ac:dyDescent="0.3">
      <c r="A4" s="192" t="s">
        <v>125</v>
      </c>
      <c r="B4" s="217">
        <v>1</v>
      </c>
      <c r="C4" s="194" t="s">
        <v>4</v>
      </c>
      <c r="D4" s="195" t="s">
        <v>44</v>
      </c>
      <c r="E4" s="195" t="s">
        <v>119</v>
      </c>
      <c r="F4" s="195" t="s">
        <v>3</v>
      </c>
      <c r="G4" s="195" t="s">
        <v>120</v>
      </c>
      <c r="H4" s="195" t="s">
        <v>121</v>
      </c>
      <c r="I4" s="195" t="s">
        <v>122</v>
      </c>
      <c r="J4" s="195" t="s">
        <v>123</v>
      </c>
      <c r="K4" s="195">
        <v>305</v>
      </c>
      <c r="L4" s="195">
        <v>306</v>
      </c>
      <c r="M4" s="195">
        <v>407</v>
      </c>
      <c r="N4" s="195">
        <v>408</v>
      </c>
      <c r="O4" s="195">
        <v>409</v>
      </c>
      <c r="P4" s="195">
        <v>410</v>
      </c>
      <c r="Q4" s="195">
        <v>415</v>
      </c>
      <c r="R4" s="195">
        <v>416</v>
      </c>
      <c r="S4" s="195">
        <v>418</v>
      </c>
      <c r="T4" s="195">
        <v>419</v>
      </c>
      <c r="U4" s="195">
        <v>420</v>
      </c>
      <c r="V4" s="195">
        <v>421</v>
      </c>
      <c r="W4" s="195">
        <v>522</v>
      </c>
      <c r="X4" s="195">
        <v>523</v>
      </c>
      <c r="Y4" s="195">
        <v>524</v>
      </c>
      <c r="Z4" s="195">
        <v>525</v>
      </c>
      <c r="AA4" s="195">
        <v>526</v>
      </c>
      <c r="AB4" s="195">
        <v>527</v>
      </c>
      <c r="AC4" s="195">
        <v>528</v>
      </c>
      <c r="AD4" s="195">
        <v>629</v>
      </c>
      <c r="AE4" s="195">
        <v>630</v>
      </c>
      <c r="AF4" s="195">
        <v>636</v>
      </c>
      <c r="AG4" s="195">
        <v>637</v>
      </c>
      <c r="AH4" s="195">
        <v>640</v>
      </c>
      <c r="AI4" s="195">
        <v>642</v>
      </c>
      <c r="AJ4" s="195">
        <v>743</v>
      </c>
      <c r="AK4" s="195">
        <v>745</v>
      </c>
      <c r="AL4" s="195">
        <v>746</v>
      </c>
      <c r="AM4" s="195">
        <v>747</v>
      </c>
      <c r="AN4" s="195">
        <v>930</v>
      </c>
      <c r="AO4" s="195">
        <v>940</v>
      </c>
    </row>
    <row r="5" spans="1:41" x14ac:dyDescent="0.3">
      <c r="A5" s="192" t="s">
        <v>126</v>
      </c>
      <c r="B5" s="217">
        <v>2</v>
      </c>
      <c r="C5" s="192">
        <v>36</v>
      </c>
      <c r="D5" s="192">
        <v>1</v>
      </c>
      <c r="E5" s="192">
        <v>1</v>
      </c>
      <c r="F5" s="192">
        <v>5</v>
      </c>
      <c r="G5" s="192">
        <v>0</v>
      </c>
      <c r="H5" s="192">
        <v>0</v>
      </c>
      <c r="I5" s="192">
        <v>0</v>
      </c>
      <c r="J5" s="192">
        <v>0</v>
      </c>
      <c r="K5" s="192">
        <v>0</v>
      </c>
      <c r="L5" s="192">
        <v>0</v>
      </c>
      <c r="M5" s="192">
        <v>0</v>
      </c>
      <c r="N5" s="192">
        <v>0</v>
      </c>
      <c r="O5" s="192">
        <v>0</v>
      </c>
      <c r="P5" s="192">
        <v>0</v>
      </c>
      <c r="Q5" s="192">
        <v>0</v>
      </c>
      <c r="R5" s="192">
        <v>0</v>
      </c>
      <c r="S5" s="192">
        <v>0</v>
      </c>
      <c r="T5" s="192">
        <v>0</v>
      </c>
      <c r="U5" s="192">
        <v>0</v>
      </c>
      <c r="V5" s="192">
        <v>0</v>
      </c>
      <c r="W5" s="192">
        <v>0</v>
      </c>
      <c r="X5" s="192">
        <v>5</v>
      </c>
      <c r="Y5" s="192">
        <v>0</v>
      </c>
      <c r="Z5" s="192">
        <v>0</v>
      </c>
      <c r="AA5" s="192">
        <v>0</v>
      </c>
      <c r="AB5" s="192">
        <v>0</v>
      </c>
      <c r="AC5" s="192">
        <v>0</v>
      </c>
      <c r="AD5" s="192">
        <v>0</v>
      </c>
      <c r="AE5" s="192">
        <v>0</v>
      </c>
      <c r="AF5" s="192">
        <v>0</v>
      </c>
      <c r="AG5" s="192">
        <v>0</v>
      </c>
      <c r="AH5" s="192">
        <v>0</v>
      </c>
      <c r="AI5" s="192">
        <v>0</v>
      </c>
      <c r="AJ5" s="192">
        <v>0</v>
      </c>
      <c r="AK5" s="192">
        <v>0</v>
      </c>
      <c r="AL5" s="192">
        <v>0</v>
      </c>
      <c r="AM5" s="192">
        <v>0</v>
      </c>
      <c r="AN5" s="192">
        <v>0</v>
      </c>
      <c r="AO5" s="192">
        <v>0</v>
      </c>
    </row>
    <row r="6" spans="1:41" x14ac:dyDescent="0.3">
      <c r="A6" s="192" t="s">
        <v>127</v>
      </c>
      <c r="B6" s="217">
        <v>3</v>
      </c>
      <c r="C6" s="192">
        <v>36</v>
      </c>
      <c r="D6" s="192">
        <v>1</v>
      </c>
      <c r="E6" s="192">
        <v>2</v>
      </c>
      <c r="F6" s="192">
        <v>880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880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2">
        <v>0</v>
      </c>
      <c r="AF6" s="192">
        <v>0</v>
      </c>
      <c r="AG6" s="192">
        <v>0</v>
      </c>
      <c r="AH6" s="192">
        <v>0</v>
      </c>
      <c r="AI6" s="192">
        <v>0</v>
      </c>
      <c r="AJ6" s="192">
        <v>0</v>
      </c>
      <c r="AK6" s="192">
        <v>0</v>
      </c>
      <c r="AL6" s="192">
        <v>0</v>
      </c>
      <c r="AM6" s="192">
        <v>0</v>
      </c>
      <c r="AN6" s="192">
        <v>0</v>
      </c>
      <c r="AO6" s="192">
        <v>0</v>
      </c>
    </row>
    <row r="7" spans="1:41" x14ac:dyDescent="0.3">
      <c r="A7" s="192" t="s">
        <v>128</v>
      </c>
      <c r="B7" s="217">
        <v>4</v>
      </c>
      <c r="C7" s="192">
        <v>36</v>
      </c>
      <c r="D7" s="192">
        <v>1</v>
      </c>
      <c r="E7" s="192">
        <v>6</v>
      </c>
      <c r="F7" s="192">
        <v>187860</v>
      </c>
      <c r="G7" s="192">
        <v>0</v>
      </c>
      <c r="H7" s="192">
        <v>0</v>
      </c>
      <c r="I7" s="192">
        <v>0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2">
        <v>0</v>
      </c>
      <c r="V7" s="192">
        <v>0</v>
      </c>
      <c r="W7" s="192">
        <v>0</v>
      </c>
      <c r="X7" s="192">
        <v>184500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2">
        <v>0</v>
      </c>
      <c r="AH7" s="192">
        <v>0</v>
      </c>
      <c r="AI7" s="192">
        <v>0</v>
      </c>
      <c r="AJ7" s="192">
        <v>0</v>
      </c>
      <c r="AK7" s="192">
        <v>0</v>
      </c>
      <c r="AL7" s="192">
        <v>0</v>
      </c>
      <c r="AM7" s="192">
        <v>0</v>
      </c>
      <c r="AN7" s="192">
        <v>3360</v>
      </c>
      <c r="AO7" s="192">
        <v>0</v>
      </c>
    </row>
    <row r="8" spans="1:41" x14ac:dyDescent="0.3">
      <c r="A8" s="192" t="s">
        <v>129</v>
      </c>
      <c r="B8" s="217">
        <v>5</v>
      </c>
      <c r="C8" s="192">
        <v>36</v>
      </c>
      <c r="D8" s="192">
        <v>1</v>
      </c>
      <c r="E8" s="192">
        <v>11</v>
      </c>
      <c r="F8" s="192">
        <v>833.33333333333337</v>
      </c>
      <c r="G8" s="192">
        <v>0</v>
      </c>
      <c r="H8" s="192">
        <v>0</v>
      </c>
      <c r="I8" s="192">
        <v>0</v>
      </c>
      <c r="J8" s="192">
        <v>0</v>
      </c>
      <c r="K8" s="192">
        <v>833.33333333333337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2">
        <v>0</v>
      </c>
      <c r="W8" s="192">
        <v>0</v>
      </c>
      <c r="X8" s="192">
        <v>0</v>
      </c>
      <c r="Y8" s="192">
        <v>0</v>
      </c>
      <c r="Z8" s="192">
        <v>0</v>
      </c>
      <c r="AA8" s="192">
        <v>0</v>
      </c>
      <c r="AB8" s="192">
        <v>0</v>
      </c>
      <c r="AC8" s="192">
        <v>0</v>
      </c>
      <c r="AD8" s="192">
        <v>0</v>
      </c>
      <c r="AE8" s="192">
        <v>0</v>
      </c>
      <c r="AF8" s="192">
        <v>0</v>
      </c>
      <c r="AG8" s="192">
        <v>0</v>
      </c>
      <c r="AH8" s="192">
        <v>0</v>
      </c>
      <c r="AI8" s="192">
        <v>0</v>
      </c>
      <c r="AJ8" s="192">
        <v>0</v>
      </c>
      <c r="AK8" s="192">
        <v>0</v>
      </c>
      <c r="AL8" s="192">
        <v>0</v>
      </c>
      <c r="AM8" s="192">
        <v>0</v>
      </c>
      <c r="AN8" s="192">
        <v>0</v>
      </c>
      <c r="AO8" s="192">
        <v>0</v>
      </c>
    </row>
    <row r="9" spans="1:41" x14ac:dyDescent="0.3">
      <c r="A9" s="192" t="s">
        <v>130</v>
      </c>
      <c r="B9" s="217">
        <v>6</v>
      </c>
      <c r="C9" s="192">
        <v>36</v>
      </c>
      <c r="D9" s="192">
        <v>2</v>
      </c>
      <c r="E9" s="192">
        <v>1</v>
      </c>
      <c r="F9" s="192">
        <v>5</v>
      </c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2">
        <v>0</v>
      </c>
      <c r="W9" s="192">
        <v>0</v>
      </c>
      <c r="X9" s="192">
        <v>5</v>
      </c>
      <c r="Y9" s="192">
        <v>0</v>
      </c>
      <c r="Z9" s="192">
        <v>0</v>
      </c>
      <c r="AA9" s="192">
        <v>0</v>
      </c>
      <c r="AB9" s="192">
        <v>0</v>
      </c>
      <c r="AC9" s="192">
        <v>0</v>
      </c>
      <c r="AD9" s="192">
        <v>0</v>
      </c>
      <c r="AE9" s="192">
        <v>0</v>
      </c>
      <c r="AF9" s="192">
        <v>0</v>
      </c>
      <c r="AG9" s="192">
        <v>0</v>
      </c>
      <c r="AH9" s="192">
        <v>0</v>
      </c>
      <c r="AI9" s="192">
        <v>0</v>
      </c>
      <c r="AJ9" s="192">
        <v>0</v>
      </c>
      <c r="AK9" s="192">
        <v>0</v>
      </c>
      <c r="AL9" s="192">
        <v>0</v>
      </c>
      <c r="AM9" s="192">
        <v>0</v>
      </c>
      <c r="AN9" s="192">
        <v>0</v>
      </c>
      <c r="AO9" s="192">
        <v>0</v>
      </c>
    </row>
    <row r="10" spans="1:41" x14ac:dyDescent="0.3">
      <c r="A10" s="192" t="s">
        <v>131</v>
      </c>
      <c r="B10" s="217">
        <v>7</v>
      </c>
      <c r="C10" s="192">
        <v>36</v>
      </c>
      <c r="D10" s="192">
        <v>2</v>
      </c>
      <c r="E10" s="192">
        <v>2</v>
      </c>
      <c r="F10" s="192">
        <v>736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736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  <c r="AD10" s="192">
        <v>0</v>
      </c>
      <c r="AE10" s="192">
        <v>0</v>
      </c>
      <c r="AF10" s="192">
        <v>0</v>
      </c>
      <c r="AG10" s="192">
        <v>0</v>
      </c>
      <c r="AH10" s="192">
        <v>0</v>
      </c>
      <c r="AI10" s="192">
        <v>0</v>
      </c>
      <c r="AJ10" s="192">
        <v>0</v>
      </c>
      <c r="AK10" s="192">
        <v>0</v>
      </c>
      <c r="AL10" s="192">
        <v>0</v>
      </c>
      <c r="AM10" s="192">
        <v>0</v>
      </c>
      <c r="AN10" s="192">
        <v>0</v>
      </c>
      <c r="AO10" s="192">
        <v>0</v>
      </c>
    </row>
    <row r="11" spans="1:41" x14ac:dyDescent="0.3">
      <c r="A11" s="192" t="s">
        <v>132</v>
      </c>
      <c r="B11" s="217">
        <v>8</v>
      </c>
      <c r="C11" s="192">
        <v>36</v>
      </c>
      <c r="D11" s="192">
        <v>2</v>
      </c>
      <c r="E11" s="192">
        <v>6</v>
      </c>
      <c r="F11" s="192">
        <v>187424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183912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>
        <v>0</v>
      </c>
      <c r="AE11" s="192">
        <v>0</v>
      </c>
      <c r="AF11" s="192">
        <v>0</v>
      </c>
      <c r="AG11" s="192">
        <v>0</v>
      </c>
      <c r="AH11" s="192">
        <v>0</v>
      </c>
      <c r="AI11" s="192">
        <v>0</v>
      </c>
      <c r="AJ11" s="192">
        <v>0</v>
      </c>
      <c r="AK11" s="192">
        <v>0</v>
      </c>
      <c r="AL11" s="192">
        <v>0</v>
      </c>
      <c r="AM11" s="192">
        <v>0</v>
      </c>
      <c r="AN11" s="192">
        <v>3512</v>
      </c>
      <c r="AO11" s="192">
        <v>0</v>
      </c>
    </row>
    <row r="12" spans="1:41" x14ac:dyDescent="0.3">
      <c r="A12" s="192" t="s">
        <v>133</v>
      </c>
      <c r="B12" s="217">
        <v>9</v>
      </c>
      <c r="C12" s="192">
        <v>36</v>
      </c>
      <c r="D12" s="192">
        <v>2</v>
      </c>
      <c r="E12" s="192">
        <v>10</v>
      </c>
      <c r="F12" s="192">
        <v>2250</v>
      </c>
      <c r="G12" s="192">
        <v>0</v>
      </c>
      <c r="H12" s="192">
        <v>0</v>
      </c>
      <c r="I12" s="192">
        <v>0</v>
      </c>
      <c r="J12" s="192">
        <v>0</v>
      </c>
      <c r="K12" s="192">
        <v>2250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>
        <v>0</v>
      </c>
      <c r="AE12" s="192">
        <v>0</v>
      </c>
      <c r="AF12" s="192">
        <v>0</v>
      </c>
      <c r="AG12" s="192">
        <v>0</v>
      </c>
      <c r="AH12" s="192">
        <v>0</v>
      </c>
      <c r="AI12" s="192">
        <v>0</v>
      </c>
      <c r="AJ12" s="192">
        <v>0</v>
      </c>
      <c r="AK12" s="192">
        <v>0</v>
      </c>
      <c r="AL12" s="192">
        <v>0</v>
      </c>
      <c r="AM12" s="192">
        <v>0</v>
      </c>
      <c r="AN12" s="192">
        <v>0</v>
      </c>
      <c r="AO12" s="192">
        <v>0</v>
      </c>
    </row>
    <row r="13" spans="1:41" x14ac:dyDescent="0.3">
      <c r="A13" s="192" t="s">
        <v>134</v>
      </c>
      <c r="B13" s="217">
        <v>10</v>
      </c>
      <c r="C13" s="192">
        <v>36</v>
      </c>
      <c r="D13" s="192">
        <v>2</v>
      </c>
      <c r="E13" s="192">
        <v>11</v>
      </c>
      <c r="F13" s="192">
        <v>833.33333333333337</v>
      </c>
      <c r="G13" s="192">
        <v>0</v>
      </c>
      <c r="H13" s="192">
        <v>0</v>
      </c>
      <c r="I13" s="192">
        <v>0</v>
      </c>
      <c r="J13" s="192">
        <v>0</v>
      </c>
      <c r="K13" s="192">
        <v>833.33333333333337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>
        <v>0</v>
      </c>
      <c r="AE13" s="192">
        <v>0</v>
      </c>
      <c r="AF13" s="192">
        <v>0</v>
      </c>
      <c r="AG13" s="192">
        <v>0</v>
      </c>
      <c r="AH13" s="192">
        <v>0</v>
      </c>
      <c r="AI13" s="192">
        <v>0</v>
      </c>
      <c r="AJ13" s="192">
        <v>0</v>
      </c>
      <c r="AK13" s="192">
        <v>0</v>
      </c>
      <c r="AL13" s="192">
        <v>0</v>
      </c>
      <c r="AM13" s="192">
        <v>0</v>
      </c>
      <c r="AN13" s="192">
        <v>0</v>
      </c>
      <c r="AO13" s="192">
        <v>0</v>
      </c>
    </row>
    <row r="14" spans="1:41" x14ac:dyDescent="0.3">
      <c r="A14" s="192" t="s">
        <v>135</v>
      </c>
      <c r="B14" s="217">
        <v>11</v>
      </c>
      <c r="C14" s="192">
        <v>36</v>
      </c>
      <c r="D14" s="192">
        <v>3</v>
      </c>
      <c r="E14" s="192">
        <v>1</v>
      </c>
      <c r="F14" s="192">
        <v>5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5</v>
      </c>
      <c r="Y14" s="192">
        <v>0</v>
      </c>
      <c r="Z14" s="192">
        <v>0</v>
      </c>
      <c r="AA14" s="192">
        <v>0</v>
      </c>
      <c r="AB14" s="192">
        <v>0</v>
      </c>
      <c r="AC14" s="192">
        <v>0</v>
      </c>
      <c r="AD14" s="192">
        <v>0</v>
      </c>
      <c r="AE14" s="192">
        <v>0</v>
      </c>
      <c r="AF14" s="192">
        <v>0</v>
      </c>
      <c r="AG14" s="192">
        <v>0</v>
      </c>
      <c r="AH14" s="192">
        <v>0</v>
      </c>
      <c r="AI14" s="192">
        <v>0</v>
      </c>
      <c r="AJ14" s="192">
        <v>0</v>
      </c>
      <c r="AK14" s="192">
        <v>0</v>
      </c>
      <c r="AL14" s="192">
        <v>0</v>
      </c>
      <c r="AM14" s="192">
        <v>0</v>
      </c>
      <c r="AN14" s="192">
        <v>0</v>
      </c>
      <c r="AO14" s="192">
        <v>0</v>
      </c>
    </row>
    <row r="15" spans="1:41" x14ac:dyDescent="0.3">
      <c r="A15" s="192" t="s">
        <v>136</v>
      </c>
      <c r="B15" s="217">
        <v>12</v>
      </c>
      <c r="C15" s="192">
        <v>36</v>
      </c>
      <c r="D15" s="192">
        <v>3</v>
      </c>
      <c r="E15" s="192">
        <v>2</v>
      </c>
      <c r="F15" s="192">
        <v>800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800</v>
      </c>
      <c r="Y15" s="192">
        <v>0</v>
      </c>
      <c r="Z15" s="192">
        <v>0</v>
      </c>
      <c r="AA15" s="192">
        <v>0</v>
      </c>
      <c r="AB15" s="192">
        <v>0</v>
      </c>
      <c r="AC15" s="192">
        <v>0</v>
      </c>
      <c r="AD15" s="192">
        <v>0</v>
      </c>
      <c r="AE15" s="192">
        <v>0</v>
      </c>
      <c r="AF15" s="192">
        <v>0</v>
      </c>
      <c r="AG15" s="192">
        <v>0</v>
      </c>
      <c r="AH15" s="192">
        <v>0</v>
      </c>
      <c r="AI15" s="192">
        <v>0</v>
      </c>
      <c r="AJ15" s="192">
        <v>0</v>
      </c>
      <c r="AK15" s="192">
        <v>0</v>
      </c>
      <c r="AL15" s="192">
        <v>0</v>
      </c>
      <c r="AM15" s="192">
        <v>0</v>
      </c>
      <c r="AN15" s="192">
        <v>0</v>
      </c>
      <c r="AO15" s="192">
        <v>0</v>
      </c>
    </row>
    <row r="16" spans="1:41" x14ac:dyDescent="0.3">
      <c r="A16" s="192" t="s">
        <v>124</v>
      </c>
      <c r="B16" s="217">
        <v>2015</v>
      </c>
      <c r="C16" s="192">
        <v>36</v>
      </c>
      <c r="D16" s="192">
        <v>3</v>
      </c>
      <c r="E16" s="192">
        <v>6</v>
      </c>
      <c r="F16" s="192">
        <v>176492</v>
      </c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2">
        <v>0</v>
      </c>
      <c r="W16" s="192">
        <v>0</v>
      </c>
      <c r="X16" s="192">
        <v>172796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2">
        <v>0</v>
      </c>
      <c r="AH16" s="192">
        <v>0</v>
      </c>
      <c r="AI16" s="192">
        <v>0</v>
      </c>
      <c r="AJ16" s="192">
        <v>0</v>
      </c>
      <c r="AK16" s="192">
        <v>0</v>
      </c>
      <c r="AL16" s="192">
        <v>0</v>
      </c>
      <c r="AM16" s="192">
        <v>0</v>
      </c>
      <c r="AN16" s="192">
        <v>3696</v>
      </c>
      <c r="AO16" s="192">
        <v>0</v>
      </c>
    </row>
    <row r="17" spans="3:41" x14ac:dyDescent="0.3">
      <c r="C17" s="192">
        <v>36</v>
      </c>
      <c r="D17" s="192">
        <v>3</v>
      </c>
      <c r="E17" s="192">
        <v>11</v>
      </c>
      <c r="F17" s="192">
        <v>833.33333333333337</v>
      </c>
      <c r="G17" s="192">
        <v>0</v>
      </c>
      <c r="H17" s="192">
        <v>0</v>
      </c>
      <c r="I17" s="192">
        <v>0</v>
      </c>
      <c r="J17" s="192">
        <v>0</v>
      </c>
      <c r="K17" s="192">
        <v>833.33333333333337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2">
        <v>0</v>
      </c>
      <c r="W17" s="192">
        <v>0</v>
      </c>
      <c r="X17" s="192">
        <v>0</v>
      </c>
      <c r="Y17" s="192">
        <v>0</v>
      </c>
      <c r="Z17" s="192">
        <v>0</v>
      </c>
      <c r="AA17" s="192">
        <v>0</v>
      </c>
      <c r="AB17" s="192">
        <v>0</v>
      </c>
      <c r="AC17" s="192">
        <v>0</v>
      </c>
      <c r="AD17" s="192">
        <v>0</v>
      </c>
      <c r="AE17" s="192">
        <v>0</v>
      </c>
      <c r="AF17" s="192">
        <v>0</v>
      </c>
      <c r="AG17" s="192">
        <v>0</v>
      </c>
      <c r="AH17" s="192">
        <v>0</v>
      </c>
      <c r="AI17" s="192">
        <v>0</v>
      </c>
      <c r="AJ17" s="192">
        <v>0</v>
      </c>
      <c r="AK17" s="192">
        <v>0</v>
      </c>
      <c r="AL17" s="192">
        <v>0</v>
      </c>
      <c r="AM17" s="192">
        <v>0</v>
      </c>
      <c r="AN17" s="192">
        <v>0</v>
      </c>
      <c r="AO17" s="192">
        <v>0</v>
      </c>
    </row>
    <row r="18" spans="3:41" x14ac:dyDescent="0.3">
      <c r="C18" s="192">
        <v>36</v>
      </c>
      <c r="D18" s="192">
        <v>4</v>
      </c>
      <c r="E18" s="192">
        <v>1</v>
      </c>
      <c r="F18" s="192">
        <v>5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92">
        <v>0</v>
      </c>
      <c r="U18" s="192">
        <v>0</v>
      </c>
      <c r="V18" s="192">
        <v>0</v>
      </c>
      <c r="W18" s="192">
        <v>0</v>
      </c>
      <c r="X18" s="192">
        <v>5</v>
      </c>
      <c r="Y18" s="192">
        <v>0</v>
      </c>
      <c r="Z18" s="192">
        <v>0</v>
      </c>
      <c r="AA18" s="192">
        <v>0</v>
      </c>
      <c r="AB18" s="192">
        <v>0</v>
      </c>
      <c r="AC18" s="192">
        <v>0</v>
      </c>
      <c r="AD18" s="192">
        <v>0</v>
      </c>
      <c r="AE18" s="192">
        <v>0</v>
      </c>
      <c r="AF18" s="192">
        <v>0</v>
      </c>
      <c r="AG18" s="192">
        <v>0</v>
      </c>
      <c r="AH18" s="192">
        <v>0</v>
      </c>
      <c r="AI18" s="192">
        <v>0</v>
      </c>
      <c r="AJ18" s="192">
        <v>0</v>
      </c>
      <c r="AK18" s="192">
        <v>0</v>
      </c>
      <c r="AL18" s="192">
        <v>0</v>
      </c>
      <c r="AM18" s="192">
        <v>0</v>
      </c>
      <c r="AN18" s="192">
        <v>0</v>
      </c>
      <c r="AO18" s="192">
        <v>0</v>
      </c>
    </row>
    <row r="19" spans="3:41" x14ac:dyDescent="0.3">
      <c r="C19" s="192">
        <v>36</v>
      </c>
      <c r="D19" s="192">
        <v>4</v>
      </c>
      <c r="E19" s="192">
        <v>2</v>
      </c>
      <c r="F19" s="192">
        <v>848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2">
        <v>0</v>
      </c>
      <c r="W19" s="192">
        <v>0</v>
      </c>
      <c r="X19" s="192">
        <v>848</v>
      </c>
      <c r="Y19" s="192">
        <v>0</v>
      </c>
      <c r="Z19" s="192">
        <v>0</v>
      </c>
      <c r="AA19" s="192">
        <v>0</v>
      </c>
      <c r="AB19" s="192">
        <v>0</v>
      </c>
      <c r="AC19" s="192">
        <v>0</v>
      </c>
      <c r="AD19" s="192">
        <v>0</v>
      </c>
      <c r="AE19" s="192">
        <v>0</v>
      </c>
      <c r="AF19" s="192">
        <v>0</v>
      </c>
      <c r="AG19" s="192">
        <v>0</v>
      </c>
      <c r="AH19" s="192">
        <v>0</v>
      </c>
      <c r="AI19" s="192">
        <v>0</v>
      </c>
      <c r="AJ19" s="192">
        <v>0</v>
      </c>
      <c r="AK19" s="192">
        <v>0</v>
      </c>
      <c r="AL19" s="192">
        <v>0</v>
      </c>
      <c r="AM19" s="192">
        <v>0</v>
      </c>
      <c r="AN19" s="192">
        <v>0</v>
      </c>
      <c r="AO19" s="192">
        <v>0</v>
      </c>
    </row>
    <row r="20" spans="3:41" x14ac:dyDescent="0.3">
      <c r="C20" s="192">
        <v>36</v>
      </c>
      <c r="D20" s="192">
        <v>4</v>
      </c>
      <c r="E20" s="192">
        <v>6</v>
      </c>
      <c r="F20" s="192">
        <v>188568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185040</v>
      </c>
      <c r="Y20" s="192">
        <v>0</v>
      </c>
      <c r="Z20" s="192">
        <v>0</v>
      </c>
      <c r="AA20" s="192">
        <v>0</v>
      </c>
      <c r="AB20" s="192">
        <v>0</v>
      </c>
      <c r="AC20" s="192">
        <v>0</v>
      </c>
      <c r="AD20" s="192">
        <v>0</v>
      </c>
      <c r="AE20" s="192">
        <v>0</v>
      </c>
      <c r="AF20" s="192">
        <v>0</v>
      </c>
      <c r="AG20" s="192">
        <v>0</v>
      </c>
      <c r="AH20" s="192">
        <v>0</v>
      </c>
      <c r="AI20" s="192">
        <v>0</v>
      </c>
      <c r="AJ20" s="192">
        <v>0</v>
      </c>
      <c r="AK20" s="192">
        <v>0</v>
      </c>
      <c r="AL20" s="192">
        <v>0</v>
      </c>
      <c r="AM20" s="192">
        <v>0</v>
      </c>
      <c r="AN20" s="192">
        <v>3528</v>
      </c>
      <c r="AO20" s="192">
        <v>0</v>
      </c>
    </row>
    <row r="21" spans="3:41" x14ac:dyDescent="0.3">
      <c r="C21" s="192">
        <v>36</v>
      </c>
      <c r="D21" s="192">
        <v>4</v>
      </c>
      <c r="E21" s="192">
        <v>11</v>
      </c>
      <c r="F21" s="192">
        <v>833.33333333333337</v>
      </c>
      <c r="G21" s="192">
        <v>0</v>
      </c>
      <c r="H21" s="192">
        <v>0</v>
      </c>
      <c r="I21" s="192">
        <v>0</v>
      </c>
      <c r="J21" s="192">
        <v>0</v>
      </c>
      <c r="K21" s="192">
        <v>833.33333333333337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>
        <v>0</v>
      </c>
      <c r="AE21" s="192">
        <v>0</v>
      </c>
      <c r="AF21" s="192">
        <v>0</v>
      </c>
      <c r="AG21" s="192">
        <v>0</v>
      </c>
      <c r="AH21" s="192">
        <v>0</v>
      </c>
      <c r="AI21" s="192">
        <v>0</v>
      </c>
      <c r="AJ21" s="192">
        <v>0</v>
      </c>
      <c r="AK21" s="192">
        <v>0</v>
      </c>
      <c r="AL21" s="192">
        <v>0</v>
      </c>
      <c r="AM21" s="192">
        <v>0</v>
      </c>
      <c r="AN21" s="192">
        <v>0</v>
      </c>
      <c r="AO21" s="192">
        <v>0</v>
      </c>
    </row>
    <row r="22" spans="3:41" x14ac:dyDescent="0.3">
      <c r="C22" s="192">
        <v>36</v>
      </c>
      <c r="D22" s="192">
        <v>5</v>
      </c>
      <c r="E22" s="192">
        <v>1</v>
      </c>
      <c r="F22" s="192">
        <v>5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5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0</v>
      </c>
      <c r="AO22" s="192">
        <v>0</v>
      </c>
    </row>
    <row r="23" spans="3:41" x14ac:dyDescent="0.3">
      <c r="C23" s="192">
        <v>36</v>
      </c>
      <c r="D23" s="192">
        <v>5</v>
      </c>
      <c r="E23" s="192">
        <v>2</v>
      </c>
      <c r="F23" s="192">
        <v>696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696</v>
      </c>
      <c r="Y23" s="192">
        <v>0</v>
      </c>
      <c r="Z23" s="192">
        <v>0</v>
      </c>
      <c r="AA23" s="192">
        <v>0</v>
      </c>
      <c r="AB23" s="192">
        <v>0</v>
      </c>
      <c r="AC23" s="192">
        <v>0</v>
      </c>
      <c r="AD23" s="192">
        <v>0</v>
      </c>
      <c r="AE23" s="192">
        <v>0</v>
      </c>
      <c r="AF23" s="192">
        <v>0</v>
      </c>
      <c r="AG23" s="192">
        <v>0</v>
      </c>
      <c r="AH23" s="192">
        <v>0</v>
      </c>
      <c r="AI23" s="192">
        <v>0</v>
      </c>
      <c r="AJ23" s="192">
        <v>0</v>
      </c>
      <c r="AK23" s="192">
        <v>0</v>
      </c>
      <c r="AL23" s="192">
        <v>0</v>
      </c>
      <c r="AM23" s="192">
        <v>0</v>
      </c>
      <c r="AN23" s="192">
        <v>0</v>
      </c>
      <c r="AO23" s="192">
        <v>0</v>
      </c>
    </row>
    <row r="24" spans="3:41" x14ac:dyDescent="0.3">
      <c r="C24" s="192">
        <v>36</v>
      </c>
      <c r="D24" s="192">
        <v>5</v>
      </c>
      <c r="E24" s="192">
        <v>6</v>
      </c>
      <c r="F24" s="192">
        <v>157774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154254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3520</v>
      </c>
      <c r="AO24" s="192">
        <v>0</v>
      </c>
    </row>
    <row r="25" spans="3:41" x14ac:dyDescent="0.3">
      <c r="C25" s="192">
        <v>36</v>
      </c>
      <c r="D25" s="192">
        <v>5</v>
      </c>
      <c r="E25" s="192">
        <v>11</v>
      </c>
      <c r="F25" s="192">
        <v>833.33333333333337</v>
      </c>
      <c r="G25" s="192">
        <v>0</v>
      </c>
      <c r="H25" s="192">
        <v>0</v>
      </c>
      <c r="I25" s="192">
        <v>0</v>
      </c>
      <c r="J25" s="192">
        <v>0</v>
      </c>
      <c r="K25" s="192">
        <v>833.33333333333337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92">
        <v>0</v>
      </c>
      <c r="W25" s="192">
        <v>0</v>
      </c>
      <c r="X25" s="192">
        <v>0</v>
      </c>
      <c r="Y25" s="192">
        <v>0</v>
      </c>
      <c r="Z25" s="192">
        <v>0</v>
      </c>
      <c r="AA25" s="192">
        <v>0</v>
      </c>
      <c r="AB25" s="192">
        <v>0</v>
      </c>
      <c r="AC25" s="192">
        <v>0</v>
      </c>
      <c r="AD25" s="192">
        <v>0</v>
      </c>
      <c r="AE25" s="192">
        <v>0</v>
      </c>
      <c r="AF25" s="192">
        <v>0</v>
      </c>
      <c r="AG25" s="192">
        <v>0</v>
      </c>
      <c r="AH25" s="192">
        <v>0</v>
      </c>
      <c r="AI25" s="192">
        <v>0</v>
      </c>
      <c r="AJ25" s="192">
        <v>0</v>
      </c>
      <c r="AK25" s="192">
        <v>0</v>
      </c>
      <c r="AL25" s="192">
        <v>0</v>
      </c>
      <c r="AM25" s="192">
        <v>0</v>
      </c>
      <c r="AN25" s="192">
        <v>0</v>
      </c>
      <c r="AO25" s="19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328" t="s">
        <v>356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196" t="s">
        <v>233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2" t="s">
        <v>101</v>
      </c>
      <c r="B3" s="183">
        <f>SUBTOTAL(9,B6:B1048576)/2</f>
        <v>334470</v>
      </c>
      <c r="C3" s="184">
        <f t="shared" ref="C3:R3" si="0">SUBTOTAL(9,C6:C1048576)</f>
        <v>2</v>
      </c>
      <c r="D3" s="184">
        <f>SUBTOTAL(9,D6:D1048576)/2</f>
        <v>303507</v>
      </c>
      <c r="E3" s="184">
        <f t="shared" si="0"/>
        <v>1.81485335007624</v>
      </c>
      <c r="F3" s="184">
        <f>SUBTOTAL(9,F6:F1048576)/2</f>
        <v>352362.33</v>
      </c>
      <c r="G3" s="185">
        <f>IF(B3&lt;&gt;0,F3/B3,"")</f>
        <v>1.0534945735043502</v>
      </c>
      <c r="H3" s="186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0</v>
      </c>
      <c r="L3" s="184">
        <f t="shared" si="0"/>
        <v>0</v>
      </c>
      <c r="M3" s="187" t="str">
        <f>IF(H3&lt;&gt;0,L3/H3,"")</f>
        <v/>
      </c>
      <c r="N3" s="183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5" t="str">
        <f>IF(N3&lt;&gt;0,R3/N3,"")</f>
        <v/>
      </c>
    </row>
    <row r="4" spans="1:19" ht="14.4" customHeight="1" x14ac:dyDescent="0.3">
      <c r="A4" s="329" t="s">
        <v>232</v>
      </c>
      <c r="B4" s="330" t="s">
        <v>76</v>
      </c>
      <c r="C4" s="331"/>
      <c r="D4" s="331"/>
      <c r="E4" s="331"/>
      <c r="F4" s="331"/>
      <c r="G4" s="332"/>
      <c r="H4" s="330" t="s">
        <v>77</v>
      </c>
      <c r="I4" s="331"/>
      <c r="J4" s="331"/>
      <c r="K4" s="331"/>
      <c r="L4" s="331"/>
      <c r="M4" s="332"/>
      <c r="N4" s="330" t="s">
        <v>78</v>
      </c>
      <c r="O4" s="331"/>
      <c r="P4" s="331"/>
      <c r="Q4" s="331"/>
      <c r="R4" s="331"/>
      <c r="S4" s="332"/>
    </row>
    <row r="5" spans="1:19" ht="14.4" customHeight="1" thickBot="1" x14ac:dyDescent="0.35">
      <c r="A5" s="434"/>
      <c r="B5" s="435">
        <v>2013</v>
      </c>
      <c r="C5" s="436"/>
      <c r="D5" s="436">
        <v>2014</v>
      </c>
      <c r="E5" s="436"/>
      <c r="F5" s="436">
        <v>2015</v>
      </c>
      <c r="G5" s="437" t="s">
        <v>2</v>
      </c>
      <c r="H5" s="435">
        <v>2013</v>
      </c>
      <c r="I5" s="436"/>
      <c r="J5" s="436">
        <v>2014</v>
      </c>
      <c r="K5" s="436"/>
      <c r="L5" s="436">
        <v>2015</v>
      </c>
      <c r="M5" s="437" t="s">
        <v>2</v>
      </c>
      <c r="N5" s="435">
        <v>2013</v>
      </c>
      <c r="O5" s="436"/>
      <c r="P5" s="436">
        <v>2014</v>
      </c>
      <c r="Q5" s="436"/>
      <c r="R5" s="436">
        <v>2015</v>
      </c>
      <c r="S5" s="437" t="s">
        <v>2</v>
      </c>
    </row>
    <row r="6" spans="1:19" ht="14.4" customHeight="1" thickBot="1" x14ac:dyDescent="0.35">
      <c r="A6" s="440" t="s">
        <v>355</v>
      </c>
      <c r="B6" s="438">
        <v>334470</v>
      </c>
      <c r="C6" s="439">
        <v>1</v>
      </c>
      <c r="D6" s="438">
        <v>303507</v>
      </c>
      <c r="E6" s="439">
        <v>0.90742667503812002</v>
      </c>
      <c r="F6" s="438">
        <v>352362.33</v>
      </c>
      <c r="G6" s="264">
        <v>1.0534945735043502</v>
      </c>
      <c r="H6" s="438"/>
      <c r="I6" s="439"/>
      <c r="J6" s="438"/>
      <c r="K6" s="439"/>
      <c r="L6" s="438"/>
      <c r="M6" s="264"/>
      <c r="N6" s="438"/>
      <c r="O6" s="439"/>
      <c r="P6" s="438"/>
      <c r="Q6" s="439"/>
      <c r="R6" s="438"/>
      <c r="S6" s="265"/>
    </row>
    <row r="7" spans="1:19" ht="14.4" customHeight="1" thickBot="1" x14ac:dyDescent="0.35"/>
    <row r="8" spans="1:19" ht="14.4" customHeight="1" thickBot="1" x14ac:dyDescent="0.35">
      <c r="A8" s="440" t="s">
        <v>346</v>
      </c>
      <c r="B8" s="438">
        <v>334470</v>
      </c>
      <c r="C8" s="439">
        <v>1</v>
      </c>
      <c r="D8" s="438">
        <v>303507</v>
      </c>
      <c r="E8" s="439">
        <v>0.90742667503812002</v>
      </c>
      <c r="F8" s="438">
        <v>352362.33</v>
      </c>
      <c r="G8" s="264">
        <v>1.0534945735043502</v>
      </c>
      <c r="H8" s="438"/>
      <c r="I8" s="439"/>
      <c r="J8" s="438"/>
      <c r="K8" s="439"/>
      <c r="L8" s="438"/>
      <c r="M8" s="264"/>
      <c r="N8" s="438"/>
      <c r="O8" s="439"/>
      <c r="P8" s="438"/>
      <c r="Q8" s="439"/>
      <c r="R8" s="438"/>
      <c r="S8" s="265"/>
    </row>
    <row r="9" spans="1:19" ht="14.4" customHeight="1" x14ac:dyDescent="0.3">
      <c r="A9" s="441" t="s">
        <v>357</v>
      </c>
    </row>
    <row r="10" spans="1:19" ht="14.4" customHeight="1" x14ac:dyDescent="0.3">
      <c r="A10" s="442" t="s">
        <v>358</v>
      </c>
    </row>
    <row r="11" spans="1:19" ht="14.4" customHeight="1" x14ac:dyDescent="0.3">
      <c r="A11" s="441" t="s">
        <v>359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7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28" t="s">
        <v>363</v>
      </c>
      <c r="B1" s="286"/>
      <c r="C1" s="286"/>
      <c r="D1" s="286"/>
      <c r="E1" s="286"/>
      <c r="F1" s="286"/>
      <c r="G1" s="286"/>
    </row>
    <row r="2" spans="1:7" ht="14.4" customHeight="1" thickBot="1" x14ac:dyDescent="0.35">
      <c r="A2" s="196" t="s">
        <v>233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2" t="s">
        <v>101</v>
      </c>
      <c r="B3" s="276">
        <f t="shared" ref="B3:G3" si="0">SUBTOTAL(9,B6:B1048576)</f>
        <v>756</v>
      </c>
      <c r="C3" s="277">
        <f t="shared" si="0"/>
        <v>674</v>
      </c>
      <c r="D3" s="277">
        <f t="shared" si="0"/>
        <v>799</v>
      </c>
      <c r="E3" s="186">
        <f t="shared" si="0"/>
        <v>334470</v>
      </c>
      <c r="F3" s="184">
        <f t="shared" si="0"/>
        <v>303507</v>
      </c>
      <c r="G3" s="278">
        <f t="shared" si="0"/>
        <v>352362.33</v>
      </c>
    </row>
    <row r="4" spans="1:7" ht="14.4" customHeight="1" x14ac:dyDescent="0.3">
      <c r="A4" s="329" t="s">
        <v>102</v>
      </c>
      <c r="B4" s="330" t="s">
        <v>208</v>
      </c>
      <c r="C4" s="331"/>
      <c r="D4" s="331"/>
      <c r="E4" s="333" t="s">
        <v>76</v>
      </c>
      <c r="F4" s="334"/>
      <c r="G4" s="335"/>
    </row>
    <row r="5" spans="1:7" ht="14.4" customHeight="1" thickBot="1" x14ac:dyDescent="0.35">
      <c r="A5" s="434"/>
      <c r="B5" s="435">
        <v>2013</v>
      </c>
      <c r="C5" s="436">
        <v>2014</v>
      </c>
      <c r="D5" s="436">
        <v>2015</v>
      </c>
      <c r="E5" s="435">
        <v>2013</v>
      </c>
      <c r="F5" s="436">
        <v>2014</v>
      </c>
      <c r="G5" s="443">
        <v>2015</v>
      </c>
    </row>
    <row r="6" spans="1:7" ht="14.4" customHeight="1" x14ac:dyDescent="0.3">
      <c r="A6" s="387" t="s">
        <v>360</v>
      </c>
      <c r="B6" s="388">
        <v>733</v>
      </c>
      <c r="C6" s="388">
        <v>653</v>
      </c>
      <c r="D6" s="388">
        <v>799</v>
      </c>
      <c r="E6" s="445">
        <v>334470</v>
      </c>
      <c r="F6" s="445">
        <v>303507</v>
      </c>
      <c r="G6" s="446">
        <v>352362.33</v>
      </c>
    </row>
    <row r="7" spans="1:7" ht="14.4" customHeight="1" x14ac:dyDescent="0.3">
      <c r="A7" s="454" t="s">
        <v>361</v>
      </c>
      <c r="B7" s="448">
        <v>4</v>
      </c>
      <c r="C7" s="448">
        <v>3</v>
      </c>
      <c r="D7" s="448"/>
      <c r="E7" s="449">
        <v>0</v>
      </c>
      <c r="F7" s="449">
        <v>0</v>
      </c>
      <c r="G7" s="450"/>
    </row>
    <row r="8" spans="1:7" ht="14.4" customHeight="1" thickBot="1" x14ac:dyDescent="0.35">
      <c r="A8" s="455" t="s">
        <v>362</v>
      </c>
      <c r="B8" s="391">
        <v>19</v>
      </c>
      <c r="C8" s="391">
        <v>18</v>
      </c>
      <c r="D8" s="391"/>
      <c r="E8" s="452">
        <v>0</v>
      </c>
      <c r="F8" s="452">
        <v>0</v>
      </c>
      <c r="G8" s="453"/>
    </row>
    <row r="9" spans="1:7" ht="14.4" customHeight="1" x14ac:dyDescent="0.3">
      <c r="A9" s="441" t="s">
        <v>357</v>
      </c>
    </row>
    <row r="10" spans="1:7" ht="14.4" customHeight="1" x14ac:dyDescent="0.3">
      <c r="A10" s="442" t="s">
        <v>358</v>
      </c>
    </row>
    <row r="11" spans="1:7" ht="14.4" customHeight="1" x14ac:dyDescent="0.3">
      <c r="A11" s="441" t="s">
        <v>359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7" customWidth="1"/>
    <col min="7" max="8" width="9.33203125" style="102" hidden="1" customWidth="1"/>
    <col min="9" max="10" width="11.109375" style="177" customWidth="1"/>
    <col min="11" max="12" width="9.33203125" style="102" hidden="1" customWidth="1"/>
    <col min="13" max="14" width="11.109375" style="177" customWidth="1"/>
    <col min="15" max="15" width="11.109375" style="180" customWidth="1"/>
    <col min="16" max="16" width="11.109375" style="177" customWidth="1"/>
    <col min="17" max="16384" width="8.88671875" style="102"/>
  </cols>
  <sheetData>
    <row r="1" spans="1:16" ht="18.600000000000001" customHeight="1" thickBot="1" x14ac:dyDescent="0.4">
      <c r="A1" s="286" t="s">
        <v>382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 ht="14.4" customHeight="1" thickBot="1" x14ac:dyDescent="0.35">
      <c r="A2" s="196" t="s">
        <v>233</v>
      </c>
      <c r="B2" s="103"/>
      <c r="C2" s="275"/>
      <c r="D2" s="103"/>
      <c r="E2" s="190"/>
      <c r="F2" s="190"/>
      <c r="G2" s="103"/>
      <c r="H2" s="103"/>
      <c r="I2" s="190"/>
      <c r="J2" s="190"/>
      <c r="K2" s="103"/>
      <c r="L2" s="103"/>
      <c r="M2" s="190"/>
      <c r="N2" s="190"/>
      <c r="O2" s="191"/>
      <c r="P2" s="190"/>
    </row>
    <row r="3" spans="1:16" ht="14.4" customHeight="1" thickBot="1" x14ac:dyDescent="0.35">
      <c r="D3" s="62" t="s">
        <v>101</v>
      </c>
      <c r="E3" s="74">
        <f t="shared" ref="E3:N3" si="0">SUBTOTAL(9,E6:E1048576)</f>
        <v>756</v>
      </c>
      <c r="F3" s="75">
        <f t="shared" si="0"/>
        <v>334470</v>
      </c>
      <c r="G3" s="57"/>
      <c r="H3" s="57"/>
      <c r="I3" s="75">
        <f t="shared" si="0"/>
        <v>674</v>
      </c>
      <c r="J3" s="75">
        <f t="shared" si="0"/>
        <v>303507</v>
      </c>
      <c r="K3" s="57"/>
      <c r="L3" s="57"/>
      <c r="M3" s="75">
        <f t="shared" si="0"/>
        <v>799</v>
      </c>
      <c r="N3" s="75">
        <f t="shared" si="0"/>
        <v>352362.32999999996</v>
      </c>
      <c r="O3" s="58">
        <f>IF(F3=0,0,N3/F3)</f>
        <v>1.0534945735043499</v>
      </c>
      <c r="P3" s="76">
        <f>IF(M3=0,0,N3/M3)</f>
        <v>441.00416770963699</v>
      </c>
    </row>
    <row r="4" spans="1:16" ht="14.4" customHeight="1" x14ac:dyDescent="0.3">
      <c r="A4" s="337" t="s">
        <v>72</v>
      </c>
      <c r="B4" s="338" t="s">
        <v>73</v>
      </c>
      <c r="C4" s="343" t="s">
        <v>48</v>
      </c>
      <c r="D4" s="339" t="s">
        <v>47</v>
      </c>
      <c r="E4" s="340">
        <v>2013</v>
      </c>
      <c r="F4" s="341"/>
      <c r="G4" s="73"/>
      <c r="H4" s="73"/>
      <c r="I4" s="340">
        <v>2014</v>
      </c>
      <c r="J4" s="341"/>
      <c r="K4" s="73"/>
      <c r="L4" s="73"/>
      <c r="M4" s="340">
        <v>2015</v>
      </c>
      <c r="N4" s="341"/>
      <c r="O4" s="342" t="s">
        <v>2</v>
      </c>
      <c r="P4" s="336" t="s">
        <v>75</v>
      </c>
    </row>
    <row r="5" spans="1:16" ht="14.4" customHeight="1" thickBot="1" x14ac:dyDescent="0.35">
      <c r="A5" s="456"/>
      <c r="B5" s="457"/>
      <c r="C5" s="458"/>
      <c r="D5" s="459"/>
      <c r="E5" s="460" t="s">
        <v>49</v>
      </c>
      <c r="F5" s="461" t="s">
        <v>5</v>
      </c>
      <c r="G5" s="462"/>
      <c r="H5" s="462"/>
      <c r="I5" s="460" t="s">
        <v>49</v>
      </c>
      <c r="J5" s="461" t="s">
        <v>5</v>
      </c>
      <c r="K5" s="462"/>
      <c r="L5" s="462"/>
      <c r="M5" s="460" t="s">
        <v>49</v>
      </c>
      <c r="N5" s="461" t="s">
        <v>5</v>
      </c>
      <c r="O5" s="463"/>
      <c r="P5" s="464"/>
    </row>
    <row r="6" spans="1:16" ht="14.4" customHeight="1" x14ac:dyDescent="0.3">
      <c r="A6" s="444" t="s">
        <v>364</v>
      </c>
      <c r="B6" s="465" t="s">
        <v>365</v>
      </c>
      <c r="C6" s="465" t="s">
        <v>366</v>
      </c>
      <c r="D6" s="465" t="s">
        <v>367</v>
      </c>
      <c r="E6" s="388"/>
      <c r="F6" s="388"/>
      <c r="G6" s="465"/>
      <c r="H6" s="465"/>
      <c r="I6" s="388"/>
      <c r="J6" s="388"/>
      <c r="K6" s="465"/>
      <c r="L6" s="465"/>
      <c r="M6" s="388">
        <v>3</v>
      </c>
      <c r="N6" s="388">
        <v>105</v>
      </c>
      <c r="O6" s="389"/>
      <c r="P6" s="400">
        <v>35</v>
      </c>
    </row>
    <row r="7" spans="1:16" ht="14.4" customHeight="1" x14ac:dyDescent="0.3">
      <c r="A7" s="447" t="s">
        <v>364</v>
      </c>
      <c r="B7" s="466" t="s">
        <v>365</v>
      </c>
      <c r="C7" s="466" t="s">
        <v>368</v>
      </c>
      <c r="D7" s="466" t="s">
        <v>369</v>
      </c>
      <c r="E7" s="448">
        <v>42</v>
      </c>
      <c r="F7" s="448">
        <v>11088</v>
      </c>
      <c r="G7" s="466">
        <v>1</v>
      </c>
      <c r="H7" s="466">
        <v>264</v>
      </c>
      <c r="I7" s="448">
        <v>39</v>
      </c>
      <c r="J7" s="448">
        <v>10332</v>
      </c>
      <c r="K7" s="466">
        <v>0.93181818181818177</v>
      </c>
      <c r="L7" s="466">
        <v>264.92307692307691</v>
      </c>
      <c r="M7" s="448">
        <v>93</v>
      </c>
      <c r="N7" s="448">
        <v>24924</v>
      </c>
      <c r="O7" s="467">
        <v>2.247835497835498</v>
      </c>
      <c r="P7" s="468">
        <v>268</v>
      </c>
    </row>
    <row r="8" spans="1:16" ht="14.4" customHeight="1" x14ac:dyDescent="0.3">
      <c r="A8" s="447" t="s">
        <v>364</v>
      </c>
      <c r="B8" s="466" t="s">
        <v>365</v>
      </c>
      <c r="C8" s="466" t="s">
        <v>370</v>
      </c>
      <c r="D8" s="466" t="s">
        <v>371</v>
      </c>
      <c r="E8" s="448">
        <v>441</v>
      </c>
      <c r="F8" s="448">
        <v>225792</v>
      </c>
      <c r="G8" s="466">
        <v>1</v>
      </c>
      <c r="H8" s="466">
        <v>512</v>
      </c>
      <c r="I8" s="448">
        <v>434</v>
      </c>
      <c r="J8" s="448">
        <v>222988</v>
      </c>
      <c r="K8" s="466">
        <v>0.98758149092970526</v>
      </c>
      <c r="L8" s="466">
        <v>513.79723502304148</v>
      </c>
      <c r="M8" s="448">
        <v>439</v>
      </c>
      <c r="N8" s="448">
        <v>227402</v>
      </c>
      <c r="O8" s="467">
        <v>1.0071304563492063</v>
      </c>
      <c r="P8" s="468">
        <v>518</v>
      </c>
    </row>
    <row r="9" spans="1:16" ht="14.4" customHeight="1" x14ac:dyDescent="0.3">
      <c r="A9" s="447" t="s">
        <v>364</v>
      </c>
      <c r="B9" s="466" t="s">
        <v>365</v>
      </c>
      <c r="C9" s="466" t="s">
        <v>372</v>
      </c>
      <c r="D9" s="466" t="s">
        <v>373</v>
      </c>
      <c r="E9" s="448"/>
      <c r="F9" s="448"/>
      <c r="G9" s="466"/>
      <c r="H9" s="466"/>
      <c r="I9" s="448">
        <v>1</v>
      </c>
      <c r="J9" s="448">
        <v>0</v>
      </c>
      <c r="K9" s="466"/>
      <c r="L9" s="466">
        <v>0</v>
      </c>
      <c r="M9" s="448"/>
      <c r="N9" s="448"/>
      <c r="O9" s="467"/>
      <c r="P9" s="468"/>
    </row>
    <row r="10" spans="1:16" ht="14.4" customHeight="1" x14ac:dyDescent="0.3">
      <c r="A10" s="447" t="s">
        <v>364</v>
      </c>
      <c r="B10" s="466" t="s">
        <v>365</v>
      </c>
      <c r="C10" s="466" t="s">
        <v>374</v>
      </c>
      <c r="D10" s="466" t="s">
        <v>375</v>
      </c>
      <c r="E10" s="448">
        <v>23</v>
      </c>
      <c r="F10" s="448">
        <v>0</v>
      </c>
      <c r="G10" s="466"/>
      <c r="H10" s="466">
        <v>0</v>
      </c>
      <c r="I10" s="448">
        <v>21</v>
      </c>
      <c r="J10" s="448">
        <v>0</v>
      </c>
      <c r="K10" s="466"/>
      <c r="L10" s="466">
        <v>0</v>
      </c>
      <c r="M10" s="448">
        <v>6</v>
      </c>
      <c r="N10" s="448">
        <v>33.33</v>
      </c>
      <c r="O10" s="467"/>
      <c r="P10" s="468">
        <v>5.5549999999999997</v>
      </c>
    </row>
    <row r="11" spans="1:16" ht="14.4" customHeight="1" x14ac:dyDescent="0.3">
      <c r="A11" s="447" t="s">
        <v>364</v>
      </c>
      <c r="B11" s="466" t="s">
        <v>365</v>
      </c>
      <c r="C11" s="466" t="s">
        <v>376</v>
      </c>
      <c r="D11" s="466" t="s">
        <v>377</v>
      </c>
      <c r="E11" s="448">
        <v>25</v>
      </c>
      <c r="F11" s="448">
        <v>8625</v>
      </c>
      <c r="G11" s="466">
        <v>1</v>
      </c>
      <c r="H11" s="466">
        <v>345</v>
      </c>
      <c r="I11" s="448">
        <v>20</v>
      </c>
      <c r="J11" s="448">
        <v>6927</v>
      </c>
      <c r="K11" s="466">
        <v>0.8031304347826087</v>
      </c>
      <c r="L11" s="466">
        <v>346.35</v>
      </c>
      <c r="M11" s="448">
        <v>26</v>
      </c>
      <c r="N11" s="448">
        <v>9100</v>
      </c>
      <c r="O11" s="467">
        <v>1.0550724637681159</v>
      </c>
      <c r="P11" s="468">
        <v>350</v>
      </c>
    </row>
    <row r="12" spans="1:16" ht="14.4" customHeight="1" x14ac:dyDescent="0.3">
      <c r="A12" s="447" t="s">
        <v>364</v>
      </c>
      <c r="B12" s="466" t="s">
        <v>365</v>
      </c>
      <c r="C12" s="466" t="s">
        <v>378</v>
      </c>
      <c r="D12" s="466" t="s">
        <v>379</v>
      </c>
      <c r="E12" s="448">
        <v>224</v>
      </c>
      <c r="F12" s="448">
        <v>88704</v>
      </c>
      <c r="G12" s="466">
        <v>1</v>
      </c>
      <c r="H12" s="466">
        <v>396</v>
      </c>
      <c r="I12" s="448">
        <v>159</v>
      </c>
      <c r="J12" s="448">
        <v>63260</v>
      </c>
      <c r="K12" s="466">
        <v>0.71315836940836941</v>
      </c>
      <c r="L12" s="466">
        <v>397.86163522012578</v>
      </c>
      <c r="M12" s="448">
        <v>214</v>
      </c>
      <c r="N12" s="448">
        <v>86028</v>
      </c>
      <c r="O12" s="467">
        <v>0.96983225108225113</v>
      </c>
      <c r="P12" s="468">
        <v>402</v>
      </c>
    </row>
    <row r="13" spans="1:16" ht="14.4" customHeight="1" thickBot="1" x14ac:dyDescent="0.35">
      <c r="A13" s="451" t="s">
        <v>364</v>
      </c>
      <c r="B13" s="469" t="s">
        <v>365</v>
      </c>
      <c r="C13" s="469" t="s">
        <v>380</v>
      </c>
      <c r="D13" s="469" t="s">
        <v>381</v>
      </c>
      <c r="E13" s="391">
        <v>1</v>
      </c>
      <c r="F13" s="391">
        <v>261</v>
      </c>
      <c r="G13" s="469">
        <v>1</v>
      </c>
      <c r="H13" s="469">
        <v>261</v>
      </c>
      <c r="I13" s="391"/>
      <c r="J13" s="391"/>
      <c r="K13" s="469"/>
      <c r="L13" s="469"/>
      <c r="M13" s="391">
        <v>18</v>
      </c>
      <c r="N13" s="391">
        <v>4770</v>
      </c>
      <c r="O13" s="392">
        <v>18.275862068965516</v>
      </c>
      <c r="P13" s="401">
        <v>265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80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80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80" customWidth="1"/>
    <col min="20" max="16384" width="8.88671875" style="102"/>
  </cols>
  <sheetData>
    <row r="1" spans="1:19" ht="18.600000000000001" customHeight="1" thickBot="1" x14ac:dyDescent="0.4">
      <c r="A1" s="295" t="s">
        <v>100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4.4" customHeight="1" thickBot="1" x14ac:dyDescent="0.35">
      <c r="A2" s="196" t="s">
        <v>233</v>
      </c>
      <c r="B2" s="188"/>
      <c r="C2" s="83"/>
      <c r="D2" s="188"/>
      <c r="E2" s="83"/>
      <c r="F2" s="188"/>
      <c r="G2" s="189"/>
      <c r="H2" s="188"/>
      <c r="I2" s="83"/>
      <c r="J2" s="188"/>
      <c r="K2" s="83"/>
      <c r="L2" s="188"/>
      <c r="M2" s="189"/>
      <c r="N2" s="188"/>
      <c r="O2" s="83"/>
      <c r="P2" s="188"/>
      <c r="Q2" s="83"/>
      <c r="R2" s="188"/>
      <c r="S2" s="189"/>
    </row>
    <row r="3" spans="1:19" ht="14.4" customHeight="1" thickBot="1" x14ac:dyDescent="0.35">
      <c r="A3" s="182" t="s">
        <v>101</v>
      </c>
      <c r="B3" s="183">
        <f>SUBTOTAL(9,B6:B1048576)</f>
        <v>334583</v>
      </c>
      <c r="C3" s="184">
        <f t="shared" ref="C3:R3" si="0">SUBTOTAL(9,C6:C1048576)</f>
        <v>6</v>
      </c>
      <c r="D3" s="184">
        <f t="shared" si="0"/>
        <v>348453</v>
      </c>
      <c r="E3" s="184">
        <f t="shared" si="0"/>
        <v>4.3697056825987151</v>
      </c>
      <c r="F3" s="184">
        <f t="shared" si="0"/>
        <v>557900.96999999986</v>
      </c>
      <c r="G3" s="187">
        <f>IF(B3&lt;&gt;0,F3/B3,"")</f>
        <v>1.6674516338247904</v>
      </c>
      <c r="H3" s="183">
        <f t="shared" si="0"/>
        <v>0</v>
      </c>
      <c r="I3" s="184">
        <f t="shared" si="0"/>
        <v>0</v>
      </c>
      <c r="J3" s="184">
        <f t="shared" si="0"/>
        <v>0</v>
      </c>
      <c r="K3" s="184">
        <f t="shared" si="0"/>
        <v>0</v>
      </c>
      <c r="L3" s="184">
        <f t="shared" si="0"/>
        <v>0</v>
      </c>
      <c r="M3" s="185" t="str">
        <f>IF(H3&lt;&gt;0,L3/H3,"")</f>
        <v/>
      </c>
      <c r="N3" s="186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5" t="str">
        <f>IF(N3&lt;&gt;0,R3/N3,"")</f>
        <v/>
      </c>
    </row>
    <row r="4" spans="1:19" ht="14.4" customHeight="1" x14ac:dyDescent="0.3">
      <c r="A4" s="329" t="s">
        <v>82</v>
      </c>
      <c r="B4" s="330" t="s">
        <v>76</v>
      </c>
      <c r="C4" s="331"/>
      <c r="D4" s="331"/>
      <c r="E4" s="331"/>
      <c r="F4" s="331"/>
      <c r="G4" s="332"/>
      <c r="H4" s="330" t="s">
        <v>77</v>
      </c>
      <c r="I4" s="331"/>
      <c r="J4" s="331"/>
      <c r="K4" s="331"/>
      <c r="L4" s="331"/>
      <c r="M4" s="332"/>
      <c r="N4" s="330" t="s">
        <v>78</v>
      </c>
      <c r="O4" s="331"/>
      <c r="P4" s="331"/>
      <c r="Q4" s="331"/>
      <c r="R4" s="331"/>
      <c r="S4" s="332"/>
    </row>
    <row r="5" spans="1:19" ht="14.4" customHeight="1" thickBot="1" x14ac:dyDescent="0.35">
      <c r="A5" s="434"/>
      <c r="B5" s="435">
        <v>2013</v>
      </c>
      <c r="C5" s="436"/>
      <c r="D5" s="436">
        <v>2014</v>
      </c>
      <c r="E5" s="436"/>
      <c r="F5" s="436">
        <v>2015</v>
      </c>
      <c r="G5" s="437" t="s">
        <v>2</v>
      </c>
      <c r="H5" s="435">
        <v>2013</v>
      </c>
      <c r="I5" s="436"/>
      <c r="J5" s="436">
        <v>2014</v>
      </c>
      <c r="K5" s="436"/>
      <c r="L5" s="436">
        <v>2015</v>
      </c>
      <c r="M5" s="437" t="s">
        <v>2</v>
      </c>
      <c r="N5" s="435">
        <v>2013</v>
      </c>
      <c r="O5" s="436"/>
      <c r="P5" s="436">
        <v>2014</v>
      </c>
      <c r="Q5" s="436"/>
      <c r="R5" s="436">
        <v>2015</v>
      </c>
      <c r="S5" s="437" t="s">
        <v>2</v>
      </c>
    </row>
    <row r="6" spans="1:19" ht="14.4" customHeight="1" x14ac:dyDescent="0.3">
      <c r="A6" s="387" t="s">
        <v>383</v>
      </c>
      <c r="B6" s="445"/>
      <c r="C6" s="465"/>
      <c r="D6" s="445">
        <v>4953</v>
      </c>
      <c r="E6" s="465"/>
      <c r="F6" s="445">
        <v>5530</v>
      </c>
      <c r="G6" s="389"/>
      <c r="H6" s="445"/>
      <c r="I6" s="465"/>
      <c r="J6" s="445"/>
      <c r="K6" s="465"/>
      <c r="L6" s="445"/>
      <c r="M6" s="389"/>
      <c r="N6" s="445"/>
      <c r="O6" s="465"/>
      <c r="P6" s="445"/>
      <c r="Q6" s="465"/>
      <c r="R6" s="445"/>
      <c r="S6" s="390"/>
    </row>
    <row r="7" spans="1:19" ht="14.4" customHeight="1" x14ac:dyDescent="0.3">
      <c r="A7" s="454" t="s">
        <v>384</v>
      </c>
      <c r="B7" s="449">
        <v>1285</v>
      </c>
      <c r="C7" s="466">
        <v>1</v>
      </c>
      <c r="D7" s="449"/>
      <c r="E7" s="466"/>
      <c r="F7" s="449"/>
      <c r="G7" s="467"/>
      <c r="H7" s="449"/>
      <c r="I7" s="466"/>
      <c r="J7" s="449"/>
      <c r="K7" s="466"/>
      <c r="L7" s="449"/>
      <c r="M7" s="467"/>
      <c r="N7" s="449"/>
      <c r="O7" s="466"/>
      <c r="P7" s="449"/>
      <c r="Q7" s="466"/>
      <c r="R7" s="449"/>
      <c r="S7" s="470"/>
    </row>
    <row r="8" spans="1:19" ht="14.4" customHeight="1" x14ac:dyDescent="0.3">
      <c r="A8" s="454" t="s">
        <v>385</v>
      </c>
      <c r="B8" s="449"/>
      <c r="C8" s="466"/>
      <c r="D8" s="449">
        <v>1032</v>
      </c>
      <c r="E8" s="466"/>
      <c r="F8" s="449">
        <v>3108</v>
      </c>
      <c r="G8" s="467"/>
      <c r="H8" s="449"/>
      <c r="I8" s="466"/>
      <c r="J8" s="449"/>
      <c r="K8" s="466"/>
      <c r="L8" s="449"/>
      <c r="M8" s="467"/>
      <c r="N8" s="449"/>
      <c r="O8" s="466"/>
      <c r="P8" s="449"/>
      <c r="Q8" s="466"/>
      <c r="R8" s="449"/>
      <c r="S8" s="470"/>
    </row>
    <row r="9" spans="1:19" ht="14.4" customHeight="1" x14ac:dyDescent="0.3">
      <c r="A9" s="454" t="s">
        <v>386</v>
      </c>
      <c r="B9" s="449">
        <v>5763</v>
      </c>
      <c r="C9" s="466">
        <v>1</v>
      </c>
      <c r="D9" s="449">
        <v>7596</v>
      </c>
      <c r="E9" s="466">
        <v>1.3180635085892765</v>
      </c>
      <c r="F9" s="449">
        <v>3356.66</v>
      </c>
      <c r="G9" s="467">
        <v>0.58245011278847825</v>
      </c>
      <c r="H9" s="449"/>
      <c r="I9" s="466"/>
      <c r="J9" s="449"/>
      <c r="K9" s="466"/>
      <c r="L9" s="449"/>
      <c r="M9" s="467"/>
      <c r="N9" s="449"/>
      <c r="O9" s="466"/>
      <c r="P9" s="449"/>
      <c r="Q9" s="466"/>
      <c r="R9" s="449"/>
      <c r="S9" s="470"/>
    </row>
    <row r="10" spans="1:19" ht="14.4" customHeight="1" x14ac:dyDescent="0.3">
      <c r="A10" s="454" t="s">
        <v>387</v>
      </c>
      <c r="B10" s="449"/>
      <c r="C10" s="466"/>
      <c r="D10" s="449"/>
      <c r="E10" s="466"/>
      <c r="F10" s="449">
        <v>350</v>
      </c>
      <c r="G10" s="467"/>
      <c r="H10" s="449"/>
      <c r="I10" s="466"/>
      <c r="J10" s="449"/>
      <c r="K10" s="466"/>
      <c r="L10" s="449"/>
      <c r="M10" s="467"/>
      <c r="N10" s="449"/>
      <c r="O10" s="466"/>
      <c r="P10" s="449"/>
      <c r="Q10" s="466"/>
      <c r="R10" s="449"/>
      <c r="S10" s="470"/>
    </row>
    <row r="11" spans="1:19" ht="14.4" customHeight="1" x14ac:dyDescent="0.3">
      <c r="A11" s="454" t="s">
        <v>388</v>
      </c>
      <c r="B11" s="449"/>
      <c r="C11" s="466"/>
      <c r="D11" s="449"/>
      <c r="E11" s="466"/>
      <c r="F11" s="449">
        <v>4494</v>
      </c>
      <c r="G11" s="467"/>
      <c r="H11" s="449"/>
      <c r="I11" s="466"/>
      <c r="J11" s="449"/>
      <c r="K11" s="466"/>
      <c r="L11" s="449"/>
      <c r="M11" s="467"/>
      <c r="N11" s="449"/>
      <c r="O11" s="466"/>
      <c r="P11" s="449"/>
      <c r="Q11" s="466"/>
      <c r="R11" s="449"/>
      <c r="S11" s="470"/>
    </row>
    <row r="12" spans="1:19" ht="14.4" customHeight="1" x14ac:dyDescent="0.3">
      <c r="A12" s="454" t="s">
        <v>389</v>
      </c>
      <c r="B12" s="449">
        <v>2560</v>
      </c>
      <c r="C12" s="466">
        <v>1</v>
      </c>
      <c r="D12" s="449"/>
      <c r="E12" s="466"/>
      <c r="F12" s="449"/>
      <c r="G12" s="467"/>
      <c r="H12" s="449"/>
      <c r="I12" s="466"/>
      <c r="J12" s="449"/>
      <c r="K12" s="466"/>
      <c r="L12" s="449"/>
      <c r="M12" s="467"/>
      <c r="N12" s="449"/>
      <c r="O12" s="466"/>
      <c r="P12" s="449"/>
      <c r="Q12" s="466"/>
      <c r="R12" s="449"/>
      <c r="S12" s="470"/>
    </row>
    <row r="13" spans="1:19" ht="14.4" customHeight="1" x14ac:dyDescent="0.3">
      <c r="A13" s="454" t="s">
        <v>390</v>
      </c>
      <c r="B13" s="449">
        <v>139443</v>
      </c>
      <c r="C13" s="466">
        <v>1</v>
      </c>
      <c r="D13" s="449">
        <v>142585</v>
      </c>
      <c r="E13" s="466">
        <v>1.0225325043207618</v>
      </c>
      <c r="F13" s="449">
        <v>292159.98999999993</v>
      </c>
      <c r="G13" s="467">
        <v>2.0951929462217533</v>
      </c>
      <c r="H13" s="449"/>
      <c r="I13" s="466"/>
      <c r="J13" s="449"/>
      <c r="K13" s="466"/>
      <c r="L13" s="449"/>
      <c r="M13" s="467"/>
      <c r="N13" s="449"/>
      <c r="O13" s="466"/>
      <c r="P13" s="449"/>
      <c r="Q13" s="466"/>
      <c r="R13" s="449"/>
      <c r="S13" s="470"/>
    </row>
    <row r="14" spans="1:19" ht="14.4" customHeight="1" x14ac:dyDescent="0.3">
      <c r="A14" s="454" t="s">
        <v>391</v>
      </c>
      <c r="B14" s="449"/>
      <c r="C14" s="466"/>
      <c r="D14" s="449">
        <v>4357</v>
      </c>
      <c r="E14" s="466"/>
      <c r="F14" s="449">
        <v>3205</v>
      </c>
      <c r="G14" s="467"/>
      <c r="H14" s="449"/>
      <c r="I14" s="466"/>
      <c r="J14" s="449"/>
      <c r="K14" s="466"/>
      <c r="L14" s="449"/>
      <c r="M14" s="467"/>
      <c r="N14" s="449"/>
      <c r="O14" s="466"/>
      <c r="P14" s="449"/>
      <c r="Q14" s="466"/>
      <c r="R14" s="449"/>
      <c r="S14" s="470"/>
    </row>
    <row r="15" spans="1:19" ht="14.4" customHeight="1" x14ac:dyDescent="0.3">
      <c r="A15" s="454" t="s">
        <v>392</v>
      </c>
      <c r="B15" s="449">
        <v>69977</v>
      </c>
      <c r="C15" s="466">
        <v>1</v>
      </c>
      <c r="D15" s="449">
        <v>86139</v>
      </c>
      <c r="E15" s="466">
        <v>1.2309616016691198</v>
      </c>
      <c r="F15" s="449">
        <v>138917.66</v>
      </c>
      <c r="G15" s="467">
        <v>1.9851902768052361</v>
      </c>
      <c r="H15" s="449"/>
      <c r="I15" s="466"/>
      <c r="J15" s="449"/>
      <c r="K15" s="466"/>
      <c r="L15" s="449"/>
      <c r="M15" s="467"/>
      <c r="N15" s="449"/>
      <c r="O15" s="466"/>
      <c r="P15" s="449"/>
      <c r="Q15" s="466"/>
      <c r="R15" s="449"/>
      <c r="S15" s="470"/>
    </row>
    <row r="16" spans="1:19" ht="14.4" customHeight="1" x14ac:dyDescent="0.3">
      <c r="A16" s="454" t="s">
        <v>393</v>
      </c>
      <c r="B16" s="449">
        <v>115555</v>
      </c>
      <c r="C16" s="466">
        <v>1</v>
      </c>
      <c r="D16" s="449">
        <v>92230</v>
      </c>
      <c r="E16" s="466">
        <v>0.79814806801955773</v>
      </c>
      <c r="F16" s="449">
        <v>101384.33</v>
      </c>
      <c r="G16" s="467">
        <v>0.8773686123490978</v>
      </c>
      <c r="H16" s="449"/>
      <c r="I16" s="466"/>
      <c r="J16" s="449"/>
      <c r="K16" s="466"/>
      <c r="L16" s="449"/>
      <c r="M16" s="467"/>
      <c r="N16" s="449"/>
      <c r="O16" s="466"/>
      <c r="P16" s="449"/>
      <c r="Q16" s="466"/>
      <c r="R16" s="449"/>
      <c r="S16" s="470"/>
    </row>
    <row r="17" spans="1:19" ht="14.4" customHeight="1" x14ac:dyDescent="0.3">
      <c r="A17" s="454" t="s">
        <v>394</v>
      </c>
      <c r="B17" s="449"/>
      <c r="C17" s="466"/>
      <c r="D17" s="449">
        <v>9561</v>
      </c>
      <c r="E17" s="466"/>
      <c r="F17" s="449"/>
      <c r="G17" s="467"/>
      <c r="H17" s="449"/>
      <c r="I17" s="466"/>
      <c r="J17" s="449"/>
      <c r="K17" s="466"/>
      <c r="L17" s="449"/>
      <c r="M17" s="467"/>
      <c r="N17" s="449"/>
      <c r="O17" s="466"/>
      <c r="P17" s="449"/>
      <c r="Q17" s="466"/>
      <c r="R17" s="449"/>
      <c r="S17" s="470"/>
    </row>
    <row r="18" spans="1:19" ht="14.4" customHeight="1" x14ac:dyDescent="0.3">
      <c r="A18" s="454" t="s">
        <v>395</v>
      </c>
      <c r="B18" s="449"/>
      <c r="C18" s="466"/>
      <c r="D18" s="449"/>
      <c r="E18" s="466"/>
      <c r="F18" s="449">
        <v>4877.33</v>
      </c>
      <c r="G18" s="467"/>
      <c r="H18" s="449"/>
      <c r="I18" s="466"/>
      <c r="J18" s="449"/>
      <c r="K18" s="466"/>
      <c r="L18" s="449"/>
      <c r="M18" s="467"/>
      <c r="N18" s="449"/>
      <c r="O18" s="466"/>
      <c r="P18" s="449"/>
      <c r="Q18" s="466"/>
      <c r="R18" s="449"/>
      <c r="S18" s="470"/>
    </row>
    <row r="19" spans="1:19" ht="14.4" customHeight="1" thickBot="1" x14ac:dyDescent="0.35">
      <c r="A19" s="455" t="s">
        <v>396</v>
      </c>
      <c r="B19" s="452"/>
      <c r="C19" s="469"/>
      <c r="D19" s="452"/>
      <c r="E19" s="469"/>
      <c r="F19" s="452">
        <v>518</v>
      </c>
      <c r="G19" s="392"/>
      <c r="H19" s="452"/>
      <c r="I19" s="469"/>
      <c r="J19" s="452"/>
      <c r="K19" s="469"/>
      <c r="L19" s="452"/>
      <c r="M19" s="392"/>
      <c r="N19" s="452"/>
      <c r="O19" s="469"/>
      <c r="P19" s="452"/>
      <c r="Q19" s="469"/>
      <c r="R19" s="452"/>
      <c r="S19" s="39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7" customWidth="1"/>
    <col min="8" max="9" width="9.33203125" style="177" hidden="1" customWidth="1"/>
    <col min="10" max="11" width="11.109375" style="177" customWidth="1"/>
    <col min="12" max="13" width="9.33203125" style="177" hidden="1" customWidth="1"/>
    <col min="14" max="15" width="11.109375" style="177" customWidth="1"/>
    <col min="16" max="16" width="11.109375" style="180" customWidth="1"/>
    <col min="17" max="17" width="11.109375" style="177" customWidth="1"/>
    <col min="18" max="16384" width="8.88671875" style="102"/>
  </cols>
  <sheetData>
    <row r="1" spans="1:17" ht="18.600000000000001" customHeight="1" thickBot="1" x14ac:dyDescent="0.4">
      <c r="A1" s="286" t="s">
        <v>413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4.4" customHeight="1" thickBot="1" x14ac:dyDescent="0.35">
      <c r="A2" s="196" t="s">
        <v>233</v>
      </c>
      <c r="B2" s="103"/>
      <c r="C2" s="103"/>
      <c r="D2" s="103"/>
      <c r="E2" s="103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1"/>
      <c r="Q2" s="190"/>
    </row>
    <row r="3" spans="1:17" ht="14.4" customHeight="1" thickBot="1" x14ac:dyDescent="0.35">
      <c r="E3" s="62" t="s">
        <v>101</v>
      </c>
      <c r="F3" s="74">
        <f t="shared" ref="F3:O3" si="0">SUBTOTAL(9,F6:F1048576)</f>
        <v>673</v>
      </c>
      <c r="G3" s="75">
        <f t="shared" si="0"/>
        <v>334583</v>
      </c>
      <c r="H3" s="75"/>
      <c r="I3" s="75"/>
      <c r="J3" s="75">
        <f t="shared" si="0"/>
        <v>703</v>
      </c>
      <c r="K3" s="75">
        <f t="shared" si="0"/>
        <v>348453</v>
      </c>
      <c r="L3" s="75"/>
      <c r="M3" s="75"/>
      <c r="N3" s="75">
        <f t="shared" si="0"/>
        <v>1213</v>
      </c>
      <c r="O3" s="75">
        <f t="shared" si="0"/>
        <v>557900.96999999986</v>
      </c>
      <c r="P3" s="58">
        <f>IF(G3=0,0,O3/G3)</f>
        <v>1.6674516338247904</v>
      </c>
      <c r="Q3" s="76">
        <f>IF(N3=0,0,O3/N3)</f>
        <v>459.93484748557285</v>
      </c>
    </row>
    <row r="4" spans="1:17" ht="14.4" customHeight="1" x14ac:dyDescent="0.3">
      <c r="A4" s="338" t="s">
        <v>46</v>
      </c>
      <c r="B4" s="337" t="s">
        <v>72</v>
      </c>
      <c r="C4" s="338" t="s">
        <v>73</v>
      </c>
      <c r="D4" s="346" t="s">
        <v>74</v>
      </c>
      <c r="E4" s="339" t="s">
        <v>47</v>
      </c>
      <c r="F4" s="344">
        <v>2013</v>
      </c>
      <c r="G4" s="345"/>
      <c r="H4" s="77"/>
      <c r="I4" s="77"/>
      <c r="J4" s="344">
        <v>2014</v>
      </c>
      <c r="K4" s="345"/>
      <c r="L4" s="77"/>
      <c r="M4" s="77"/>
      <c r="N4" s="344">
        <v>2015</v>
      </c>
      <c r="O4" s="345"/>
      <c r="P4" s="347" t="s">
        <v>2</v>
      </c>
      <c r="Q4" s="336" t="s">
        <v>75</v>
      </c>
    </row>
    <row r="5" spans="1:17" ht="14.4" customHeight="1" thickBot="1" x14ac:dyDescent="0.35">
      <c r="A5" s="457"/>
      <c r="B5" s="456"/>
      <c r="C5" s="457"/>
      <c r="D5" s="471"/>
      <c r="E5" s="459"/>
      <c r="F5" s="472" t="s">
        <v>49</v>
      </c>
      <c r="G5" s="473" t="s">
        <v>5</v>
      </c>
      <c r="H5" s="474"/>
      <c r="I5" s="474"/>
      <c r="J5" s="472" t="s">
        <v>49</v>
      </c>
      <c r="K5" s="473" t="s">
        <v>5</v>
      </c>
      <c r="L5" s="474"/>
      <c r="M5" s="474"/>
      <c r="N5" s="472" t="s">
        <v>49</v>
      </c>
      <c r="O5" s="473" t="s">
        <v>5</v>
      </c>
      <c r="P5" s="475"/>
      <c r="Q5" s="464"/>
    </row>
    <row r="6" spans="1:17" ht="14.4" customHeight="1" x14ac:dyDescent="0.3">
      <c r="A6" s="444" t="s">
        <v>397</v>
      </c>
      <c r="B6" s="465" t="s">
        <v>364</v>
      </c>
      <c r="C6" s="465" t="s">
        <v>365</v>
      </c>
      <c r="D6" s="465" t="s">
        <v>370</v>
      </c>
      <c r="E6" s="465" t="s">
        <v>371</v>
      </c>
      <c r="F6" s="388"/>
      <c r="G6" s="388"/>
      <c r="H6" s="388"/>
      <c r="I6" s="388"/>
      <c r="J6" s="388">
        <v>9</v>
      </c>
      <c r="K6" s="388">
        <v>4608</v>
      </c>
      <c r="L6" s="388"/>
      <c r="M6" s="388">
        <v>512</v>
      </c>
      <c r="N6" s="388">
        <v>10</v>
      </c>
      <c r="O6" s="388">
        <v>5180</v>
      </c>
      <c r="P6" s="389"/>
      <c r="Q6" s="400">
        <v>518</v>
      </c>
    </row>
    <row r="7" spans="1:17" ht="14.4" customHeight="1" x14ac:dyDescent="0.3">
      <c r="A7" s="447" t="s">
        <v>397</v>
      </c>
      <c r="B7" s="466" t="s">
        <v>364</v>
      </c>
      <c r="C7" s="466" t="s">
        <v>365</v>
      </c>
      <c r="D7" s="466" t="s">
        <v>374</v>
      </c>
      <c r="E7" s="466" t="s">
        <v>375</v>
      </c>
      <c r="F7" s="448"/>
      <c r="G7" s="448"/>
      <c r="H7" s="448"/>
      <c r="I7" s="448"/>
      <c r="J7" s="448"/>
      <c r="K7" s="448"/>
      <c r="L7" s="448"/>
      <c r="M7" s="448"/>
      <c r="N7" s="448">
        <v>1</v>
      </c>
      <c r="O7" s="448">
        <v>0</v>
      </c>
      <c r="P7" s="467"/>
      <c r="Q7" s="468">
        <v>0</v>
      </c>
    </row>
    <row r="8" spans="1:17" ht="14.4" customHeight="1" x14ac:dyDescent="0.3">
      <c r="A8" s="447" t="s">
        <v>397</v>
      </c>
      <c r="B8" s="466" t="s">
        <v>364</v>
      </c>
      <c r="C8" s="466" t="s">
        <v>365</v>
      </c>
      <c r="D8" s="466" t="s">
        <v>376</v>
      </c>
      <c r="E8" s="466" t="s">
        <v>377</v>
      </c>
      <c r="F8" s="448"/>
      <c r="G8" s="448"/>
      <c r="H8" s="448"/>
      <c r="I8" s="448"/>
      <c r="J8" s="448">
        <v>1</v>
      </c>
      <c r="K8" s="448">
        <v>345</v>
      </c>
      <c r="L8" s="448"/>
      <c r="M8" s="448">
        <v>345</v>
      </c>
      <c r="N8" s="448">
        <v>1</v>
      </c>
      <c r="O8" s="448">
        <v>350</v>
      </c>
      <c r="P8" s="467"/>
      <c r="Q8" s="468">
        <v>350</v>
      </c>
    </row>
    <row r="9" spans="1:17" ht="14.4" customHeight="1" x14ac:dyDescent="0.3">
      <c r="A9" s="447" t="s">
        <v>398</v>
      </c>
      <c r="B9" s="466" t="s">
        <v>364</v>
      </c>
      <c r="C9" s="466" t="s">
        <v>365</v>
      </c>
      <c r="D9" s="466" t="s">
        <v>370</v>
      </c>
      <c r="E9" s="466" t="s">
        <v>371</v>
      </c>
      <c r="F9" s="448">
        <v>2</v>
      </c>
      <c r="G9" s="448">
        <v>1024</v>
      </c>
      <c r="H9" s="448">
        <v>1</v>
      </c>
      <c r="I9" s="448">
        <v>512</v>
      </c>
      <c r="J9" s="448"/>
      <c r="K9" s="448"/>
      <c r="L9" s="448"/>
      <c r="M9" s="448"/>
      <c r="N9" s="448"/>
      <c r="O9" s="448"/>
      <c r="P9" s="467"/>
      <c r="Q9" s="468"/>
    </row>
    <row r="10" spans="1:17" ht="14.4" customHeight="1" x14ac:dyDescent="0.3">
      <c r="A10" s="447" t="s">
        <v>398</v>
      </c>
      <c r="B10" s="466" t="s">
        <v>364</v>
      </c>
      <c r="C10" s="466" t="s">
        <v>365</v>
      </c>
      <c r="D10" s="466" t="s">
        <v>380</v>
      </c>
      <c r="E10" s="466" t="s">
        <v>381</v>
      </c>
      <c r="F10" s="448">
        <v>1</v>
      </c>
      <c r="G10" s="448">
        <v>261</v>
      </c>
      <c r="H10" s="448">
        <v>1</v>
      </c>
      <c r="I10" s="448">
        <v>261</v>
      </c>
      <c r="J10" s="448"/>
      <c r="K10" s="448"/>
      <c r="L10" s="448"/>
      <c r="M10" s="448"/>
      <c r="N10" s="448"/>
      <c r="O10" s="448"/>
      <c r="P10" s="467"/>
      <c r="Q10" s="468"/>
    </row>
    <row r="11" spans="1:17" ht="14.4" customHeight="1" x14ac:dyDescent="0.3">
      <c r="A11" s="447" t="s">
        <v>399</v>
      </c>
      <c r="B11" s="466" t="s">
        <v>364</v>
      </c>
      <c r="C11" s="466" t="s">
        <v>365</v>
      </c>
      <c r="D11" s="466" t="s">
        <v>370</v>
      </c>
      <c r="E11" s="466" t="s">
        <v>371</v>
      </c>
      <c r="F11" s="448"/>
      <c r="G11" s="448"/>
      <c r="H11" s="448"/>
      <c r="I11" s="448"/>
      <c r="J11" s="448">
        <v>2</v>
      </c>
      <c r="K11" s="448">
        <v>1032</v>
      </c>
      <c r="L11" s="448"/>
      <c r="M11" s="448">
        <v>516</v>
      </c>
      <c r="N11" s="448">
        <v>6</v>
      </c>
      <c r="O11" s="448">
        <v>3108</v>
      </c>
      <c r="P11" s="467"/>
      <c r="Q11" s="468">
        <v>518</v>
      </c>
    </row>
    <row r="12" spans="1:17" ht="14.4" customHeight="1" x14ac:dyDescent="0.3">
      <c r="A12" s="447" t="s">
        <v>400</v>
      </c>
      <c r="B12" s="466" t="s">
        <v>364</v>
      </c>
      <c r="C12" s="466" t="s">
        <v>365</v>
      </c>
      <c r="D12" s="466" t="s">
        <v>401</v>
      </c>
      <c r="E12" s="466" t="s">
        <v>402</v>
      </c>
      <c r="F12" s="448">
        <v>1</v>
      </c>
      <c r="G12" s="448">
        <v>131</v>
      </c>
      <c r="H12" s="448">
        <v>1</v>
      </c>
      <c r="I12" s="448">
        <v>131</v>
      </c>
      <c r="J12" s="448"/>
      <c r="K12" s="448"/>
      <c r="L12" s="448"/>
      <c r="M12" s="448"/>
      <c r="N12" s="448"/>
      <c r="O12" s="448"/>
      <c r="P12" s="467"/>
      <c r="Q12" s="468"/>
    </row>
    <row r="13" spans="1:17" ht="14.4" customHeight="1" x14ac:dyDescent="0.3">
      <c r="A13" s="447" t="s">
        <v>400</v>
      </c>
      <c r="B13" s="466" t="s">
        <v>364</v>
      </c>
      <c r="C13" s="466" t="s">
        <v>365</v>
      </c>
      <c r="D13" s="466" t="s">
        <v>370</v>
      </c>
      <c r="E13" s="466" t="s">
        <v>371</v>
      </c>
      <c r="F13" s="448">
        <v>11</v>
      </c>
      <c r="G13" s="448">
        <v>5632</v>
      </c>
      <c r="H13" s="448">
        <v>1</v>
      </c>
      <c r="I13" s="448">
        <v>512</v>
      </c>
      <c r="J13" s="448">
        <v>10</v>
      </c>
      <c r="K13" s="448">
        <v>5160</v>
      </c>
      <c r="L13" s="448">
        <v>0.91619318181818177</v>
      </c>
      <c r="M13" s="448">
        <v>516</v>
      </c>
      <c r="N13" s="448">
        <v>5</v>
      </c>
      <c r="O13" s="448">
        <v>2590</v>
      </c>
      <c r="P13" s="467">
        <v>0.45987215909090912</v>
      </c>
      <c r="Q13" s="468">
        <v>518</v>
      </c>
    </row>
    <row r="14" spans="1:17" ht="14.4" customHeight="1" x14ac:dyDescent="0.3">
      <c r="A14" s="447" t="s">
        <v>400</v>
      </c>
      <c r="B14" s="466" t="s">
        <v>364</v>
      </c>
      <c r="C14" s="466" t="s">
        <v>365</v>
      </c>
      <c r="D14" s="466" t="s">
        <v>374</v>
      </c>
      <c r="E14" s="466" t="s">
        <v>375</v>
      </c>
      <c r="F14" s="448"/>
      <c r="G14" s="448"/>
      <c r="H14" s="448"/>
      <c r="I14" s="448"/>
      <c r="J14" s="448"/>
      <c r="K14" s="448"/>
      <c r="L14" s="448"/>
      <c r="M14" s="448"/>
      <c r="N14" s="448">
        <v>2</v>
      </c>
      <c r="O14" s="448">
        <v>66.66</v>
      </c>
      <c r="P14" s="467"/>
      <c r="Q14" s="468">
        <v>33.33</v>
      </c>
    </row>
    <row r="15" spans="1:17" ht="14.4" customHeight="1" x14ac:dyDescent="0.3">
      <c r="A15" s="447" t="s">
        <v>400</v>
      </c>
      <c r="B15" s="466" t="s">
        <v>364</v>
      </c>
      <c r="C15" s="466" t="s">
        <v>365</v>
      </c>
      <c r="D15" s="466" t="s">
        <v>376</v>
      </c>
      <c r="E15" s="466" t="s">
        <v>377</v>
      </c>
      <c r="F15" s="448"/>
      <c r="G15" s="448"/>
      <c r="H15" s="448"/>
      <c r="I15" s="448"/>
      <c r="J15" s="448">
        <v>7</v>
      </c>
      <c r="K15" s="448">
        <v>2436</v>
      </c>
      <c r="L15" s="448"/>
      <c r="M15" s="448">
        <v>348</v>
      </c>
      <c r="N15" s="448">
        <v>2</v>
      </c>
      <c r="O15" s="448">
        <v>700</v>
      </c>
      <c r="P15" s="467"/>
      <c r="Q15" s="468">
        <v>350</v>
      </c>
    </row>
    <row r="16" spans="1:17" ht="14.4" customHeight="1" x14ac:dyDescent="0.3">
      <c r="A16" s="447" t="s">
        <v>403</v>
      </c>
      <c r="B16" s="466" t="s">
        <v>364</v>
      </c>
      <c r="C16" s="466" t="s">
        <v>365</v>
      </c>
      <c r="D16" s="466" t="s">
        <v>374</v>
      </c>
      <c r="E16" s="466" t="s">
        <v>375</v>
      </c>
      <c r="F16" s="448"/>
      <c r="G16" s="448"/>
      <c r="H16" s="448"/>
      <c r="I16" s="448"/>
      <c r="J16" s="448"/>
      <c r="K16" s="448"/>
      <c r="L16" s="448"/>
      <c r="M16" s="448"/>
      <c r="N16" s="448">
        <v>1</v>
      </c>
      <c r="O16" s="448">
        <v>0</v>
      </c>
      <c r="P16" s="467"/>
      <c r="Q16" s="468">
        <v>0</v>
      </c>
    </row>
    <row r="17" spans="1:17" ht="14.4" customHeight="1" x14ac:dyDescent="0.3">
      <c r="A17" s="447" t="s">
        <v>403</v>
      </c>
      <c r="B17" s="466" t="s">
        <v>364</v>
      </c>
      <c r="C17" s="466" t="s">
        <v>365</v>
      </c>
      <c r="D17" s="466" t="s">
        <v>376</v>
      </c>
      <c r="E17" s="466" t="s">
        <v>377</v>
      </c>
      <c r="F17" s="448"/>
      <c r="G17" s="448"/>
      <c r="H17" s="448"/>
      <c r="I17" s="448"/>
      <c r="J17" s="448"/>
      <c r="K17" s="448"/>
      <c r="L17" s="448"/>
      <c r="M17" s="448"/>
      <c r="N17" s="448">
        <v>1</v>
      </c>
      <c r="O17" s="448">
        <v>350</v>
      </c>
      <c r="P17" s="467"/>
      <c r="Q17" s="468">
        <v>350</v>
      </c>
    </row>
    <row r="18" spans="1:17" ht="14.4" customHeight="1" x14ac:dyDescent="0.3">
      <c r="A18" s="447" t="s">
        <v>404</v>
      </c>
      <c r="B18" s="466" t="s">
        <v>364</v>
      </c>
      <c r="C18" s="466" t="s">
        <v>365</v>
      </c>
      <c r="D18" s="466" t="s">
        <v>370</v>
      </c>
      <c r="E18" s="466" t="s">
        <v>371</v>
      </c>
      <c r="F18" s="448"/>
      <c r="G18" s="448"/>
      <c r="H18" s="448"/>
      <c r="I18" s="448"/>
      <c r="J18" s="448"/>
      <c r="K18" s="448"/>
      <c r="L18" s="448"/>
      <c r="M18" s="448"/>
      <c r="N18" s="448">
        <v>8</v>
      </c>
      <c r="O18" s="448">
        <v>4144</v>
      </c>
      <c r="P18" s="467"/>
      <c r="Q18" s="468">
        <v>518</v>
      </c>
    </row>
    <row r="19" spans="1:17" ht="14.4" customHeight="1" x14ac:dyDescent="0.3">
      <c r="A19" s="447" t="s">
        <v>404</v>
      </c>
      <c r="B19" s="466" t="s">
        <v>364</v>
      </c>
      <c r="C19" s="466" t="s">
        <v>365</v>
      </c>
      <c r="D19" s="466" t="s">
        <v>374</v>
      </c>
      <c r="E19" s="466" t="s">
        <v>375</v>
      </c>
      <c r="F19" s="448"/>
      <c r="G19" s="448"/>
      <c r="H19" s="448"/>
      <c r="I19" s="448"/>
      <c r="J19" s="448"/>
      <c r="K19" s="448"/>
      <c r="L19" s="448"/>
      <c r="M19" s="448"/>
      <c r="N19" s="448">
        <v>1</v>
      </c>
      <c r="O19" s="448">
        <v>0</v>
      </c>
      <c r="P19" s="467"/>
      <c r="Q19" s="468">
        <v>0</v>
      </c>
    </row>
    <row r="20" spans="1:17" ht="14.4" customHeight="1" x14ac:dyDescent="0.3">
      <c r="A20" s="447" t="s">
        <v>404</v>
      </c>
      <c r="B20" s="466" t="s">
        <v>364</v>
      </c>
      <c r="C20" s="466" t="s">
        <v>365</v>
      </c>
      <c r="D20" s="466" t="s">
        <v>376</v>
      </c>
      <c r="E20" s="466" t="s">
        <v>377</v>
      </c>
      <c r="F20" s="448"/>
      <c r="G20" s="448"/>
      <c r="H20" s="448"/>
      <c r="I20" s="448"/>
      <c r="J20" s="448"/>
      <c r="K20" s="448"/>
      <c r="L20" s="448"/>
      <c r="M20" s="448"/>
      <c r="N20" s="448">
        <v>1</v>
      </c>
      <c r="O20" s="448">
        <v>350</v>
      </c>
      <c r="P20" s="467"/>
      <c r="Q20" s="468">
        <v>350</v>
      </c>
    </row>
    <row r="21" spans="1:17" ht="14.4" customHeight="1" x14ac:dyDescent="0.3">
      <c r="A21" s="447" t="s">
        <v>405</v>
      </c>
      <c r="B21" s="466" t="s">
        <v>364</v>
      </c>
      <c r="C21" s="466" t="s">
        <v>365</v>
      </c>
      <c r="D21" s="466" t="s">
        <v>370</v>
      </c>
      <c r="E21" s="466" t="s">
        <v>371</v>
      </c>
      <c r="F21" s="448">
        <v>5</v>
      </c>
      <c r="G21" s="448">
        <v>2560</v>
      </c>
      <c r="H21" s="448">
        <v>1</v>
      </c>
      <c r="I21" s="448">
        <v>512</v>
      </c>
      <c r="J21" s="448"/>
      <c r="K21" s="448"/>
      <c r="L21" s="448"/>
      <c r="M21" s="448"/>
      <c r="N21" s="448"/>
      <c r="O21" s="448"/>
      <c r="P21" s="467"/>
      <c r="Q21" s="468"/>
    </row>
    <row r="22" spans="1:17" ht="14.4" customHeight="1" x14ac:dyDescent="0.3">
      <c r="A22" s="447" t="s">
        <v>406</v>
      </c>
      <c r="B22" s="466" t="s">
        <v>364</v>
      </c>
      <c r="C22" s="466" t="s">
        <v>365</v>
      </c>
      <c r="D22" s="466" t="s">
        <v>370</v>
      </c>
      <c r="E22" s="466" t="s">
        <v>371</v>
      </c>
      <c r="F22" s="448">
        <v>246</v>
      </c>
      <c r="G22" s="448">
        <v>125952</v>
      </c>
      <c r="H22" s="448">
        <v>1</v>
      </c>
      <c r="I22" s="448">
        <v>512</v>
      </c>
      <c r="J22" s="448">
        <v>246</v>
      </c>
      <c r="K22" s="448">
        <v>126436</v>
      </c>
      <c r="L22" s="448">
        <v>1.0038427337398375</v>
      </c>
      <c r="M22" s="448">
        <v>513.96747967479678</v>
      </c>
      <c r="N22" s="448">
        <v>490</v>
      </c>
      <c r="O22" s="448">
        <v>253820</v>
      </c>
      <c r="P22" s="467">
        <v>2.015212144308943</v>
      </c>
      <c r="Q22" s="468">
        <v>518</v>
      </c>
    </row>
    <row r="23" spans="1:17" ht="14.4" customHeight="1" x14ac:dyDescent="0.3">
      <c r="A23" s="447" t="s">
        <v>406</v>
      </c>
      <c r="B23" s="466" t="s">
        <v>364</v>
      </c>
      <c r="C23" s="466" t="s">
        <v>365</v>
      </c>
      <c r="D23" s="466" t="s">
        <v>374</v>
      </c>
      <c r="E23" s="466" t="s">
        <v>375</v>
      </c>
      <c r="F23" s="448"/>
      <c r="G23" s="448"/>
      <c r="H23" s="448"/>
      <c r="I23" s="448"/>
      <c r="J23" s="448"/>
      <c r="K23" s="448"/>
      <c r="L23" s="448"/>
      <c r="M23" s="448"/>
      <c r="N23" s="448">
        <v>75</v>
      </c>
      <c r="O23" s="448">
        <v>1399.9900000000002</v>
      </c>
      <c r="P23" s="467"/>
      <c r="Q23" s="468">
        <v>18.666533333333337</v>
      </c>
    </row>
    <row r="24" spans="1:17" ht="14.4" customHeight="1" x14ac:dyDescent="0.3">
      <c r="A24" s="447" t="s">
        <v>406</v>
      </c>
      <c r="B24" s="466" t="s">
        <v>364</v>
      </c>
      <c r="C24" s="466" t="s">
        <v>365</v>
      </c>
      <c r="D24" s="466" t="s">
        <v>376</v>
      </c>
      <c r="E24" s="466" t="s">
        <v>377</v>
      </c>
      <c r="F24" s="448">
        <v>27</v>
      </c>
      <c r="G24" s="448">
        <v>9315</v>
      </c>
      <c r="H24" s="448">
        <v>1</v>
      </c>
      <c r="I24" s="448">
        <v>345</v>
      </c>
      <c r="J24" s="448">
        <v>39</v>
      </c>
      <c r="K24" s="448">
        <v>13518</v>
      </c>
      <c r="L24" s="448">
        <v>1.451207729468599</v>
      </c>
      <c r="M24" s="448">
        <v>346.61538461538464</v>
      </c>
      <c r="N24" s="448">
        <v>101</v>
      </c>
      <c r="O24" s="448">
        <v>35350</v>
      </c>
      <c r="P24" s="467">
        <v>3.7949543746645196</v>
      </c>
      <c r="Q24" s="468">
        <v>350</v>
      </c>
    </row>
    <row r="25" spans="1:17" ht="14.4" customHeight="1" x14ac:dyDescent="0.3">
      <c r="A25" s="447" t="s">
        <v>406</v>
      </c>
      <c r="B25" s="466" t="s">
        <v>364</v>
      </c>
      <c r="C25" s="466" t="s">
        <v>365</v>
      </c>
      <c r="D25" s="466" t="s">
        <v>380</v>
      </c>
      <c r="E25" s="466" t="s">
        <v>381</v>
      </c>
      <c r="F25" s="448">
        <v>16</v>
      </c>
      <c r="G25" s="448">
        <v>4176</v>
      </c>
      <c r="H25" s="448">
        <v>1</v>
      </c>
      <c r="I25" s="448">
        <v>261</v>
      </c>
      <c r="J25" s="448">
        <v>10</v>
      </c>
      <c r="K25" s="448">
        <v>2631</v>
      </c>
      <c r="L25" s="448">
        <v>0.63002873563218387</v>
      </c>
      <c r="M25" s="448">
        <v>263.10000000000002</v>
      </c>
      <c r="N25" s="448">
        <v>6</v>
      </c>
      <c r="O25" s="448">
        <v>1590</v>
      </c>
      <c r="P25" s="467">
        <v>0.3807471264367816</v>
      </c>
      <c r="Q25" s="468">
        <v>265</v>
      </c>
    </row>
    <row r="26" spans="1:17" ht="14.4" customHeight="1" x14ac:dyDescent="0.3">
      <c r="A26" s="447" t="s">
        <v>407</v>
      </c>
      <c r="B26" s="466" t="s">
        <v>364</v>
      </c>
      <c r="C26" s="466" t="s">
        <v>365</v>
      </c>
      <c r="D26" s="466" t="s">
        <v>370</v>
      </c>
      <c r="E26" s="466" t="s">
        <v>371</v>
      </c>
      <c r="F26" s="448"/>
      <c r="G26" s="448"/>
      <c r="H26" s="448"/>
      <c r="I26" s="448"/>
      <c r="J26" s="448">
        <v>8</v>
      </c>
      <c r="K26" s="448">
        <v>4096</v>
      </c>
      <c r="L26" s="448"/>
      <c r="M26" s="448">
        <v>512</v>
      </c>
      <c r="N26" s="448">
        <v>5</v>
      </c>
      <c r="O26" s="448">
        <v>2590</v>
      </c>
      <c r="P26" s="467"/>
      <c r="Q26" s="468">
        <v>518</v>
      </c>
    </row>
    <row r="27" spans="1:17" ht="14.4" customHeight="1" x14ac:dyDescent="0.3">
      <c r="A27" s="447" t="s">
        <v>407</v>
      </c>
      <c r="B27" s="466" t="s">
        <v>364</v>
      </c>
      <c r="C27" s="466" t="s">
        <v>365</v>
      </c>
      <c r="D27" s="466" t="s">
        <v>374</v>
      </c>
      <c r="E27" s="466" t="s">
        <v>375</v>
      </c>
      <c r="F27" s="448"/>
      <c r="G27" s="448"/>
      <c r="H27" s="448"/>
      <c r="I27" s="448"/>
      <c r="J27" s="448"/>
      <c r="K27" s="448"/>
      <c r="L27" s="448"/>
      <c r="M27" s="448"/>
      <c r="N27" s="448">
        <v>2</v>
      </c>
      <c r="O27" s="448">
        <v>0</v>
      </c>
      <c r="P27" s="467"/>
      <c r="Q27" s="468">
        <v>0</v>
      </c>
    </row>
    <row r="28" spans="1:17" ht="14.4" customHeight="1" x14ac:dyDescent="0.3">
      <c r="A28" s="447" t="s">
        <v>407</v>
      </c>
      <c r="B28" s="466" t="s">
        <v>364</v>
      </c>
      <c r="C28" s="466" t="s">
        <v>365</v>
      </c>
      <c r="D28" s="466" t="s">
        <v>376</v>
      </c>
      <c r="E28" s="466" t="s">
        <v>377</v>
      </c>
      <c r="F28" s="448"/>
      <c r="G28" s="448"/>
      <c r="H28" s="448"/>
      <c r="I28" s="448"/>
      <c r="J28" s="448"/>
      <c r="K28" s="448"/>
      <c r="L28" s="448"/>
      <c r="M28" s="448"/>
      <c r="N28" s="448">
        <v>1</v>
      </c>
      <c r="O28" s="448">
        <v>350</v>
      </c>
      <c r="P28" s="467"/>
      <c r="Q28" s="468">
        <v>350</v>
      </c>
    </row>
    <row r="29" spans="1:17" ht="14.4" customHeight="1" x14ac:dyDescent="0.3">
      <c r="A29" s="447" t="s">
        <v>407</v>
      </c>
      <c r="B29" s="466" t="s">
        <v>364</v>
      </c>
      <c r="C29" s="466" t="s">
        <v>365</v>
      </c>
      <c r="D29" s="466" t="s">
        <v>380</v>
      </c>
      <c r="E29" s="466" t="s">
        <v>381</v>
      </c>
      <c r="F29" s="448"/>
      <c r="G29" s="448"/>
      <c r="H29" s="448"/>
      <c r="I29" s="448"/>
      <c r="J29" s="448">
        <v>1</v>
      </c>
      <c r="K29" s="448">
        <v>261</v>
      </c>
      <c r="L29" s="448"/>
      <c r="M29" s="448">
        <v>261</v>
      </c>
      <c r="N29" s="448">
        <v>1</v>
      </c>
      <c r="O29" s="448">
        <v>265</v>
      </c>
      <c r="P29" s="467"/>
      <c r="Q29" s="468">
        <v>265</v>
      </c>
    </row>
    <row r="30" spans="1:17" ht="14.4" customHeight="1" x14ac:dyDescent="0.3">
      <c r="A30" s="447" t="s">
        <v>408</v>
      </c>
      <c r="B30" s="466" t="s">
        <v>364</v>
      </c>
      <c r="C30" s="466" t="s">
        <v>365</v>
      </c>
      <c r="D30" s="466" t="s">
        <v>401</v>
      </c>
      <c r="E30" s="466" t="s">
        <v>402</v>
      </c>
      <c r="F30" s="448"/>
      <c r="G30" s="448"/>
      <c r="H30" s="448"/>
      <c r="I30" s="448"/>
      <c r="J30" s="448">
        <v>1</v>
      </c>
      <c r="K30" s="448">
        <v>131</v>
      </c>
      <c r="L30" s="448"/>
      <c r="M30" s="448">
        <v>131</v>
      </c>
      <c r="N30" s="448">
        <v>2</v>
      </c>
      <c r="O30" s="448">
        <v>266</v>
      </c>
      <c r="P30" s="467"/>
      <c r="Q30" s="468">
        <v>133</v>
      </c>
    </row>
    <row r="31" spans="1:17" ht="14.4" customHeight="1" x14ac:dyDescent="0.3">
      <c r="A31" s="447" t="s">
        <v>408</v>
      </c>
      <c r="B31" s="466" t="s">
        <v>364</v>
      </c>
      <c r="C31" s="466" t="s">
        <v>365</v>
      </c>
      <c r="D31" s="466" t="s">
        <v>370</v>
      </c>
      <c r="E31" s="466" t="s">
        <v>371</v>
      </c>
      <c r="F31" s="448">
        <v>136</v>
      </c>
      <c r="G31" s="448">
        <v>69632</v>
      </c>
      <c r="H31" s="448">
        <v>1</v>
      </c>
      <c r="I31" s="448">
        <v>512</v>
      </c>
      <c r="J31" s="448">
        <v>165</v>
      </c>
      <c r="K31" s="448">
        <v>84868</v>
      </c>
      <c r="L31" s="448">
        <v>1.2188074448529411</v>
      </c>
      <c r="M31" s="448">
        <v>514.35151515151517</v>
      </c>
      <c r="N31" s="448">
        <v>265</v>
      </c>
      <c r="O31" s="448">
        <v>137270</v>
      </c>
      <c r="P31" s="467">
        <v>1.9713637408088236</v>
      </c>
      <c r="Q31" s="468">
        <v>518</v>
      </c>
    </row>
    <row r="32" spans="1:17" ht="14.4" customHeight="1" x14ac:dyDescent="0.3">
      <c r="A32" s="447" t="s">
        <v>408</v>
      </c>
      <c r="B32" s="466" t="s">
        <v>364</v>
      </c>
      <c r="C32" s="466" t="s">
        <v>365</v>
      </c>
      <c r="D32" s="466" t="s">
        <v>374</v>
      </c>
      <c r="E32" s="466" t="s">
        <v>375</v>
      </c>
      <c r="F32" s="448"/>
      <c r="G32" s="448"/>
      <c r="H32" s="448"/>
      <c r="I32" s="448"/>
      <c r="J32" s="448"/>
      <c r="K32" s="448"/>
      <c r="L32" s="448"/>
      <c r="M32" s="448"/>
      <c r="N32" s="448">
        <v>3</v>
      </c>
      <c r="O32" s="448">
        <v>66.66</v>
      </c>
      <c r="P32" s="467"/>
      <c r="Q32" s="468">
        <v>22.22</v>
      </c>
    </row>
    <row r="33" spans="1:17" ht="14.4" customHeight="1" x14ac:dyDescent="0.3">
      <c r="A33" s="447" t="s">
        <v>408</v>
      </c>
      <c r="B33" s="466" t="s">
        <v>364</v>
      </c>
      <c r="C33" s="466" t="s">
        <v>365</v>
      </c>
      <c r="D33" s="466" t="s">
        <v>376</v>
      </c>
      <c r="E33" s="466" t="s">
        <v>377</v>
      </c>
      <c r="F33" s="448">
        <v>1</v>
      </c>
      <c r="G33" s="448">
        <v>345</v>
      </c>
      <c r="H33" s="448">
        <v>1</v>
      </c>
      <c r="I33" s="448">
        <v>345</v>
      </c>
      <c r="J33" s="448">
        <v>1</v>
      </c>
      <c r="K33" s="448">
        <v>348</v>
      </c>
      <c r="L33" s="448">
        <v>1.008695652173913</v>
      </c>
      <c r="M33" s="448">
        <v>348</v>
      </c>
      <c r="N33" s="448">
        <v>3</v>
      </c>
      <c r="O33" s="448">
        <v>1050</v>
      </c>
      <c r="P33" s="467">
        <v>3.0434782608695654</v>
      </c>
      <c r="Q33" s="468">
        <v>350</v>
      </c>
    </row>
    <row r="34" spans="1:17" ht="14.4" customHeight="1" x14ac:dyDescent="0.3">
      <c r="A34" s="447" t="s">
        <v>408</v>
      </c>
      <c r="B34" s="466" t="s">
        <v>364</v>
      </c>
      <c r="C34" s="466" t="s">
        <v>365</v>
      </c>
      <c r="D34" s="466" t="s">
        <v>380</v>
      </c>
      <c r="E34" s="466" t="s">
        <v>381</v>
      </c>
      <c r="F34" s="448"/>
      <c r="G34" s="448"/>
      <c r="H34" s="448"/>
      <c r="I34" s="448"/>
      <c r="J34" s="448">
        <v>3</v>
      </c>
      <c r="K34" s="448">
        <v>792</v>
      </c>
      <c r="L34" s="448"/>
      <c r="M34" s="448">
        <v>264</v>
      </c>
      <c r="N34" s="448">
        <v>1</v>
      </c>
      <c r="O34" s="448">
        <v>265</v>
      </c>
      <c r="P34" s="467"/>
      <c r="Q34" s="468">
        <v>265</v>
      </c>
    </row>
    <row r="35" spans="1:17" ht="14.4" customHeight="1" x14ac:dyDescent="0.3">
      <c r="A35" s="447" t="s">
        <v>409</v>
      </c>
      <c r="B35" s="466" t="s">
        <v>364</v>
      </c>
      <c r="C35" s="466" t="s">
        <v>365</v>
      </c>
      <c r="D35" s="466" t="s">
        <v>401</v>
      </c>
      <c r="E35" s="466" t="s">
        <v>402</v>
      </c>
      <c r="F35" s="448"/>
      <c r="G35" s="448"/>
      <c r="H35" s="448"/>
      <c r="I35" s="448"/>
      <c r="J35" s="448"/>
      <c r="K35" s="448"/>
      <c r="L35" s="448"/>
      <c r="M35" s="448"/>
      <c r="N35" s="448">
        <v>1</v>
      </c>
      <c r="O35" s="448">
        <v>133</v>
      </c>
      <c r="P35" s="467"/>
      <c r="Q35" s="468">
        <v>133</v>
      </c>
    </row>
    <row r="36" spans="1:17" ht="14.4" customHeight="1" x14ac:dyDescent="0.3">
      <c r="A36" s="447" t="s">
        <v>409</v>
      </c>
      <c r="B36" s="466" t="s">
        <v>364</v>
      </c>
      <c r="C36" s="466" t="s">
        <v>365</v>
      </c>
      <c r="D36" s="466" t="s">
        <v>370</v>
      </c>
      <c r="E36" s="466" t="s">
        <v>371</v>
      </c>
      <c r="F36" s="448">
        <v>224</v>
      </c>
      <c r="G36" s="448">
        <v>114688</v>
      </c>
      <c r="H36" s="448">
        <v>1</v>
      </c>
      <c r="I36" s="448">
        <v>512</v>
      </c>
      <c r="J36" s="448">
        <v>178</v>
      </c>
      <c r="K36" s="448">
        <v>91360</v>
      </c>
      <c r="L36" s="448">
        <v>0.7965959821428571</v>
      </c>
      <c r="M36" s="448">
        <v>513.25842696629218</v>
      </c>
      <c r="N36" s="448">
        <v>191</v>
      </c>
      <c r="O36" s="448">
        <v>98938</v>
      </c>
      <c r="P36" s="467">
        <v>0.8626708984375</v>
      </c>
      <c r="Q36" s="468">
        <v>518</v>
      </c>
    </row>
    <row r="37" spans="1:17" ht="14.4" customHeight="1" x14ac:dyDescent="0.3">
      <c r="A37" s="447" t="s">
        <v>409</v>
      </c>
      <c r="B37" s="466" t="s">
        <v>364</v>
      </c>
      <c r="C37" s="466" t="s">
        <v>365</v>
      </c>
      <c r="D37" s="466" t="s">
        <v>374</v>
      </c>
      <c r="E37" s="466" t="s">
        <v>375</v>
      </c>
      <c r="F37" s="448"/>
      <c r="G37" s="448"/>
      <c r="H37" s="448"/>
      <c r="I37" s="448"/>
      <c r="J37" s="448"/>
      <c r="K37" s="448"/>
      <c r="L37" s="448"/>
      <c r="M37" s="448"/>
      <c r="N37" s="448">
        <v>8</v>
      </c>
      <c r="O37" s="448">
        <v>33.33</v>
      </c>
      <c r="P37" s="467"/>
      <c r="Q37" s="468">
        <v>4.1662499999999998</v>
      </c>
    </row>
    <row r="38" spans="1:17" ht="14.4" customHeight="1" x14ac:dyDescent="0.3">
      <c r="A38" s="447" t="s">
        <v>409</v>
      </c>
      <c r="B38" s="466" t="s">
        <v>364</v>
      </c>
      <c r="C38" s="466" t="s">
        <v>365</v>
      </c>
      <c r="D38" s="466" t="s">
        <v>376</v>
      </c>
      <c r="E38" s="466" t="s">
        <v>377</v>
      </c>
      <c r="F38" s="448">
        <v>1</v>
      </c>
      <c r="G38" s="448">
        <v>345</v>
      </c>
      <c r="H38" s="448">
        <v>1</v>
      </c>
      <c r="I38" s="448">
        <v>345</v>
      </c>
      <c r="J38" s="448">
        <v>1</v>
      </c>
      <c r="K38" s="448">
        <v>345</v>
      </c>
      <c r="L38" s="448">
        <v>1</v>
      </c>
      <c r="M38" s="448">
        <v>345</v>
      </c>
      <c r="N38" s="448">
        <v>5</v>
      </c>
      <c r="O38" s="448">
        <v>1750</v>
      </c>
      <c r="P38" s="467">
        <v>5.0724637681159424</v>
      </c>
      <c r="Q38" s="468">
        <v>350</v>
      </c>
    </row>
    <row r="39" spans="1:17" ht="14.4" customHeight="1" x14ac:dyDescent="0.3">
      <c r="A39" s="447" t="s">
        <v>409</v>
      </c>
      <c r="B39" s="466" t="s">
        <v>364</v>
      </c>
      <c r="C39" s="466" t="s">
        <v>365</v>
      </c>
      <c r="D39" s="466" t="s">
        <v>380</v>
      </c>
      <c r="E39" s="466" t="s">
        <v>381</v>
      </c>
      <c r="F39" s="448">
        <v>2</v>
      </c>
      <c r="G39" s="448">
        <v>522</v>
      </c>
      <c r="H39" s="448">
        <v>1</v>
      </c>
      <c r="I39" s="448">
        <v>261</v>
      </c>
      <c r="J39" s="448">
        <v>2</v>
      </c>
      <c r="K39" s="448">
        <v>525</v>
      </c>
      <c r="L39" s="448">
        <v>1.0057471264367817</v>
      </c>
      <c r="M39" s="448">
        <v>262.5</v>
      </c>
      <c r="N39" s="448">
        <v>2</v>
      </c>
      <c r="O39" s="448">
        <v>530</v>
      </c>
      <c r="P39" s="467">
        <v>1.0153256704980842</v>
      </c>
      <c r="Q39" s="468">
        <v>265</v>
      </c>
    </row>
    <row r="40" spans="1:17" ht="14.4" customHeight="1" x14ac:dyDescent="0.3">
      <c r="A40" s="447" t="s">
        <v>410</v>
      </c>
      <c r="B40" s="466" t="s">
        <v>364</v>
      </c>
      <c r="C40" s="466" t="s">
        <v>365</v>
      </c>
      <c r="D40" s="466" t="s">
        <v>370</v>
      </c>
      <c r="E40" s="466" t="s">
        <v>371</v>
      </c>
      <c r="F40" s="448"/>
      <c r="G40" s="448"/>
      <c r="H40" s="448"/>
      <c r="I40" s="448"/>
      <c r="J40" s="448">
        <v>18</v>
      </c>
      <c r="K40" s="448">
        <v>9216</v>
      </c>
      <c r="L40" s="448"/>
      <c r="M40" s="448">
        <v>512</v>
      </c>
      <c r="N40" s="448"/>
      <c r="O40" s="448"/>
      <c r="P40" s="467"/>
      <c r="Q40" s="468"/>
    </row>
    <row r="41" spans="1:17" ht="14.4" customHeight="1" x14ac:dyDescent="0.3">
      <c r="A41" s="447" t="s">
        <v>410</v>
      </c>
      <c r="B41" s="466" t="s">
        <v>364</v>
      </c>
      <c r="C41" s="466" t="s">
        <v>365</v>
      </c>
      <c r="D41" s="466" t="s">
        <v>376</v>
      </c>
      <c r="E41" s="466" t="s">
        <v>377</v>
      </c>
      <c r="F41" s="448"/>
      <c r="G41" s="448"/>
      <c r="H41" s="448"/>
      <c r="I41" s="448"/>
      <c r="J41" s="448">
        <v>1</v>
      </c>
      <c r="K41" s="448">
        <v>345</v>
      </c>
      <c r="L41" s="448"/>
      <c r="M41" s="448">
        <v>345</v>
      </c>
      <c r="N41" s="448"/>
      <c r="O41" s="448"/>
      <c r="P41" s="467"/>
      <c r="Q41" s="468"/>
    </row>
    <row r="42" spans="1:17" ht="14.4" customHeight="1" x14ac:dyDescent="0.3">
      <c r="A42" s="447" t="s">
        <v>411</v>
      </c>
      <c r="B42" s="466" t="s">
        <v>364</v>
      </c>
      <c r="C42" s="466" t="s">
        <v>365</v>
      </c>
      <c r="D42" s="466" t="s">
        <v>370</v>
      </c>
      <c r="E42" s="466" t="s">
        <v>371</v>
      </c>
      <c r="F42" s="448"/>
      <c r="G42" s="448"/>
      <c r="H42" s="448"/>
      <c r="I42" s="448"/>
      <c r="J42" s="448"/>
      <c r="K42" s="448"/>
      <c r="L42" s="448"/>
      <c r="M42" s="448"/>
      <c r="N42" s="448">
        <v>8</v>
      </c>
      <c r="O42" s="448">
        <v>4144</v>
      </c>
      <c r="P42" s="467"/>
      <c r="Q42" s="468">
        <v>518</v>
      </c>
    </row>
    <row r="43" spans="1:17" ht="14.4" customHeight="1" x14ac:dyDescent="0.3">
      <c r="A43" s="447" t="s">
        <v>411</v>
      </c>
      <c r="B43" s="466" t="s">
        <v>364</v>
      </c>
      <c r="C43" s="466" t="s">
        <v>365</v>
      </c>
      <c r="D43" s="466" t="s">
        <v>374</v>
      </c>
      <c r="E43" s="466" t="s">
        <v>375</v>
      </c>
      <c r="F43" s="448"/>
      <c r="G43" s="448"/>
      <c r="H43" s="448"/>
      <c r="I43" s="448"/>
      <c r="J43" s="448"/>
      <c r="K43" s="448"/>
      <c r="L43" s="448"/>
      <c r="M43" s="448"/>
      <c r="N43" s="448">
        <v>1</v>
      </c>
      <c r="O43" s="448">
        <v>33.33</v>
      </c>
      <c r="P43" s="467"/>
      <c r="Q43" s="468">
        <v>33.33</v>
      </c>
    </row>
    <row r="44" spans="1:17" ht="14.4" customHeight="1" x14ac:dyDescent="0.3">
      <c r="A44" s="447" t="s">
        <v>411</v>
      </c>
      <c r="B44" s="466" t="s">
        <v>364</v>
      </c>
      <c r="C44" s="466" t="s">
        <v>365</v>
      </c>
      <c r="D44" s="466" t="s">
        <v>376</v>
      </c>
      <c r="E44" s="466" t="s">
        <v>377</v>
      </c>
      <c r="F44" s="448"/>
      <c r="G44" s="448"/>
      <c r="H44" s="448"/>
      <c r="I44" s="448"/>
      <c r="J44" s="448"/>
      <c r="K44" s="448"/>
      <c r="L44" s="448"/>
      <c r="M44" s="448"/>
      <c r="N44" s="448">
        <v>2</v>
      </c>
      <c r="O44" s="448">
        <v>700</v>
      </c>
      <c r="P44" s="467"/>
      <c r="Q44" s="468">
        <v>350</v>
      </c>
    </row>
    <row r="45" spans="1:17" ht="14.4" customHeight="1" thickBot="1" x14ac:dyDescent="0.35">
      <c r="A45" s="451" t="s">
        <v>412</v>
      </c>
      <c r="B45" s="469" t="s">
        <v>364</v>
      </c>
      <c r="C45" s="469" t="s">
        <v>365</v>
      </c>
      <c r="D45" s="469" t="s">
        <v>370</v>
      </c>
      <c r="E45" s="469" t="s">
        <v>371</v>
      </c>
      <c r="F45" s="391"/>
      <c r="G45" s="391"/>
      <c r="H45" s="391"/>
      <c r="I45" s="391"/>
      <c r="J45" s="391"/>
      <c r="K45" s="391"/>
      <c r="L45" s="391"/>
      <c r="M45" s="391"/>
      <c r="N45" s="391">
        <v>1</v>
      </c>
      <c r="O45" s="391">
        <v>518</v>
      </c>
      <c r="P45" s="392"/>
      <c r="Q45" s="401">
        <v>518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86" t="s">
        <v>94</v>
      </c>
      <c r="B1" s="286"/>
      <c r="C1" s="287"/>
      <c r="D1" s="287"/>
      <c r="E1" s="287"/>
    </row>
    <row r="2" spans="1:5" ht="14.4" customHeight="1" thickBot="1" x14ac:dyDescent="0.35">
      <c r="A2" s="196" t="s">
        <v>233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1390.9563230744002</v>
      </c>
      <c r="D4" s="130">
        <f ca="1">IF(ISERROR(VLOOKUP("Náklady celkem",INDIRECT("HI!$A:$G"),5,0)),0,VLOOKUP("Náklady celkem",INDIRECT("HI!$A:$G"),5,0))</f>
        <v>1308.7517700000012</v>
      </c>
      <c r="E4" s="131">
        <f ca="1">IF(C4=0,0,D4/C4)</f>
        <v>0.94090069421252276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</v>
      </c>
      <c r="D7" s="138">
        <f>IF(ISERROR(HI!E5),"",HI!E5)</f>
        <v>0</v>
      </c>
      <c r="E7" s="135">
        <f t="shared" ref="E7:E12" si="0">IF(C7=0,0,D7/C7)</f>
        <v>0</v>
      </c>
    </row>
    <row r="8" spans="1:5" ht="14.4" customHeight="1" x14ac:dyDescent="0.3">
      <c r="A8" s="273" t="str">
        <f>HYPERLINK("#'LŽ Statim'!A1","% podíl statimových žádanek")</f>
        <v>% podíl statimových žádanek</v>
      </c>
      <c r="B8" s="271" t="s">
        <v>206</v>
      </c>
      <c r="C8" s="272">
        <v>0.3</v>
      </c>
      <c r="D8" s="272">
        <f>IF('LŽ Statim'!G3="",0,'LŽ Statim'!G3)</f>
        <v>0</v>
      </c>
      <c r="E8" s="135">
        <f>IF(C8=0,0,D8/C8)</f>
        <v>0</v>
      </c>
    </row>
    <row r="9" spans="1:5" ht="14.4" customHeight="1" x14ac:dyDescent="0.3">
      <c r="A9" s="141" t="s">
        <v>109</v>
      </c>
      <c r="B9" s="137"/>
      <c r="C9" s="138"/>
      <c r="D9" s="138"/>
      <c r="E9" s="135"/>
    </row>
    <row r="10" spans="1:5" ht="14.4" customHeight="1" x14ac:dyDescent="0.3">
      <c r="A10" s="141" t="s">
        <v>110</v>
      </c>
      <c r="B10" s="137"/>
      <c r="C10" s="138"/>
      <c r="D10" s="138"/>
      <c r="E10" s="135"/>
    </row>
    <row r="11" spans="1:5" ht="14.4" customHeight="1" x14ac:dyDescent="0.3">
      <c r="A11" s="142" t="s">
        <v>114</v>
      </c>
      <c r="B11" s="137"/>
      <c r="C11" s="134"/>
      <c r="D11" s="134"/>
      <c r="E11" s="135"/>
    </row>
    <row r="12" spans="1:5" ht="14.4" customHeight="1" x14ac:dyDescent="0.3">
      <c r="A12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7" t="s">
        <v>88</v>
      </c>
      <c r="C12" s="138">
        <f>IF(ISERROR(HI!F6),"",HI!F6)</f>
        <v>0</v>
      </c>
      <c r="D12" s="138">
        <f>IF(ISERROR(HI!E6),"",HI!E6)</f>
        <v>0</v>
      </c>
      <c r="E12" s="135">
        <f t="shared" si="0"/>
        <v>0</v>
      </c>
    </row>
    <row r="13" spans="1:5" ht="14.4" customHeight="1" thickBot="1" x14ac:dyDescent="0.35">
      <c r="A13" s="144" t="str">
        <f>HYPERLINK("#HI!A1","Osobní náklady")</f>
        <v>Osobní náklady</v>
      </c>
      <c r="B13" s="137"/>
      <c r="C13" s="134">
        <f ca="1">IF(ISERROR(VLOOKUP("Osobní náklady (Kč) *",INDIRECT("HI!$A:$G"),6,0)),0,VLOOKUP("Osobní náklady (Kč) *",INDIRECT("HI!$A:$G"),6,0))</f>
        <v>1296.6666258248083</v>
      </c>
      <c r="D13" s="134">
        <f ca="1">IF(ISERROR(VLOOKUP("Osobní náklady (Kč) *",INDIRECT("HI!$A:$G"),5,0)),0,VLOOKUP("Osobní náklady (Kč) *",INDIRECT("HI!$A:$G"),5,0))</f>
        <v>1209.981970000001</v>
      </c>
      <c r="E13" s="135">
        <f ca="1">IF(C13=0,0,D13/C13)</f>
        <v>0.93314807823509194</v>
      </c>
    </row>
    <row r="14" spans="1:5" ht="14.4" customHeight="1" thickBot="1" x14ac:dyDescent="0.35">
      <c r="A14" s="148"/>
      <c r="B14" s="149"/>
      <c r="C14" s="150"/>
      <c r="D14" s="150"/>
      <c r="E14" s="151"/>
    </row>
    <row r="15" spans="1:5" ht="14.4" customHeight="1" thickBot="1" x14ac:dyDescent="0.35">
      <c r="A15" s="152" t="str">
        <f>HYPERLINK("#HI!A1","VÝNOSY CELKEM (v tisících)")</f>
        <v>VÝNOSY CELKEM (v tisících)</v>
      </c>
      <c r="B15" s="153"/>
      <c r="C15" s="154">
        <f ca="1">IF(ISERROR(VLOOKUP("Výnosy celkem",INDIRECT("HI!$A:$G"),6,0)),0,VLOOKUP("Výnosy celkem",INDIRECT("HI!$A:$G"),6,0))</f>
        <v>334.47</v>
      </c>
      <c r="D15" s="154">
        <f ca="1">IF(ISERROR(VLOOKUP("Výnosy celkem",INDIRECT("HI!$A:$G"),5,0)),0,VLOOKUP("Výnosy celkem",INDIRECT("HI!$A:$G"),5,0))</f>
        <v>352.36233000000004</v>
      </c>
      <c r="E15" s="155">
        <f t="shared" ref="E15:E18" ca="1" si="1">IF(C15=0,0,D15/C15)</f>
        <v>1.0534945735043502</v>
      </c>
    </row>
    <row r="16" spans="1:5" ht="14.4" customHeight="1" x14ac:dyDescent="0.3">
      <c r="A16" s="156" t="str">
        <f>HYPERLINK("#HI!A1","Ambulance (body za výkony + Kč za ZUM a ZULP)")</f>
        <v>Ambulance (body za výkony + Kč za ZUM a ZULP)</v>
      </c>
      <c r="B16" s="133"/>
      <c r="C16" s="134">
        <f ca="1">IF(ISERROR(VLOOKUP("Ambulance *",INDIRECT("HI!$A:$G"),6,0)),0,VLOOKUP("Ambulance *",INDIRECT("HI!$A:$G"),6,0))</f>
        <v>334.47</v>
      </c>
      <c r="D16" s="134">
        <f ca="1">IF(ISERROR(VLOOKUP("Ambulance *",INDIRECT("HI!$A:$G"),5,0)),0,VLOOKUP("Ambulance *",INDIRECT("HI!$A:$G"),5,0))</f>
        <v>352.36233000000004</v>
      </c>
      <c r="E16" s="135">
        <f t="shared" ca="1" si="1"/>
        <v>1.0534945735043502</v>
      </c>
    </row>
    <row r="17" spans="1:5" ht="14.4" customHeight="1" x14ac:dyDescent="0.3">
      <c r="A17" s="157" t="str">
        <f>HYPERLINK("#'ZV Vykáz.-A'!A1","Zdravotní výkony vykázané u ambulantních pacientů (min. 100 %)")</f>
        <v>Zdravotní výkony vykázané u ambulantních pacientů (min. 100 %)</v>
      </c>
      <c r="B17" s="120" t="s">
        <v>96</v>
      </c>
      <c r="C17" s="140">
        <v>1</v>
      </c>
      <c r="D17" s="140">
        <f>IF(ISERROR(VLOOKUP("Celkem:",'ZV Vykáz.-A'!$A:$S,7,0)),"",VLOOKUP("Celkem:",'ZV Vykáz.-A'!$A:$S,7,0))</f>
        <v>1.0534945735043502</v>
      </c>
      <c r="E17" s="135">
        <f t="shared" si="1"/>
        <v>1.0534945735043502</v>
      </c>
    </row>
    <row r="18" spans="1:5" ht="14.4" customHeight="1" x14ac:dyDescent="0.3">
      <c r="A18" s="157" t="str">
        <f>HYPERLINK("#'ZV Vykáz.-H'!A1","Zdravotní výkony vykázané u hospitalizovaných pacientů (max. 85 %)")</f>
        <v>Zdravotní výkony vykázané u hospitalizovaných pacientů (max. 85 %)</v>
      </c>
      <c r="B18" s="120" t="s">
        <v>98</v>
      </c>
      <c r="C18" s="140">
        <v>0.85</v>
      </c>
      <c r="D18" s="140">
        <f>IF(ISERROR(VLOOKUP("Celkem:",'ZV Vykáz.-H'!$A:$S,7,0)),"",VLOOKUP("Celkem:",'ZV Vykáz.-H'!$A:$S,7,0))</f>
        <v>1.6674516338247904</v>
      </c>
      <c r="E18" s="135">
        <f t="shared" si="1"/>
        <v>1.9617078044997536</v>
      </c>
    </row>
    <row r="19" spans="1:5" ht="14.4" customHeight="1" x14ac:dyDescent="0.3">
      <c r="A19" s="158" t="str">
        <f>HYPERLINK("#HI!A1","Hospitalizace (casemix * 30000)")</f>
        <v>Hospitalizace (casemix * 30000)</v>
      </c>
      <c r="B19" s="137"/>
      <c r="C19" s="134">
        <f ca="1">IF(ISERROR(VLOOKUP("Hospitalizace *",INDIRECT("HI!$A:$G"),6,0)),0,VLOOKUP("Hospitalizace *",INDIRECT("HI!$A:$G"),6,0))</f>
        <v>0</v>
      </c>
      <c r="D19" s="134">
        <f ca="1">IF(ISERROR(VLOOKUP("Hospitalizace *",INDIRECT("HI!$A:$G"),5,0)),0,VLOOKUP("Hospitalizace *",INDIRECT("HI!$A:$G"),5,0))</f>
        <v>0</v>
      </c>
      <c r="E19" s="135">
        <f ca="1">IF(C19=0,0,D19/C19)</f>
        <v>0</v>
      </c>
    </row>
    <row r="20" spans="1:5" ht="14.4" customHeight="1" thickBot="1" x14ac:dyDescent="0.35">
      <c r="A20" s="159" t="s">
        <v>111</v>
      </c>
      <c r="B20" s="145"/>
      <c r="C20" s="146"/>
      <c r="D20" s="146"/>
      <c r="E20" s="147"/>
    </row>
    <row r="21" spans="1:5" ht="14.4" customHeight="1" thickBot="1" x14ac:dyDescent="0.35">
      <c r="A21" s="160"/>
      <c r="B21" s="161"/>
      <c r="C21" s="162"/>
      <c r="D21" s="162"/>
      <c r="E21" s="163"/>
    </row>
    <row r="22" spans="1:5" ht="14.4" customHeight="1" thickBot="1" x14ac:dyDescent="0.35">
      <c r="A22" s="164" t="s">
        <v>112</v>
      </c>
      <c r="B22" s="165"/>
      <c r="C22" s="166"/>
      <c r="D22" s="166"/>
      <c r="E22" s="167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86" t="s">
        <v>103</v>
      </c>
      <c r="B1" s="286"/>
      <c r="C1" s="286"/>
      <c r="D1" s="286"/>
      <c r="E1" s="286"/>
      <c r="F1" s="286"/>
      <c r="G1" s="287"/>
      <c r="H1" s="287"/>
    </row>
    <row r="2" spans="1:8" ht="14.4" customHeight="1" thickBot="1" x14ac:dyDescent="0.35">
      <c r="A2" s="196" t="s">
        <v>233</v>
      </c>
      <c r="B2" s="83"/>
      <c r="C2" s="83"/>
      <c r="D2" s="83"/>
      <c r="E2" s="83"/>
      <c r="F2" s="83"/>
    </row>
    <row r="3" spans="1:8" ht="14.4" customHeight="1" x14ac:dyDescent="0.3">
      <c r="A3" s="288"/>
      <c r="B3" s="79">
        <v>2013</v>
      </c>
      <c r="C3" s="40">
        <v>2014</v>
      </c>
      <c r="D3" s="7"/>
      <c r="E3" s="292">
        <v>2015</v>
      </c>
      <c r="F3" s="293"/>
      <c r="G3" s="293"/>
      <c r="H3" s="294"/>
    </row>
    <row r="4" spans="1:8" ht="14.4" customHeight="1" thickBot="1" x14ac:dyDescent="0.35">
      <c r="A4" s="289"/>
      <c r="B4" s="290" t="s">
        <v>50</v>
      </c>
      <c r="C4" s="291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0.04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1027.8938499999999</v>
      </c>
      <c r="C7" s="31">
        <v>1027.1674200000009</v>
      </c>
      <c r="D7" s="8"/>
      <c r="E7" s="90">
        <v>1209.981970000001</v>
      </c>
      <c r="F7" s="30">
        <v>1296.6666258248083</v>
      </c>
      <c r="G7" s="91">
        <f>E7-F7</f>
        <v>-86.684655824807351</v>
      </c>
      <c r="H7" s="95">
        <f>IF(F7&lt;0.00000001,"",E7/F7)</f>
        <v>0.93314807823509194</v>
      </c>
    </row>
    <row r="8" spans="1:8" ht="14.4" customHeight="1" thickBot="1" x14ac:dyDescent="0.35">
      <c r="A8" s="1" t="s">
        <v>53</v>
      </c>
      <c r="B8" s="11">
        <v>97.66091999999999</v>
      </c>
      <c r="C8" s="33">
        <v>97.321150000000216</v>
      </c>
      <c r="D8" s="8"/>
      <c r="E8" s="92">
        <v>98.769800000000259</v>
      </c>
      <c r="F8" s="32">
        <v>94.289697249591882</v>
      </c>
      <c r="G8" s="93">
        <f>E8-F8</f>
        <v>4.4801027504083777</v>
      </c>
      <c r="H8" s="96">
        <f>IF(F8&lt;0.00000001,"",E8/F8)</f>
        <v>1.047514234121987</v>
      </c>
    </row>
    <row r="9" spans="1:8" ht="14.4" customHeight="1" thickBot="1" x14ac:dyDescent="0.35">
      <c r="A9" s="2" t="s">
        <v>54</v>
      </c>
      <c r="B9" s="3">
        <v>1125.5947699999999</v>
      </c>
      <c r="C9" s="35">
        <v>1124.4885700000011</v>
      </c>
      <c r="D9" s="8"/>
      <c r="E9" s="3">
        <v>1308.7517700000012</v>
      </c>
      <c r="F9" s="34">
        <v>1390.9563230744002</v>
      </c>
      <c r="G9" s="34">
        <f>E9-F9</f>
        <v>-82.204553074398973</v>
      </c>
      <c r="H9" s="97">
        <f>IF(F9&lt;0.00000001,"",E9/F9)</f>
        <v>0.94090069421252276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334.47</v>
      </c>
      <c r="C11" s="29">
        <f>IF(ISERROR(VLOOKUP("Celkem:",'ZV Vykáz.-A'!A:F,4,0)),0,VLOOKUP("Celkem:",'ZV Vykáz.-A'!A:F,4,0)/1000)</f>
        <v>303.50700000000001</v>
      </c>
      <c r="D11" s="8"/>
      <c r="E11" s="89">
        <f>IF(ISERROR(VLOOKUP("Celkem:",'ZV Vykáz.-A'!A:F,6,0)),0,VLOOKUP("Celkem:",'ZV Vykáz.-A'!A:F,6,0)/1000)</f>
        <v>352.36233000000004</v>
      </c>
      <c r="F11" s="28">
        <f>B11</f>
        <v>334.47</v>
      </c>
      <c r="G11" s="88">
        <f>E11-F11</f>
        <v>17.892330000000015</v>
      </c>
      <c r="H11" s="94">
        <f>IF(F11&lt;0.00000001,"",E11/F11)</f>
        <v>1.0534945735043502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334.47</v>
      </c>
      <c r="C13" s="37">
        <f>SUM(C11:C12)</f>
        <v>303.50700000000001</v>
      </c>
      <c r="D13" s="8"/>
      <c r="E13" s="5">
        <f>SUM(E11:E12)</f>
        <v>352.36233000000004</v>
      </c>
      <c r="F13" s="36">
        <f>SUM(F11:F12)</f>
        <v>334.47</v>
      </c>
      <c r="G13" s="36">
        <f>E13-F13</f>
        <v>17.892330000000015</v>
      </c>
      <c r="H13" s="98">
        <f>IF(F13&lt;0.00000001,"",E13/F13)</f>
        <v>1.0534945735043502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0.29714956831222666</v>
      </c>
      <c r="C15" s="39">
        <f>IF(C9=0,"",C13/C9)</f>
        <v>0.26990670078576229</v>
      </c>
      <c r="D15" s="8"/>
      <c r="E15" s="6">
        <f>IF(E9=0,"",E13/E9)</f>
        <v>0.26923541811141138</v>
      </c>
      <c r="F15" s="38">
        <f>IF(F9=0,"",F13/F9)</f>
        <v>0.2404604619509032</v>
      </c>
      <c r="G15" s="38">
        <f>IF(ISERROR(F15-E15),"",E15-F15)</f>
        <v>2.8774956160508181E-2</v>
      </c>
      <c r="H15" s="99">
        <f>IF(ISERROR(F15-E15),"",IF(F15&lt;0.00000001,"",E15/F15))</f>
        <v>1.1196660603870228</v>
      </c>
    </row>
    <row r="17" spans="1:8" ht="14.4" customHeight="1" x14ac:dyDescent="0.3">
      <c r="A17" s="85" t="s">
        <v>115</v>
      </c>
    </row>
    <row r="18" spans="1:8" ht="14.4" customHeight="1" x14ac:dyDescent="0.3">
      <c r="A18" s="249" t="s">
        <v>153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152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86" t="s">
        <v>207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117</v>
      </c>
    </row>
    <row r="23" spans="1:8" ht="14.4" customHeight="1" x14ac:dyDescent="0.3">
      <c r="A23" s="87" t="s">
        <v>118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86" t="s">
        <v>81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14.4" customHeight="1" x14ac:dyDescent="0.3">
      <c r="A2" s="196" t="s">
        <v>233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59</v>
      </c>
      <c r="C3" s="170" t="s">
        <v>60</v>
      </c>
      <c r="D3" s="170" t="s">
        <v>61</v>
      </c>
      <c r="E3" s="169" t="s">
        <v>62</v>
      </c>
      <c r="F3" s="170" t="s">
        <v>63</v>
      </c>
      <c r="G3" s="170" t="s">
        <v>64</v>
      </c>
      <c r="H3" s="170" t="s">
        <v>65</v>
      </c>
      <c r="I3" s="170" t="s">
        <v>66</v>
      </c>
      <c r="J3" s="170" t="s">
        <v>67</v>
      </c>
      <c r="K3" s="170" t="s">
        <v>68</v>
      </c>
      <c r="L3" s="170" t="s">
        <v>69</v>
      </c>
      <c r="M3" s="170" t="s">
        <v>70</v>
      </c>
    </row>
    <row r="4" spans="1:13" ht="14.4" customHeight="1" x14ac:dyDescent="0.3">
      <c r="A4" s="168" t="s">
        <v>58</v>
      </c>
      <c r="B4" s="171">
        <f>(B10+B8)/B6</f>
        <v>0.33062113461954357</v>
      </c>
      <c r="C4" s="171">
        <f t="shared" ref="C4:M4" si="0">(C10+C8)/C6</f>
        <v>0.30466758007228639</v>
      </c>
      <c r="D4" s="171">
        <f t="shared" si="0"/>
        <v>0.27332830321326801</v>
      </c>
      <c r="E4" s="171">
        <f t="shared" si="0"/>
        <v>0.27529961707032352</v>
      </c>
      <c r="F4" s="171">
        <f t="shared" si="0"/>
        <v>0.26923541811141138</v>
      </c>
      <c r="G4" s="171">
        <f t="shared" si="0"/>
        <v>0.26923541811141138</v>
      </c>
      <c r="H4" s="171">
        <f t="shared" si="0"/>
        <v>0.26923541811141138</v>
      </c>
      <c r="I4" s="171">
        <f t="shared" si="0"/>
        <v>0.26923541811141138</v>
      </c>
      <c r="J4" s="171">
        <f t="shared" si="0"/>
        <v>0.26923541811141138</v>
      </c>
      <c r="K4" s="171">
        <f t="shared" si="0"/>
        <v>0.26923541811141138</v>
      </c>
      <c r="L4" s="171">
        <f t="shared" si="0"/>
        <v>0.26923541811141138</v>
      </c>
      <c r="M4" s="171">
        <f t="shared" si="0"/>
        <v>0.26923541811141138</v>
      </c>
    </row>
    <row r="5" spans="1:13" ht="14.4" customHeight="1" x14ac:dyDescent="0.3">
      <c r="A5" s="172" t="s">
        <v>30</v>
      </c>
      <c r="B5" s="171">
        <f>IF(ISERROR(VLOOKUP($A5,'Man Tab'!$A:$Q,COLUMN()+2,0)),0,VLOOKUP($A5,'Man Tab'!$A:$Q,COLUMN()+2,0))</f>
        <v>275.49358000000001</v>
      </c>
      <c r="C5" s="171">
        <f>IF(ISERROR(VLOOKUP($A5,'Man Tab'!$A:$Q,COLUMN()+2,0)),0,VLOOKUP($A5,'Man Tab'!$A:$Q,COLUMN()+2,0))</f>
        <v>274.36801000000099</v>
      </c>
      <c r="D5" s="171">
        <f>IF(ISERROR(VLOOKUP($A5,'Man Tab'!$A:$Q,COLUMN()+2,0)),0,VLOOKUP($A5,'Man Tab'!$A:$Q,COLUMN()+2,0))</f>
        <v>257.15692000000001</v>
      </c>
      <c r="E5" s="171">
        <f>IF(ISERROR(VLOOKUP($A5,'Man Tab'!$A:$Q,COLUMN()+2,0)),0,VLOOKUP($A5,'Man Tab'!$A:$Q,COLUMN()+2,0))</f>
        <v>274.51949999999999</v>
      </c>
      <c r="F5" s="171">
        <f>IF(ISERROR(VLOOKUP($A5,'Man Tab'!$A:$Q,COLUMN()+2,0)),0,VLOOKUP($A5,'Man Tab'!$A:$Q,COLUMN()+2,0))</f>
        <v>227.21376000000001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54</v>
      </c>
      <c r="B6" s="173">
        <f>B5</f>
        <v>275.49358000000001</v>
      </c>
      <c r="C6" s="173">
        <f t="shared" ref="C6:M6" si="1">C5+B6</f>
        <v>549.861590000001</v>
      </c>
      <c r="D6" s="173">
        <f t="shared" si="1"/>
        <v>807.01851000000102</v>
      </c>
      <c r="E6" s="173">
        <f t="shared" si="1"/>
        <v>1081.5380100000011</v>
      </c>
      <c r="F6" s="173">
        <f t="shared" si="1"/>
        <v>1308.7517700000012</v>
      </c>
      <c r="G6" s="173">
        <f t="shared" si="1"/>
        <v>1308.7517700000012</v>
      </c>
      <c r="H6" s="173">
        <f t="shared" si="1"/>
        <v>1308.7517700000012</v>
      </c>
      <c r="I6" s="173">
        <f t="shared" si="1"/>
        <v>1308.7517700000012</v>
      </c>
      <c r="J6" s="173">
        <f t="shared" si="1"/>
        <v>1308.7517700000012</v>
      </c>
      <c r="K6" s="173">
        <f t="shared" si="1"/>
        <v>1308.7517700000012</v>
      </c>
      <c r="L6" s="173">
        <f t="shared" si="1"/>
        <v>1308.7517700000012</v>
      </c>
      <c r="M6" s="173">
        <f t="shared" si="1"/>
        <v>1308.7517700000012</v>
      </c>
    </row>
    <row r="7" spans="1:13" ht="14.4" customHeight="1" x14ac:dyDescent="0.3">
      <c r="A7" s="172" t="s">
        <v>79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55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80</v>
      </c>
      <c r="B9" s="172">
        <v>91084</v>
      </c>
      <c r="C9" s="172">
        <v>76441</v>
      </c>
      <c r="D9" s="172">
        <v>53056</v>
      </c>
      <c r="E9" s="172">
        <v>77166</v>
      </c>
      <c r="F9" s="172">
        <v>54615.33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56</v>
      </c>
      <c r="B10" s="173">
        <f>B9/1000</f>
        <v>91.084000000000003</v>
      </c>
      <c r="C10" s="173">
        <f t="shared" ref="C10:M10" si="3">C9/1000+B10</f>
        <v>167.52500000000001</v>
      </c>
      <c r="D10" s="173">
        <f t="shared" si="3"/>
        <v>220.58100000000002</v>
      </c>
      <c r="E10" s="173">
        <f t="shared" si="3"/>
        <v>297.74700000000001</v>
      </c>
      <c r="F10" s="173">
        <f t="shared" si="3"/>
        <v>352.36233000000004</v>
      </c>
      <c r="G10" s="173">
        <f t="shared" si="3"/>
        <v>352.36233000000004</v>
      </c>
      <c r="H10" s="173">
        <f t="shared" si="3"/>
        <v>352.36233000000004</v>
      </c>
      <c r="I10" s="173">
        <f t="shared" si="3"/>
        <v>352.36233000000004</v>
      </c>
      <c r="J10" s="173">
        <f t="shared" si="3"/>
        <v>352.36233000000004</v>
      </c>
      <c r="K10" s="173">
        <f t="shared" si="3"/>
        <v>352.36233000000004</v>
      </c>
      <c r="L10" s="173">
        <f t="shared" si="3"/>
        <v>352.36233000000004</v>
      </c>
      <c r="M10" s="173">
        <f t="shared" si="3"/>
        <v>352.36233000000004</v>
      </c>
    </row>
    <row r="11" spans="1:13" ht="14.4" customHeight="1" x14ac:dyDescent="0.3">
      <c r="A11" s="168"/>
      <c r="B11" s="168" t="s">
        <v>71</v>
      </c>
      <c r="C11" s="168">
        <f ca="1">IF(MONTH(TODAY())=1,12,MONTH(TODAY())-1)</f>
        <v>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0.2404604619509032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0.2404604619509032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95" t="s">
        <v>236</v>
      </c>
      <c r="B1" s="295"/>
      <c r="C1" s="295"/>
      <c r="D1" s="295"/>
      <c r="E1" s="295"/>
      <c r="F1" s="295"/>
      <c r="G1" s="295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174" customFormat="1" ht="14.4" customHeight="1" thickBot="1" x14ac:dyDescent="0.3">
      <c r="A2" s="196" t="s">
        <v>233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96" t="s">
        <v>6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0"/>
      <c r="Q3" s="112"/>
    </row>
    <row r="4" spans="1:17" ht="14.4" customHeight="1" x14ac:dyDescent="0.3">
      <c r="A4" s="60"/>
      <c r="B4" s="20">
        <v>2015</v>
      </c>
      <c r="C4" s="111" t="s">
        <v>7</v>
      </c>
      <c r="D4" s="101" t="s">
        <v>210</v>
      </c>
      <c r="E4" s="101" t="s">
        <v>211</v>
      </c>
      <c r="F4" s="101" t="s">
        <v>212</v>
      </c>
      <c r="G4" s="101" t="s">
        <v>213</v>
      </c>
      <c r="H4" s="101" t="s">
        <v>214</v>
      </c>
      <c r="I4" s="101" t="s">
        <v>215</v>
      </c>
      <c r="J4" s="101" t="s">
        <v>216</v>
      </c>
      <c r="K4" s="101" t="s">
        <v>217</v>
      </c>
      <c r="L4" s="101" t="s">
        <v>218</v>
      </c>
      <c r="M4" s="101" t="s">
        <v>219</v>
      </c>
      <c r="N4" s="101" t="s">
        <v>220</v>
      </c>
      <c r="O4" s="101" t="s">
        <v>221</v>
      </c>
      <c r="P4" s="298" t="s">
        <v>3</v>
      </c>
      <c r="Q4" s="299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234</v>
      </c>
    </row>
    <row r="7" spans="1:17" ht="14.4" customHeight="1" x14ac:dyDescent="0.3">
      <c r="A7" s="15" t="s">
        <v>12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234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234</v>
      </c>
    </row>
    <row r="9" spans="1:17" ht="14.4" customHeight="1" x14ac:dyDescent="0.3">
      <c r="A9" s="15" t="s">
        <v>14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234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234</v>
      </c>
    </row>
    <row r="11" spans="1:17" ht="14.4" customHeight="1" x14ac:dyDescent="0.3">
      <c r="A11" s="15" t="s">
        <v>16</v>
      </c>
      <c r="B11" s="46">
        <v>13.260189245092</v>
      </c>
      <c r="C11" s="47">
        <v>1.105015770424</v>
      </c>
      <c r="D11" s="47">
        <v>0</v>
      </c>
      <c r="E11" s="47">
        <v>0.47189999999999999</v>
      </c>
      <c r="F11" s="47">
        <v>1.1599600000000001</v>
      </c>
      <c r="G11" s="47">
        <v>2.82</v>
      </c>
      <c r="H11" s="47">
        <v>1.91995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6.37181</v>
      </c>
      <c r="Q11" s="70">
        <v>1.1532523192040001</v>
      </c>
    </row>
    <row r="12" spans="1:17" ht="14.4" customHeight="1" x14ac:dyDescent="0.3">
      <c r="A12" s="15" t="s">
        <v>17</v>
      </c>
      <c r="B12" s="46">
        <v>0.99999996850200001</v>
      </c>
      <c r="C12" s="47">
        <v>8.3333330708000003E-2</v>
      </c>
      <c r="D12" s="47">
        <v>7.2300000000000003E-2</v>
      </c>
      <c r="E12" s="47">
        <v>0</v>
      </c>
      <c r="F12" s="47">
        <v>0</v>
      </c>
      <c r="G12" s="47">
        <v>3.1899999999999998E-2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0.1042</v>
      </c>
      <c r="Q12" s="70">
        <v>0.25008000787599999</v>
      </c>
    </row>
    <row r="13" spans="1:17" ht="14.4" customHeight="1" x14ac:dyDescent="0.3">
      <c r="A13" s="15" t="s">
        <v>18</v>
      </c>
      <c r="B13" s="46">
        <v>2.9999999055069999</v>
      </c>
      <c r="C13" s="47">
        <v>0.24999999212499999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19</v>
      </c>
      <c r="B14" s="46">
        <v>147.77419616540701</v>
      </c>
      <c r="C14" s="47">
        <v>12.314516347116999</v>
      </c>
      <c r="D14" s="47">
        <v>17.451000000000001</v>
      </c>
      <c r="E14" s="47">
        <v>14.673</v>
      </c>
      <c r="F14" s="47">
        <v>14.477</v>
      </c>
      <c r="G14" s="47">
        <v>12.324999999999999</v>
      </c>
      <c r="H14" s="47">
        <v>10.172000000000001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69.097999999999999</v>
      </c>
      <c r="Q14" s="70">
        <v>1.12222028137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234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234</v>
      </c>
    </row>
    <row r="17" spans="1:17" ht="14.4" customHeight="1" x14ac:dyDescent="0.3">
      <c r="A17" s="15" t="s">
        <v>22</v>
      </c>
      <c r="B17" s="46">
        <v>13.559512816128001</v>
      </c>
      <c r="C17" s="47">
        <v>1.129959401344</v>
      </c>
      <c r="D17" s="47">
        <v>0</v>
      </c>
      <c r="E17" s="47">
        <v>0.80223</v>
      </c>
      <c r="F17" s="47">
        <v>0</v>
      </c>
      <c r="G17" s="47">
        <v>0.90991999999999995</v>
      </c>
      <c r="H17" s="47">
        <v>1.3878699999999999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3.1000200000000002</v>
      </c>
      <c r="Q17" s="70">
        <v>0.54869581974500004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234</v>
      </c>
    </row>
    <row r="19" spans="1:17" ht="14.4" customHeight="1" x14ac:dyDescent="0.3">
      <c r="A19" s="15" t="s">
        <v>24</v>
      </c>
      <c r="B19" s="46">
        <v>27.701412881877999</v>
      </c>
      <c r="C19" s="47">
        <v>2.308451073489</v>
      </c>
      <c r="D19" s="47">
        <v>1.61053</v>
      </c>
      <c r="E19" s="47">
        <v>1.50888</v>
      </c>
      <c r="F19" s="47">
        <v>1.61633</v>
      </c>
      <c r="G19" s="47">
        <v>2.2266900000000001</v>
      </c>
      <c r="H19" s="47">
        <v>1.57409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8.5365199999999994</v>
      </c>
      <c r="Q19" s="70">
        <v>0.73958855771499998</v>
      </c>
    </row>
    <row r="20" spans="1:17" ht="14.4" customHeight="1" x14ac:dyDescent="0.3">
      <c r="A20" s="15" t="s">
        <v>25</v>
      </c>
      <c r="B20" s="46">
        <v>3111.99990197954</v>
      </c>
      <c r="C20" s="47">
        <v>259.33332516496199</v>
      </c>
      <c r="D20" s="47">
        <v>253.6105</v>
      </c>
      <c r="E20" s="47">
        <v>253.02200000000099</v>
      </c>
      <c r="F20" s="47">
        <v>238.26363000000001</v>
      </c>
      <c r="G20" s="47">
        <v>254.56599</v>
      </c>
      <c r="H20" s="47">
        <v>210.51984999999999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1209.98197</v>
      </c>
      <c r="Q20" s="70">
        <v>0.93314807823500001</v>
      </c>
    </row>
    <row r="21" spans="1:17" ht="14.4" customHeight="1" x14ac:dyDescent="0.3">
      <c r="A21" s="16" t="s">
        <v>26</v>
      </c>
      <c r="B21" s="46">
        <v>19.999962416498999</v>
      </c>
      <c r="C21" s="47">
        <v>1.6666635347080001</v>
      </c>
      <c r="D21" s="47">
        <v>1.64</v>
      </c>
      <c r="E21" s="47">
        <v>1.64</v>
      </c>
      <c r="F21" s="47">
        <v>1.64</v>
      </c>
      <c r="G21" s="47">
        <v>1.64</v>
      </c>
      <c r="H21" s="47">
        <v>1.64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8.1999999999999993</v>
      </c>
      <c r="Q21" s="70">
        <v>0.98400184911099997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234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/>
    </row>
    <row r="24" spans="1:17" ht="14.4" customHeight="1" x14ac:dyDescent="0.3">
      <c r="A24" s="16" t="s">
        <v>29</v>
      </c>
      <c r="B24" s="46">
        <v>0</v>
      </c>
      <c r="C24" s="47">
        <v>0</v>
      </c>
      <c r="D24" s="47">
        <v>1.1092500000000001</v>
      </c>
      <c r="E24" s="47">
        <v>2.25</v>
      </c>
      <c r="F24" s="47">
        <v>0</v>
      </c>
      <c r="G24" s="47">
        <v>5.6843418860808002E-14</v>
      </c>
      <c r="H24" s="47">
        <v>2.8421709430404001E-14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3.3592499999999998</v>
      </c>
      <c r="Q24" s="70"/>
    </row>
    <row r="25" spans="1:17" ht="14.4" customHeight="1" x14ac:dyDescent="0.3">
      <c r="A25" s="17" t="s">
        <v>30</v>
      </c>
      <c r="B25" s="49">
        <v>3338.2951753785601</v>
      </c>
      <c r="C25" s="50">
        <v>278.19126461488003</v>
      </c>
      <c r="D25" s="50">
        <v>275.49358000000001</v>
      </c>
      <c r="E25" s="50">
        <v>274.36801000000099</v>
      </c>
      <c r="F25" s="50">
        <v>257.15692000000001</v>
      </c>
      <c r="G25" s="50">
        <v>274.51949999999999</v>
      </c>
      <c r="H25" s="50">
        <v>227.21376000000001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1308.7517700000001</v>
      </c>
      <c r="Q25" s="71">
        <v>0.94090069421199996</v>
      </c>
    </row>
    <row r="26" spans="1:17" ht="14.4" customHeight="1" x14ac:dyDescent="0.3">
      <c r="A26" s="15" t="s">
        <v>31</v>
      </c>
      <c r="B26" s="46">
        <v>0</v>
      </c>
      <c r="C26" s="47">
        <v>0</v>
      </c>
      <c r="D26" s="47">
        <v>38.77093</v>
      </c>
      <c r="E26" s="47">
        <v>39.319479999999999</v>
      </c>
      <c r="F26" s="47">
        <v>41.556899999999999</v>
      </c>
      <c r="G26" s="47">
        <v>38.912520000000001</v>
      </c>
      <c r="H26" s="47">
        <v>30.820789999999999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189.38061999999999</v>
      </c>
      <c r="Q26" s="70" t="s">
        <v>234</v>
      </c>
    </row>
    <row r="27" spans="1:17" ht="14.4" customHeight="1" x14ac:dyDescent="0.3">
      <c r="A27" s="18" t="s">
        <v>32</v>
      </c>
      <c r="B27" s="49">
        <v>3338.2951753785601</v>
      </c>
      <c r="C27" s="50">
        <v>278.19126461488003</v>
      </c>
      <c r="D27" s="50">
        <v>314.26450999999997</v>
      </c>
      <c r="E27" s="50">
        <v>313.68749000000099</v>
      </c>
      <c r="F27" s="50">
        <v>298.71382</v>
      </c>
      <c r="G27" s="50">
        <v>313.43202000000002</v>
      </c>
      <c r="H27" s="50">
        <v>258.03455000000002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1498.13239</v>
      </c>
      <c r="Q27" s="71">
        <v>1.0770520721229999</v>
      </c>
    </row>
    <row r="28" spans="1:17" ht="14.4" customHeight="1" x14ac:dyDescent="0.3">
      <c r="A28" s="16" t="s">
        <v>33</v>
      </c>
      <c r="B28" s="46">
        <v>0</v>
      </c>
      <c r="C28" s="47">
        <v>0</v>
      </c>
      <c r="D28" s="47">
        <v>0.22</v>
      </c>
      <c r="E28" s="47">
        <v>0</v>
      </c>
      <c r="F28" s="47">
        <v>0</v>
      </c>
      <c r="G28" s="47">
        <v>0</v>
      </c>
      <c r="H28" s="47">
        <v>0.38262000000000002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0.60262000000000004</v>
      </c>
      <c r="Q28" s="70" t="s">
        <v>235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234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234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230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95" t="s">
        <v>38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6" t="s">
        <v>233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96" t="s">
        <v>39</v>
      </c>
      <c r="C3" s="297"/>
      <c r="D3" s="297"/>
      <c r="E3" s="297"/>
      <c r="F3" s="303" t="s">
        <v>40</v>
      </c>
      <c r="G3" s="297"/>
      <c r="H3" s="297"/>
      <c r="I3" s="297"/>
      <c r="J3" s="297"/>
      <c r="K3" s="304"/>
    </row>
    <row r="4" spans="1:11" ht="14.4" customHeight="1" x14ac:dyDescent="0.3">
      <c r="A4" s="60"/>
      <c r="B4" s="301"/>
      <c r="C4" s="302"/>
      <c r="D4" s="302"/>
      <c r="E4" s="302"/>
      <c r="F4" s="305" t="s">
        <v>226</v>
      </c>
      <c r="G4" s="307" t="s">
        <v>41</v>
      </c>
      <c r="H4" s="113" t="s">
        <v>107</v>
      </c>
      <c r="I4" s="305" t="s">
        <v>42</v>
      </c>
      <c r="J4" s="307" t="s">
        <v>228</v>
      </c>
      <c r="K4" s="308" t="s">
        <v>229</v>
      </c>
    </row>
    <row r="5" spans="1:11" ht="42" thickBot="1" x14ac:dyDescent="0.35">
      <c r="A5" s="61"/>
      <c r="B5" s="24" t="s">
        <v>222</v>
      </c>
      <c r="C5" s="25" t="s">
        <v>223</v>
      </c>
      <c r="D5" s="26" t="s">
        <v>224</v>
      </c>
      <c r="E5" s="26" t="s">
        <v>225</v>
      </c>
      <c r="F5" s="306"/>
      <c r="G5" s="306"/>
      <c r="H5" s="25" t="s">
        <v>227</v>
      </c>
      <c r="I5" s="306"/>
      <c r="J5" s="306"/>
      <c r="K5" s="309"/>
    </row>
    <row r="6" spans="1:11" ht="14.4" customHeight="1" thickBot="1" x14ac:dyDescent="0.35">
      <c r="A6" s="366" t="s">
        <v>237</v>
      </c>
      <c r="B6" s="348">
        <v>3441.1472956500902</v>
      </c>
      <c r="C6" s="348">
        <v>3018.0945099999999</v>
      </c>
      <c r="D6" s="349">
        <v>-423.05278565008598</v>
      </c>
      <c r="E6" s="350">
        <v>0.87706054135300004</v>
      </c>
      <c r="F6" s="348">
        <v>3338.2951753785601</v>
      </c>
      <c r="G6" s="349">
        <v>1390.9563230744</v>
      </c>
      <c r="H6" s="351">
        <v>227.21376000000001</v>
      </c>
      <c r="I6" s="348">
        <v>1308.7517700000001</v>
      </c>
      <c r="J6" s="349">
        <v>-82.204553074398007</v>
      </c>
      <c r="K6" s="352">
        <v>0.392041955921</v>
      </c>
    </row>
    <row r="7" spans="1:11" ht="14.4" customHeight="1" thickBot="1" x14ac:dyDescent="0.35">
      <c r="A7" s="367" t="s">
        <v>238</v>
      </c>
      <c r="B7" s="348">
        <v>169.85184636650499</v>
      </c>
      <c r="C7" s="348">
        <v>151.6944</v>
      </c>
      <c r="D7" s="349">
        <v>-18.157446366504001</v>
      </c>
      <c r="E7" s="350">
        <v>0.89309832801300004</v>
      </c>
      <c r="F7" s="348">
        <v>165.03438528450999</v>
      </c>
      <c r="G7" s="349">
        <v>68.764327201878999</v>
      </c>
      <c r="H7" s="351">
        <v>12.091950000000001</v>
      </c>
      <c r="I7" s="348">
        <v>75.574010000000001</v>
      </c>
      <c r="J7" s="349">
        <v>6.8096827981199999</v>
      </c>
      <c r="K7" s="352">
        <v>0.45792887263799997</v>
      </c>
    </row>
    <row r="8" spans="1:11" ht="14.4" customHeight="1" thickBot="1" x14ac:dyDescent="0.35">
      <c r="A8" s="368" t="s">
        <v>239</v>
      </c>
      <c r="B8" s="348">
        <v>15.171196011928</v>
      </c>
      <c r="C8" s="348">
        <v>11.6594</v>
      </c>
      <c r="D8" s="349">
        <v>-3.5117960119279998</v>
      </c>
      <c r="E8" s="350">
        <v>0.768522138322</v>
      </c>
      <c r="F8" s="348">
        <v>17.260189119102002</v>
      </c>
      <c r="G8" s="349">
        <v>7.1917454662919997</v>
      </c>
      <c r="H8" s="351">
        <v>1.91995</v>
      </c>
      <c r="I8" s="348">
        <v>6.4760099999999996</v>
      </c>
      <c r="J8" s="349">
        <v>-0.71573546629200002</v>
      </c>
      <c r="K8" s="352">
        <v>0.375199249284</v>
      </c>
    </row>
    <row r="9" spans="1:11" ht="14.4" customHeight="1" thickBot="1" x14ac:dyDescent="0.35">
      <c r="A9" s="369" t="s">
        <v>240</v>
      </c>
      <c r="B9" s="353">
        <v>0.47948292892299998</v>
      </c>
      <c r="C9" s="353">
        <v>0</v>
      </c>
      <c r="D9" s="354">
        <v>-0.47948292892299998</v>
      </c>
      <c r="E9" s="355">
        <v>0</v>
      </c>
      <c r="F9" s="353">
        <v>0</v>
      </c>
      <c r="G9" s="354">
        <v>0</v>
      </c>
      <c r="H9" s="356">
        <v>0</v>
      </c>
      <c r="I9" s="353">
        <v>0</v>
      </c>
      <c r="J9" s="354">
        <v>0</v>
      </c>
      <c r="K9" s="357">
        <v>0</v>
      </c>
    </row>
    <row r="10" spans="1:11" ht="14.4" customHeight="1" thickBot="1" x14ac:dyDescent="0.35">
      <c r="A10" s="370" t="s">
        <v>241</v>
      </c>
      <c r="B10" s="348">
        <v>0.47948292892299998</v>
      </c>
      <c r="C10" s="348">
        <v>0</v>
      </c>
      <c r="D10" s="349">
        <v>-0.47948292892299998</v>
      </c>
      <c r="E10" s="350">
        <v>0</v>
      </c>
      <c r="F10" s="348">
        <v>0</v>
      </c>
      <c r="G10" s="349">
        <v>0</v>
      </c>
      <c r="H10" s="351">
        <v>0</v>
      </c>
      <c r="I10" s="348">
        <v>0</v>
      </c>
      <c r="J10" s="349">
        <v>0</v>
      </c>
      <c r="K10" s="352">
        <v>0</v>
      </c>
    </row>
    <row r="11" spans="1:11" ht="14.4" customHeight="1" thickBot="1" x14ac:dyDescent="0.35">
      <c r="A11" s="369" t="s">
        <v>242</v>
      </c>
      <c r="B11" s="353">
        <v>3.9999698665999998E-2</v>
      </c>
      <c r="C11" s="353">
        <v>0</v>
      </c>
      <c r="D11" s="354">
        <v>-3.9999698665999998E-2</v>
      </c>
      <c r="E11" s="355">
        <v>0</v>
      </c>
      <c r="F11" s="353">
        <v>0</v>
      </c>
      <c r="G11" s="354">
        <v>0</v>
      </c>
      <c r="H11" s="356">
        <v>0</v>
      </c>
      <c r="I11" s="353">
        <v>0</v>
      </c>
      <c r="J11" s="354">
        <v>0</v>
      </c>
      <c r="K11" s="357">
        <v>0</v>
      </c>
    </row>
    <row r="12" spans="1:11" ht="14.4" customHeight="1" thickBot="1" x14ac:dyDescent="0.35">
      <c r="A12" s="370" t="s">
        <v>243</v>
      </c>
      <c r="B12" s="348">
        <v>3.9999698665999998E-2</v>
      </c>
      <c r="C12" s="348">
        <v>0</v>
      </c>
      <c r="D12" s="349">
        <v>-3.9999698665999998E-2</v>
      </c>
      <c r="E12" s="350">
        <v>0</v>
      </c>
      <c r="F12" s="348">
        <v>0</v>
      </c>
      <c r="G12" s="349">
        <v>0</v>
      </c>
      <c r="H12" s="351">
        <v>0</v>
      </c>
      <c r="I12" s="348">
        <v>0</v>
      </c>
      <c r="J12" s="349">
        <v>0</v>
      </c>
      <c r="K12" s="352">
        <v>0</v>
      </c>
    </row>
    <row r="13" spans="1:11" ht="14.4" customHeight="1" thickBot="1" x14ac:dyDescent="0.35">
      <c r="A13" s="369" t="s">
        <v>244</v>
      </c>
      <c r="B13" s="353">
        <v>13.162129307817001</v>
      </c>
      <c r="C13" s="353">
        <v>8.1452299999999997</v>
      </c>
      <c r="D13" s="354">
        <v>-5.0168993078169999</v>
      </c>
      <c r="E13" s="355">
        <v>0.61883832087500001</v>
      </c>
      <c r="F13" s="353">
        <v>13.260189245092</v>
      </c>
      <c r="G13" s="354">
        <v>5.5250788521220002</v>
      </c>
      <c r="H13" s="356">
        <v>1.91995</v>
      </c>
      <c r="I13" s="353">
        <v>6.37181</v>
      </c>
      <c r="J13" s="354">
        <v>0.84673114787699999</v>
      </c>
      <c r="K13" s="357">
        <v>0.48052179966800002</v>
      </c>
    </row>
    <row r="14" spans="1:11" ht="14.4" customHeight="1" thickBot="1" x14ac:dyDescent="0.35">
      <c r="A14" s="370" t="s">
        <v>245</v>
      </c>
      <c r="B14" s="348">
        <v>0</v>
      </c>
      <c r="C14" s="348">
        <v>0</v>
      </c>
      <c r="D14" s="349">
        <v>0</v>
      </c>
      <c r="E14" s="358" t="s">
        <v>234</v>
      </c>
      <c r="F14" s="348">
        <v>0</v>
      </c>
      <c r="G14" s="349">
        <v>0</v>
      </c>
      <c r="H14" s="351">
        <v>0</v>
      </c>
      <c r="I14" s="348">
        <v>1.3</v>
      </c>
      <c r="J14" s="349">
        <v>1.3</v>
      </c>
      <c r="K14" s="359" t="s">
        <v>235</v>
      </c>
    </row>
    <row r="15" spans="1:11" ht="14.4" customHeight="1" thickBot="1" x14ac:dyDescent="0.35">
      <c r="A15" s="370" t="s">
        <v>246</v>
      </c>
      <c r="B15" s="348">
        <v>0</v>
      </c>
      <c r="C15" s="348">
        <v>0.10696</v>
      </c>
      <c r="D15" s="349">
        <v>0.10696</v>
      </c>
      <c r="E15" s="358" t="s">
        <v>235</v>
      </c>
      <c r="F15" s="348">
        <v>0</v>
      </c>
      <c r="G15" s="349">
        <v>0</v>
      </c>
      <c r="H15" s="351">
        <v>0</v>
      </c>
      <c r="I15" s="348">
        <v>0</v>
      </c>
      <c r="J15" s="349">
        <v>0</v>
      </c>
      <c r="K15" s="352">
        <v>0</v>
      </c>
    </row>
    <row r="16" spans="1:11" ht="14.4" customHeight="1" thickBot="1" x14ac:dyDescent="0.35">
      <c r="A16" s="370" t="s">
        <v>247</v>
      </c>
      <c r="B16" s="348">
        <v>2.2523999963099999</v>
      </c>
      <c r="C16" s="348">
        <v>2.4256899999999999</v>
      </c>
      <c r="D16" s="349">
        <v>0.17329000368899999</v>
      </c>
      <c r="E16" s="350">
        <v>1.0769357147809999</v>
      </c>
      <c r="F16" s="348">
        <v>3.8952225394590001</v>
      </c>
      <c r="G16" s="349">
        <v>1.623009391441</v>
      </c>
      <c r="H16" s="351">
        <v>0</v>
      </c>
      <c r="I16" s="348">
        <v>0</v>
      </c>
      <c r="J16" s="349">
        <v>-1.623009391441</v>
      </c>
      <c r="K16" s="352">
        <v>0</v>
      </c>
    </row>
    <row r="17" spans="1:11" ht="14.4" customHeight="1" thickBot="1" x14ac:dyDescent="0.35">
      <c r="A17" s="370" t="s">
        <v>248</v>
      </c>
      <c r="B17" s="348">
        <v>2.231142273158</v>
      </c>
      <c r="C17" s="348">
        <v>3.4522400000000002</v>
      </c>
      <c r="D17" s="349">
        <v>1.2210977268409999</v>
      </c>
      <c r="E17" s="350">
        <v>1.5472971139180001</v>
      </c>
      <c r="F17" s="348">
        <v>5.9999998110139998</v>
      </c>
      <c r="G17" s="349">
        <v>2.4999999212559998</v>
      </c>
      <c r="H17" s="351">
        <v>0.49099999999999999</v>
      </c>
      <c r="I17" s="348">
        <v>1.5928800000000001</v>
      </c>
      <c r="J17" s="349">
        <v>-0.90711992125600005</v>
      </c>
      <c r="K17" s="352">
        <v>0.265480008361</v>
      </c>
    </row>
    <row r="18" spans="1:11" ht="14.4" customHeight="1" thickBot="1" x14ac:dyDescent="0.35">
      <c r="A18" s="370" t="s">
        <v>249</v>
      </c>
      <c r="B18" s="348">
        <v>0.99991897388999995</v>
      </c>
      <c r="C18" s="348">
        <v>0</v>
      </c>
      <c r="D18" s="349">
        <v>-0.99991897388999995</v>
      </c>
      <c r="E18" s="350">
        <v>0</v>
      </c>
      <c r="F18" s="348">
        <v>0.99999996850200001</v>
      </c>
      <c r="G18" s="349">
        <v>0.416666653542</v>
      </c>
      <c r="H18" s="351">
        <v>1.2232499999999999</v>
      </c>
      <c r="I18" s="348">
        <v>2.4467500000000002</v>
      </c>
      <c r="J18" s="349">
        <v>2.0300833464569998</v>
      </c>
      <c r="K18" s="352">
        <v>2.446750077066</v>
      </c>
    </row>
    <row r="19" spans="1:11" ht="14.4" customHeight="1" thickBot="1" x14ac:dyDescent="0.35">
      <c r="A19" s="370" t="s">
        <v>250</v>
      </c>
      <c r="B19" s="348">
        <v>5.8613186333189997</v>
      </c>
      <c r="C19" s="348">
        <v>0</v>
      </c>
      <c r="D19" s="349">
        <v>-5.8613186333189997</v>
      </c>
      <c r="E19" s="350">
        <v>0</v>
      </c>
      <c r="F19" s="348">
        <v>0</v>
      </c>
      <c r="G19" s="349">
        <v>0</v>
      </c>
      <c r="H19" s="351">
        <v>0</v>
      </c>
      <c r="I19" s="348">
        <v>0</v>
      </c>
      <c r="J19" s="349">
        <v>0</v>
      </c>
      <c r="K19" s="352">
        <v>0</v>
      </c>
    </row>
    <row r="20" spans="1:11" ht="14.4" customHeight="1" thickBot="1" x14ac:dyDescent="0.35">
      <c r="A20" s="370" t="s">
        <v>251</v>
      </c>
      <c r="B20" s="348">
        <v>0.90308199399699995</v>
      </c>
      <c r="C20" s="348">
        <v>0.89639999999999997</v>
      </c>
      <c r="D20" s="349">
        <v>-6.6819939969999997E-3</v>
      </c>
      <c r="E20" s="350">
        <v>0.99260089998199996</v>
      </c>
      <c r="F20" s="348">
        <v>1.364966957614</v>
      </c>
      <c r="G20" s="349">
        <v>0.56873623233899995</v>
      </c>
      <c r="H20" s="351">
        <v>0.20569999999999999</v>
      </c>
      <c r="I20" s="348">
        <v>0.97409999999999997</v>
      </c>
      <c r="J20" s="349">
        <v>0.40536376765999999</v>
      </c>
      <c r="K20" s="352">
        <v>0.71364364870899999</v>
      </c>
    </row>
    <row r="21" spans="1:11" ht="14.4" customHeight="1" thickBot="1" x14ac:dyDescent="0.35">
      <c r="A21" s="370" t="s">
        <v>252</v>
      </c>
      <c r="B21" s="348">
        <v>0.91426743714000003</v>
      </c>
      <c r="C21" s="348">
        <v>1.2639400000000001</v>
      </c>
      <c r="D21" s="349">
        <v>0.349672562859</v>
      </c>
      <c r="E21" s="350">
        <v>1.3824620112829999</v>
      </c>
      <c r="F21" s="348">
        <v>0.99999996850200001</v>
      </c>
      <c r="G21" s="349">
        <v>0.416666653542</v>
      </c>
      <c r="H21" s="351">
        <v>0</v>
      </c>
      <c r="I21" s="348">
        <v>5.808E-2</v>
      </c>
      <c r="J21" s="349">
        <v>-0.35858665354199998</v>
      </c>
      <c r="K21" s="352">
        <v>5.8080001829E-2</v>
      </c>
    </row>
    <row r="22" spans="1:11" ht="14.4" customHeight="1" thickBot="1" x14ac:dyDescent="0.35">
      <c r="A22" s="369" t="s">
        <v>253</v>
      </c>
      <c r="B22" s="353">
        <v>1.0001864980149999</v>
      </c>
      <c r="C22" s="353">
        <v>0</v>
      </c>
      <c r="D22" s="354">
        <v>-1.0001864980149999</v>
      </c>
      <c r="E22" s="355">
        <v>0</v>
      </c>
      <c r="F22" s="353">
        <v>0.99999996850200001</v>
      </c>
      <c r="G22" s="354">
        <v>0.416666653542</v>
      </c>
      <c r="H22" s="356">
        <v>0</v>
      </c>
      <c r="I22" s="353">
        <v>0.1042</v>
      </c>
      <c r="J22" s="354">
        <v>-0.31246665354199998</v>
      </c>
      <c r="K22" s="357">
        <v>0.10420000328200001</v>
      </c>
    </row>
    <row r="23" spans="1:11" ht="14.4" customHeight="1" thickBot="1" x14ac:dyDescent="0.35">
      <c r="A23" s="370" t="s">
        <v>254</v>
      </c>
      <c r="B23" s="348">
        <v>1.0001864980149999</v>
      </c>
      <c r="C23" s="348">
        <v>0</v>
      </c>
      <c r="D23" s="349">
        <v>-1.0001864980149999</v>
      </c>
      <c r="E23" s="350">
        <v>0</v>
      </c>
      <c r="F23" s="348">
        <v>0.99999996850200001</v>
      </c>
      <c r="G23" s="349">
        <v>0.416666653542</v>
      </c>
      <c r="H23" s="351">
        <v>0</v>
      </c>
      <c r="I23" s="348">
        <v>0.1042</v>
      </c>
      <c r="J23" s="349">
        <v>-0.31246665354199998</v>
      </c>
      <c r="K23" s="352">
        <v>0.10420000328200001</v>
      </c>
    </row>
    <row r="24" spans="1:11" ht="14.4" customHeight="1" thickBot="1" x14ac:dyDescent="0.35">
      <c r="A24" s="369" t="s">
        <v>255</v>
      </c>
      <c r="B24" s="353">
        <v>0.48939757850600002</v>
      </c>
      <c r="C24" s="353">
        <v>3.51417</v>
      </c>
      <c r="D24" s="354">
        <v>3.0247724214930001</v>
      </c>
      <c r="E24" s="355">
        <v>7.1806035712850003</v>
      </c>
      <c r="F24" s="353">
        <v>2.9999999055069999</v>
      </c>
      <c r="G24" s="354">
        <v>1.2499999606279999</v>
      </c>
      <c r="H24" s="356">
        <v>0</v>
      </c>
      <c r="I24" s="353">
        <v>0</v>
      </c>
      <c r="J24" s="354">
        <v>-1.2499999606279999</v>
      </c>
      <c r="K24" s="357">
        <v>0</v>
      </c>
    </row>
    <row r="25" spans="1:11" ht="14.4" customHeight="1" thickBot="1" x14ac:dyDescent="0.35">
      <c r="A25" s="370" t="s">
        <v>256</v>
      </c>
      <c r="B25" s="348">
        <v>0.48939757850600002</v>
      </c>
      <c r="C25" s="348">
        <v>3.51417</v>
      </c>
      <c r="D25" s="349">
        <v>3.0247724214930001</v>
      </c>
      <c r="E25" s="350">
        <v>7.1806035712850003</v>
      </c>
      <c r="F25" s="348">
        <v>2.9999999055069999</v>
      </c>
      <c r="G25" s="349">
        <v>1.2499999606279999</v>
      </c>
      <c r="H25" s="351">
        <v>0</v>
      </c>
      <c r="I25" s="348">
        <v>0</v>
      </c>
      <c r="J25" s="349">
        <v>-1.2499999606279999</v>
      </c>
      <c r="K25" s="352">
        <v>0</v>
      </c>
    </row>
    <row r="26" spans="1:11" ht="14.4" customHeight="1" thickBot="1" x14ac:dyDescent="0.35">
      <c r="A26" s="368" t="s">
        <v>19</v>
      </c>
      <c r="B26" s="348">
        <v>154.68065035457599</v>
      </c>
      <c r="C26" s="348">
        <v>140.035</v>
      </c>
      <c r="D26" s="349">
        <v>-14.645650354576</v>
      </c>
      <c r="E26" s="350">
        <v>0.90531685559200004</v>
      </c>
      <c r="F26" s="348">
        <v>147.77419616540701</v>
      </c>
      <c r="G26" s="349">
        <v>61.572581735585999</v>
      </c>
      <c r="H26" s="351">
        <v>10.172000000000001</v>
      </c>
      <c r="I26" s="348">
        <v>69.097999999999999</v>
      </c>
      <c r="J26" s="349">
        <v>7.5254182644130001</v>
      </c>
      <c r="K26" s="352">
        <v>0.46759178390400002</v>
      </c>
    </row>
    <row r="27" spans="1:11" ht="14.4" customHeight="1" thickBot="1" x14ac:dyDescent="0.35">
      <c r="A27" s="369" t="s">
        <v>257</v>
      </c>
      <c r="B27" s="353">
        <v>154.68065035457599</v>
      </c>
      <c r="C27" s="353">
        <v>140.035</v>
      </c>
      <c r="D27" s="354">
        <v>-14.645650354576</v>
      </c>
      <c r="E27" s="355">
        <v>0.90531685559200004</v>
      </c>
      <c r="F27" s="353">
        <v>147.77419616540701</v>
      </c>
      <c r="G27" s="354">
        <v>61.572581735585999</v>
      </c>
      <c r="H27" s="356">
        <v>10.172000000000001</v>
      </c>
      <c r="I27" s="353">
        <v>69.097999999999999</v>
      </c>
      <c r="J27" s="354">
        <v>7.5254182644130001</v>
      </c>
      <c r="K27" s="357">
        <v>0.46759178390400002</v>
      </c>
    </row>
    <row r="28" spans="1:11" ht="14.4" customHeight="1" thickBot="1" x14ac:dyDescent="0.35">
      <c r="A28" s="370" t="s">
        <v>258</v>
      </c>
      <c r="B28" s="348">
        <v>31.018429160524999</v>
      </c>
      <c r="C28" s="348">
        <v>26.065999999999999</v>
      </c>
      <c r="D28" s="349">
        <v>-4.9524291605249999</v>
      </c>
      <c r="E28" s="350">
        <v>0.84033913726200005</v>
      </c>
      <c r="F28" s="348">
        <v>26.774199976613001</v>
      </c>
      <c r="G28" s="349">
        <v>11.155916656922001</v>
      </c>
      <c r="H28" s="351">
        <v>2.0579999999999998</v>
      </c>
      <c r="I28" s="348">
        <v>10.81</v>
      </c>
      <c r="J28" s="349">
        <v>-0.34591665692200002</v>
      </c>
      <c r="K28" s="352">
        <v>0.40374689101599998</v>
      </c>
    </row>
    <row r="29" spans="1:11" ht="14.4" customHeight="1" thickBot="1" x14ac:dyDescent="0.35">
      <c r="A29" s="370" t="s">
        <v>259</v>
      </c>
      <c r="B29" s="348">
        <v>60.000406434337997</v>
      </c>
      <c r="C29" s="348">
        <v>54.908999999999999</v>
      </c>
      <c r="D29" s="349">
        <v>-5.0914064343380003</v>
      </c>
      <c r="E29" s="350">
        <v>0.91514380090199998</v>
      </c>
      <c r="F29" s="348">
        <v>59.999998110145</v>
      </c>
      <c r="G29" s="349">
        <v>24.999999212559999</v>
      </c>
      <c r="H29" s="351">
        <v>4.5739999999999998</v>
      </c>
      <c r="I29" s="348">
        <v>23.62</v>
      </c>
      <c r="J29" s="349">
        <v>-1.37999921256</v>
      </c>
      <c r="K29" s="352">
        <v>0.393666679066</v>
      </c>
    </row>
    <row r="30" spans="1:11" ht="14.4" customHeight="1" thickBot="1" x14ac:dyDescent="0.35">
      <c r="A30" s="370" t="s">
        <v>260</v>
      </c>
      <c r="B30" s="348">
        <v>63.661814759712001</v>
      </c>
      <c r="C30" s="348">
        <v>59.06</v>
      </c>
      <c r="D30" s="349">
        <v>-4.601814759712</v>
      </c>
      <c r="E30" s="350">
        <v>0.92771467830300003</v>
      </c>
      <c r="F30" s="348">
        <v>60.999998078647998</v>
      </c>
      <c r="G30" s="349">
        <v>25.416665866102999</v>
      </c>
      <c r="H30" s="351">
        <v>3.54</v>
      </c>
      <c r="I30" s="348">
        <v>34.667999999999999</v>
      </c>
      <c r="J30" s="349">
        <v>9.251334133896</v>
      </c>
      <c r="K30" s="352">
        <v>0.56832788675299994</v>
      </c>
    </row>
    <row r="31" spans="1:11" ht="14.4" customHeight="1" thickBot="1" x14ac:dyDescent="0.35">
      <c r="A31" s="371" t="s">
        <v>261</v>
      </c>
      <c r="B31" s="353">
        <v>30.280205215986999</v>
      </c>
      <c r="C31" s="353">
        <v>66.432360000000003</v>
      </c>
      <c r="D31" s="354">
        <v>36.152154784011998</v>
      </c>
      <c r="E31" s="355">
        <v>2.1939204019959999</v>
      </c>
      <c r="F31" s="353">
        <v>41.260925698005998</v>
      </c>
      <c r="G31" s="354">
        <v>17.192052374168998</v>
      </c>
      <c r="H31" s="356">
        <v>2.9619599999999999</v>
      </c>
      <c r="I31" s="353">
        <v>11.63654</v>
      </c>
      <c r="J31" s="354">
        <v>-5.555512374169</v>
      </c>
      <c r="K31" s="357">
        <v>0.28202324119299998</v>
      </c>
    </row>
    <row r="32" spans="1:11" ht="14.4" customHeight="1" thickBot="1" x14ac:dyDescent="0.35">
      <c r="A32" s="368" t="s">
        <v>22</v>
      </c>
      <c r="B32" s="348">
        <v>8.8865132008629999</v>
      </c>
      <c r="C32" s="348">
        <v>32.076650000000001</v>
      </c>
      <c r="D32" s="349">
        <v>23.190136799135999</v>
      </c>
      <c r="E32" s="350">
        <v>3.609587841143</v>
      </c>
      <c r="F32" s="348">
        <v>13.559512816128001</v>
      </c>
      <c r="G32" s="349">
        <v>5.6497970067200001</v>
      </c>
      <c r="H32" s="351">
        <v>1.3878699999999999</v>
      </c>
      <c r="I32" s="348">
        <v>3.1000200000000002</v>
      </c>
      <c r="J32" s="349">
        <v>-2.5497770067199999</v>
      </c>
      <c r="K32" s="352">
        <v>0.228623258227</v>
      </c>
    </row>
    <row r="33" spans="1:11" ht="14.4" customHeight="1" thickBot="1" x14ac:dyDescent="0.35">
      <c r="A33" s="372" t="s">
        <v>262</v>
      </c>
      <c r="B33" s="348">
        <v>8.8865132008629999</v>
      </c>
      <c r="C33" s="348">
        <v>32.076650000000001</v>
      </c>
      <c r="D33" s="349">
        <v>23.190136799135999</v>
      </c>
      <c r="E33" s="350">
        <v>3.609587841143</v>
      </c>
      <c r="F33" s="348">
        <v>13.559512816128001</v>
      </c>
      <c r="G33" s="349">
        <v>5.6497970067200001</v>
      </c>
      <c r="H33" s="351">
        <v>1.3878699999999999</v>
      </c>
      <c r="I33" s="348">
        <v>3.1000200000000002</v>
      </c>
      <c r="J33" s="349">
        <v>-2.5497770067199999</v>
      </c>
      <c r="K33" s="352">
        <v>0.228623258227</v>
      </c>
    </row>
    <row r="34" spans="1:11" ht="14.4" customHeight="1" thickBot="1" x14ac:dyDescent="0.35">
      <c r="A34" s="370" t="s">
        <v>263</v>
      </c>
      <c r="B34" s="348">
        <v>1.880226367171</v>
      </c>
      <c r="C34" s="348">
        <v>0</v>
      </c>
      <c r="D34" s="349">
        <v>-1.880226367171</v>
      </c>
      <c r="E34" s="350">
        <v>0</v>
      </c>
      <c r="F34" s="348">
        <v>0</v>
      </c>
      <c r="G34" s="349">
        <v>0</v>
      </c>
      <c r="H34" s="351">
        <v>0</v>
      </c>
      <c r="I34" s="348">
        <v>0.90991999999999995</v>
      </c>
      <c r="J34" s="349">
        <v>0.90991999999999995</v>
      </c>
      <c r="K34" s="359" t="s">
        <v>235</v>
      </c>
    </row>
    <row r="35" spans="1:11" ht="14.4" customHeight="1" thickBot="1" x14ac:dyDescent="0.35">
      <c r="A35" s="370" t="s">
        <v>264</v>
      </c>
      <c r="B35" s="348">
        <v>4.9999915584819998</v>
      </c>
      <c r="C35" s="348">
        <v>29.646059999999999</v>
      </c>
      <c r="D35" s="349">
        <v>24.646068441516999</v>
      </c>
      <c r="E35" s="350">
        <v>5.9292220103249997</v>
      </c>
      <c r="F35" s="348">
        <v>11.999999622029</v>
      </c>
      <c r="G35" s="349">
        <v>4.9999998425119996</v>
      </c>
      <c r="H35" s="351">
        <v>1.3878699999999999</v>
      </c>
      <c r="I35" s="348">
        <v>2.1901000000000002</v>
      </c>
      <c r="J35" s="349">
        <v>-2.8098998425119999</v>
      </c>
      <c r="K35" s="352">
        <v>0.182508339081</v>
      </c>
    </row>
    <row r="36" spans="1:11" ht="14.4" customHeight="1" thickBot="1" x14ac:dyDescent="0.35">
      <c r="A36" s="370" t="s">
        <v>265</v>
      </c>
      <c r="B36" s="348">
        <v>2.0062952752080001</v>
      </c>
      <c r="C36" s="348">
        <v>2.43059</v>
      </c>
      <c r="D36" s="349">
        <v>0.424294724791</v>
      </c>
      <c r="E36" s="350">
        <v>1.21148169466</v>
      </c>
      <c r="F36" s="348">
        <v>1.5595131940989999</v>
      </c>
      <c r="G36" s="349">
        <v>0.64979716420800004</v>
      </c>
      <c r="H36" s="351">
        <v>0</v>
      </c>
      <c r="I36" s="348">
        <v>0</v>
      </c>
      <c r="J36" s="349">
        <v>-0.64979716420800004</v>
      </c>
      <c r="K36" s="352">
        <v>0</v>
      </c>
    </row>
    <row r="37" spans="1:11" ht="14.4" customHeight="1" thickBot="1" x14ac:dyDescent="0.35">
      <c r="A37" s="373" t="s">
        <v>23</v>
      </c>
      <c r="B37" s="353">
        <v>0</v>
      </c>
      <c r="C37" s="353">
        <v>4.7389999999999999</v>
      </c>
      <c r="D37" s="354">
        <v>4.7389999999999999</v>
      </c>
      <c r="E37" s="360" t="s">
        <v>234</v>
      </c>
      <c r="F37" s="353">
        <v>0</v>
      </c>
      <c r="G37" s="354">
        <v>0</v>
      </c>
      <c r="H37" s="356">
        <v>0</v>
      </c>
      <c r="I37" s="353">
        <v>0</v>
      </c>
      <c r="J37" s="354">
        <v>0</v>
      </c>
      <c r="K37" s="361" t="s">
        <v>234</v>
      </c>
    </row>
    <row r="38" spans="1:11" ht="14.4" customHeight="1" thickBot="1" x14ac:dyDescent="0.35">
      <c r="A38" s="369" t="s">
        <v>266</v>
      </c>
      <c r="B38" s="353">
        <v>0</v>
      </c>
      <c r="C38" s="353">
        <v>4.7389999999999999</v>
      </c>
      <c r="D38" s="354">
        <v>4.7389999999999999</v>
      </c>
      <c r="E38" s="360" t="s">
        <v>234</v>
      </c>
      <c r="F38" s="353">
        <v>0</v>
      </c>
      <c r="G38" s="354">
        <v>0</v>
      </c>
      <c r="H38" s="356">
        <v>0</v>
      </c>
      <c r="I38" s="353">
        <v>0</v>
      </c>
      <c r="J38" s="354">
        <v>0</v>
      </c>
      <c r="K38" s="361" t="s">
        <v>234</v>
      </c>
    </row>
    <row r="39" spans="1:11" ht="14.4" customHeight="1" thickBot="1" x14ac:dyDescent="0.35">
      <c r="A39" s="370" t="s">
        <v>267</v>
      </c>
      <c r="B39" s="348">
        <v>0</v>
      </c>
      <c r="C39" s="348">
        <v>4.7389999999999999</v>
      </c>
      <c r="D39" s="349">
        <v>4.7389999999999999</v>
      </c>
      <c r="E39" s="358" t="s">
        <v>234</v>
      </c>
      <c r="F39" s="348">
        <v>0</v>
      </c>
      <c r="G39" s="349">
        <v>0</v>
      </c>
      <c r="H39" s="351">
        <v>0</v>
      </c>
      <c r="I39" s="348">
        <v>0</v>
      </c>
      <c r="J39" s="349">
        <v>0</v>
      </c>
      <c r="K39" s="359" t="s">
        <v>234</v>
      </c>
    </row>
    <row r="40" spans="1:11" ht="14.4" customHeight="1" thickBot="1" x14ac:dyDescent="0.35">
      <c r="A40" s="368" t="s">
        <v>24</v>
      </c>
      <c r="B40" s="348">
        <v>21.393692015123001</v>
      </c>
      <c r="C40" s="348">
        <v>29.616710000000001</v>
      </c>
      <c r="D40" s="349">
        <v>8.2230179848759999</v>
      </c>
      <c r="E40" s="350">
        <v>1.3843664748960001</v>
      </c>
      <c r="F40" s="348">
        <v>27.701412881877999</v>
      </c>
      <c r="G40" s="349">
        <v>11.542255367449</v>
      </c>
      <c r="H40" s="351">
        <v>1.57409</v>
      </c>
      <c r="I40" s="348">
        <v>8.5365199999999994</v>
      </c>
      <c r="J40" s="349">
        <v>-3.0057353674490002</v>
      </c>
      <c r="K40" s="352">
        <v>0.30816189904800001</v>
      </c>
    </row>
    <row r="41" spans="1:11" ht="14.4" customHeight="1" thickBot="1" x14ac:dyDescent="0.35">
      <c r="A41" s="369" t="s">
        <v>268</v>
      </c>
      <c r="B41" s="353">
        <v>8.2737648577E-2</v>
      </c>
      <c r="C41" s="353">
        <v>0.20699999999999999</v>
      </c>
      <c r="D41" s="354">
        <v>0.124262351422</v>
      </c>
      <c r="E41" s="355">
        <v>2.5018840099999999</v>
      </c>
      <c r="F41" s="353">
        <v>0.10588701725000001</v>
      </c>
      <c r="G41" s="354">
        <v>4.4119590520000002E-2</v>
      </c>
      <c r="H41" s="356">
        <v>0.13600000000000001</v>
      </c>
      <c r="I41" s="353">
        <v>0.13600000000000001</v>
      </c>
      <c r="J41" s="354">
        <v>9.1880409479000003E-2</v>
      </c>
      <c r="K41" s="357">
        <v>1.284387864838</v>
      </c>
    </row>
    <row r="42" spans="1:11" ht="14.4" customHeight="1" thickBot="1" x14ac:dyDescent="0.35">
      <c r="A42" s="370" t="s">
        <v>269</v>
      </c>
      <c r="B42" s="348">
        <v>8.2737648577E-2</v>
      </c>
      <c r="C42" s="348">
        <v>0.20699999999999999</v>
      </c>
      <c r="D42" s="349">
        <v>0.124262351422</v>
      </c>
      <c r="E42" s="350">
        <v>2.5018840099999999</v>
      </c>
      <c r="F42" s="348">
        <v>0.10588701725000001</v>
      </c>
      <c r="G42" s="349">
        <v>4.4119590520000002E-2</v>
      </c>
      <c r="H42" s="351">
        <v>0.13600000000000001</v>
      </c>
      <c r="I42" s="348">
        <v>0.13600000000000001</v>
      </c>
      <c r="J42" s="349">
        <v>9.1880409479000003E-2</v>
      </c>
      <c r="K42" s="352">
        <v>1.284387864838</v>
      </c>
    </row>
    <row r="43" spans="1:11" ht="14.4" customHeight="1" thickBot="1" x14ac:dyDescent="0.35">
      <c r="A43" s="369" t="s">
        <v>270</v>
      </c>
      <c r="B43" s="353">
        <v>6.5863561463520002</v>
      </c>
      <c r="C43" s="353">
        <v>7.0047300000000003</v>
      </c>
      <c r="D43" s="354">
        <v>0.41837385364700003</v>
      </c>
      <c r="E43" s="355">
        <v>1.063521292251</v>
      </c>
      <c r="F43" s="353">
        <v>7.0273589625220003</v>
      </c>
      <c r="G43" s="354">
        <v>2.928066234384</v>
      </c>
      <c r="H43" s="356">
        <v>9.5649999999999999E-2</v>
      </c>
      <c r="I43" s="353">
        <v>-0.49724999999899999</v>
      </c>
      <c r="J43" s="354">
        <v>-3.4253162343839998</v>
      </c>
      <c r="K43" s="357">
        <v>-7.0759157550999999E-2</v>
      </c>
    </row>
    <row r="44" spans="1:11" ht="14.4" customHeight="1" thickBot="1" x14ac:dyDescent="0.35">
      <c r="A44" s="370" t="s">
        <v>271</v>
      </c>
      <c r="B44" s="348">
        <v>0.23232017231900001</v>
      </c>
      <c r="C44" s="348">
        <v>0.20899999999999999</v>
      </c>
      <c r="D44" s="349">
        <v>-2.3320172319E-2</v>
      </c>
      <c r="E44" s="350">
        <v>0.89962054483999998</v>
      </c>
      <c r="F44" s="348">
        <v>0.22710996989500001</v>
      </c>
      <c r="G44" s="349">
        <v>9.4629154123000006E-2</v>
      </c>
      <c r="H44" s="351">
        <v>1.9E-2</v>
      </c>
      <c r="I44" s="348">
        <v>7.0300000000000001E-2</v>
      </c>
      <c r="J44" s="349">
        <v>-2.4329154123000001E-2</v>
      </c>
      <c r="K44" s="352">
        <v>0.30954167283900003</v>
      </c>
    </row>
    <row r="45" spans="1:11" ht="14.4" customHeight="1" thickBot="1" x14ac:dyDescent="0.35">
      <c r="A45" s="370" t="s">
        <v>272</v>
      </c>
      <c r="B45" s="348">
        <v>6.3540359740319996</v>
      </c>
      <c r="C45" s="348">
        <v>6.7957299999999998</v>
      </c>
      <c r="D45" s="349">
        <v>0.44169402596700003</v>
      </c>
      <c r="E45" s="350">
        <v>1.0695139322110001</v>
      </c>
      <c r="F45" s="348">
        <v>6.8002489926259999</v>
      </c>
      <c r="G45" s="349">
        <v>2.83343708026</v>
      </c>
      <c r="H45" s="351">
        <v>7.6649999999999996E-2</v>
      </c>
      <c r="I45" s="348">
        <v>-0.56754999999900002</v>
      </c>
      <c r="J45" s="349">
        <v>-3.4009870802600002</v>
      </c>
      <c r="K45" s="352">
        <v>-8.3460179268999998E-2</v>
      </c>
    </row>
    <row r="46" spans="1:11" ht="14.4" customHeight="1" thickBot="1" x14ac:dyDescent="0.35">
      <c r="A46" s="369" t="s">
        <v>273</v>
      </c>
      <c r="B46" s="353">
        <v>2.2373507688409999</v>
      </c>
      <c r="C46" s="353">
        <v>3.375</v>
      </c>
      <c r="D46" s="354">
        <v>1.137649231158</v>
      </c>
      <c r="E46" s="355">
        <v>1.508480497114</v>
      </c>
      <c r="F46" s="353">
        <v>3.9999998740090001</v>
      </c>
      <c r="G46" s="354">
        <v>1.6666666141699999</v>
      </c>
      <c r="H46" s="356">
        <v>0</v>
      </c>
      <c r="I46" s="353">
        <v>1.89</v>
      </c>
      <c r="J46" s="354">
        <v>0.223333385829</v>
      </c>
      <c r="K46" s="357">
        <v>0.472500014882</v>
      </c>
    </row>
    <row r="47" spans="1:11" ht="14.4" customHeight="1" thickBot="1" x14ac:dyDescent="0.35">
      <c r="A47" s="370" t="s">
        <v>274</v>
      </c>
      <c r="B47" s="348">
        <v>2.2373507688409999</v>
      </c>
      <c r="C47" s="348">
        <v>3.375</v>
      </c>
      <c r="D47" s="349">
        <v>1.137649231158</v>
      </c>
      <c r="E47" s="350">
        <v>1.508480497114</v>
      </c>
      <c r="F47" s="348">
        <v>3.9999998740090001</v>
      </c>
      <c r="G47" s="349">
        <v>1.6666666141699999</v>
      </c>
      <c r="H47" s="351">
        <v>0</v>
      </c>
      <c r="I47" s="348">
        <v>1.89</v>
      </c>
      <c r="J47" s="349">
        <v>0.223333385829</v>
      </c>
      <c r="K47" s="352">
        <v>0.472500014882</v>
      </c>
    </row>
    <row r="48" spans="1:11" ht="14.4" customHeight="1" thickBot="1" x14ac:dyDescent="0.35">
      <c r="A48" s="369" t="s">
        <v>275</v>
      </c>
      <c r="B48" s="353">
        <v>12.487247451351999</v>
      </c>
      <c r="C48" s="353">
        <v>15.464980000000001</v>
      </c>
      <c r="D48" s="354">
        <v>2.9777325486469999</v>
      </c>
      <c r="E48" s="355">
        <v>1.2384618836329999</v>
      </c>
      <c r="F48" s="353">
        <v>16.568167028095999</v>
      </c>
      <c r="G48" s="354">
        <v>6.9034029283729996</v>
      </c>
      <c r="H48" s="356">
        <v>1.3424400000000001</v>
      </c>
      <c r="I48" s="353">
        <v>7.0077699999999998</v>
      </c>
      <c r="J48" s="354">
        <v>0.10436707162599999</v>
      </c>
      <c r="K48" s="357">
        <v>0.42296591941099998</v>
      </c>
    </row>
    <row r="49" spans="1:11" ht="14.4" customHeight="1" thickBot="1" x14ac:dyDescent="0.35">
      <c r="A49" s="370" t="s">
        <v>276</v>
      </c>
      <c r="B49" s="348">
        <v>12.487247451351999</v>
      </c>
      <c r="C49" s="348">
        <v>15.464980000000001</v>
      </c>
      <c r="D49" s="349">
        <v>2.9777325486469999</v>
      </c>
      <c r="E49" s="350">
        <v>1.2384618836329999</v>
      </c>
      <c r="F49" s="348">
        <v>16.568167028095999</v>
      </c>
      <c r="G49" s="349">
        <v>6.9034029283729996</v>
      </c>
      <c r="H49" s="351">
        <v>1.3424400000000001</v>
      </c>
      <c r="I49" s="348">
        <v>7.0077699999999998</v>
      </c>
      <c r="J49" s="349">
        <v>0.10436707162599999</v>
      </c>
      <c r="K49" s="352">
        <v>0.42296591941099998</v>
      </c>
    </row>
    <row r="50" spans="1:11" ht="14.4" customHeight="1" thickBot="1" x14ac:dyDescent="0.35">
      <c r="A50" s="369" t="s">
        <v>277</v>
      </c>
      <c r="B50" s="353">
        <v>0</v>
      </c>
      <c r="C50" s="353">
        <v>3.5649999999999999</v>
      </c>
      <c r="D50" s="354">
        <v>3.5649999999999999</v>
      </c>
      <c r="E50" s="360" t="s">
        <v>235</v>
      </c>
      <c r="F50" s="353">
        <v>0</v>
      </c>
      <c r="G50" s="354">
        <v>0</v>
      </c>
      <c r="H50" s="356">
        <v>0</v>
      </c>
      <c r="I50" s="353">
        <v>0</v>
      </c>
      <c r="J50" s="354">
        <v>0</v>
      </c>
      <c r="K50" s="361" t="s">
        <v>234</v>
      </c>
    </row>
    <row r="51" spans="1:11" ht="14.4" customHeight="1" thickBot="1" x14ac:dyDescent="0.35">
      <c r="A51" s="370" t="s">
        <v>278</v>
      </c>
      <c r="B51" s="348">
        <v>0</v>
      </c>
      <c r="C51" s="348">
        <v>3.5649999999999999</v>
      </c>
      <c r="D51" s="349">
        <v>3.5649999999999999</v>
      </c>
      <c r="E51" s="358" t="s">
        <v>235</v>
      </c>
      <c r="F51" s="348">
        <v>0</v>
      </c>
      <c r="G51" s="349">
        <v>0</v>
      </c>
      <c r="H51" s="351">
        <v>0</v>
      </c>
      <c r="I51" s="348">
        <v>0</v>
      </c>
      <c r="J51" s="349">
        <v>0</v>
      </c>
      <c r="K51" s="359" t="s">
        <v>234</v>
      </c>
    </row>
    <row r="52" spans="1:11" ht="14.4" customHeight="1" thickBot="1" x14ac:dyDescent="0.35">
      <c r="A52" s="367" t="s">
        <v>25</v>
      </c>
      <c r="B52" s="348">
        <v>3222.0159166976</v>
      </c>
      <c r="C52" s="348">
        <v>2769.4196299999999</v>
      </c>
      <c r="D52" s="349">
        <v>-452.59628669759798</v>
      </c>
      <c r="E52" s="350">
        <v>0.85953008973199996</v>
      </c>
      <c r="F52" s="348">
        <v>3111.99990197954</v>
      </c>
      <c r="G52" s="349">
        <v>1296.6666258248099</v>
      </c>
      <c r="H52" s="351">
        <v>210.51984999999999</v>
      </c>
      <c r="I52" s="348">
        <v>1209.98197</v>
      </c>
      <c r="J52" s="349">
        <v>-86.684655824808004</v>
      </c>
      <c r="K52" s="352">
        <v>0.388811699264</v>
      </c>
    </row>
    <row r="53" spans="1:11" ht="14.4" customHeight="1" thickBot="1" x14ac:dyDescent="0.35">
      <c r="A53" s="373" t="s">
        <v>279</v>
      </c>
      <c r="B53" s="353">
        <v>2387.99999999996</v>
      </c>
      <c r="C53" s="353">
        <v>2052.1460000000002</v>
      </c>
      <c r="D53" s="354">
        <v>-335.85399999995701</v>
      </c>
      <c r="E53" s="355">
        <v>0.85935762144000005</v>
      </c>
      <c r="F53" s="353">
        <v>2306.99992733509</v>
      </c>
      <c r="G53" s="354">
        <v>961.24996972295503</v>
      </c>
      <c r="H53" s="356">
        <v>157.774</v>
      </c>
      <c r="I53" s="353">
        <v>898.11800000000005</v>
      </c>
      <c r="J53" s="354">
        <v>-63.131969722953997</v>
      </c>
      <c r="K53" s="357">
        <v>0.38930126930499998</v>
      </c>
    </row>
    <row r="54" spans="1:11" ht="14.4" customHeight="1" thickBot="1" x14ac:dyDescent="0.35">
      <c r="A54" s="369" t="s">
        <v>280</v>
      </c>
      <c r="B54" s="353">
        <v>2381.99999999996</v>
      </c>
      <c r="C54" s="353">
        <v>2049.2440000000001</v>
      </c>
      <c r="D54" s="354">
        <v>-332.755999999957</v>
      </c>
      <c r="E54" s="355">
        <v>0.860303946263</v>
      </c>
      <c r="F54" s="353">
        <v>2299.9999275555701</v>
      </c>
      <c r="G54" s="354">
        <v>958.33330314815601</v>
      </c>
      <c r="H54" s="356">
        <v>150.495</v>
      </c>
      <c r="I54" s="353">
        <v>890.83900000000006</v>
      </c>
      <c r="J54" s="354">
        <v>-67.494303148154998</v>
      </c>
      <c r="K54" s="357">
        <v>0.38732131654700003</v>
      </c>
    </row>
    <row r="55" spans="1:11" ht="14.4" customHeight="1" thickBot="1" x14ac:dyDescent="0.35">
      <c r="A55" s="370" t="s">
        <v>281</v>
      </c>
      <c r="B55" s="348">
        <v>2381.99999999996</v>
      </c>
      <c r="C55" s="348">
        <v>2049.2440000000001</v>
      </c>
      <c r="D55" s="349">
        <v>-332.755999999957</v>
      </c>
      <c r="E55" s="350">
        <v>0.860303946263</v>
      </c>
      <c r="F55" s="348">
        <v>2299.9999275555701</v>
      </c>
      <c r="G55" s="349">
        <v>958.33330314815601</v>
      </c>
      <c r="H55" s="351">
        <v>150.495</v>
      </c>
      <c r="I55" s="348">
        <v>890.83900000000006</v>
      </c>
      <c r="J55" s="349">
        <v>-67.494303148154998</v>
      </c>
      <c r="K55" s="352">
        <v>0.38732131654700003</v>
      </c>
    </row>
    <row r="56" spans="1:11" ht="14.4" customHeight="1" thickBot="1" x14ac:dyDescent="0.35">
      <c r="A56" s="369" t="s">
        <v>282</v>
      </c>
      <c r="B56" s="353">
        <v>5.9999999999989999</v>
      </c>
      <c r="C56" s="353">
        <v>2.9020000000000001</v>
      </c>
      <c r="D56" s="354">
        <v>-3.0979999999990002</v>
      </c>
      <c r="E56" s="355">
        <v>0.483666666666</v>
      </c>
      <c r="F56" s="353">
        <v>6.9999997795160001</v>
      </c>
      <c r="G56" s="354">
        <v>2.9166665747980001</v>
      </c>
      <c r="H56" s="356">
        <v>7.2789999999999999</v>
      </c>
      <c r="I56" s="353">
        <v>7.2789999999999999</v>
      </c>
      <c r="J56" s="354">
        <v>4.3623334252010002</v>
      </c>
      <c r="K56" s="357">
        <v>1.0398571756099999</v>
      </c>
    </row>
    <row r="57" spans="1:11" ht="14.4" customHeight="1" thickBot="1" x14ac:dyDescent="0.35">
      <c r="A57" s="370" t="s">
        <v>283</v>
      </c>
      <c r="B57" s="348">
        <v>5.9999999999989999</v>
      </c>
      <c r="C57" s="348">
        <v>2.9020000000000001</v>
      </c>
      <c r="D57" s="349">
        <v>-3.0979999999990002</v>
      </c>
      <c r="E57" s="350">
        <v>0.483666666666</v>
      </c>
      <c r="F57" s="348">
        <v>6.9999997795160001</v>
      </c>
      <c r="G57" s="349">
        <v>2.9166665747980001</v>
      </c>
      <c r="H57" s="351">
        <v>7.2789999999999999</v>
      </c>
      <c r="I57" s="348">
        <v>7.2789999999999999</v>
      </c>
      <c r="J57" s="349">
        <v>4.3623334252010002</v>
      </c>
      <c r="K57" s="352">
        <v>1.0398571756099999</v>
      </c>
    </row>
    <row r="58" spans="1:11" ht="14.4" customHeight="1" thickBot="1" x14ac:dyDescent="0.35">
      <c r="A58" s="368" t="s">
        <v>284</v>
      </c>
      <c r="B58" s="348">
        <v>810.01591669764196</v>
      </c>
      <c r="C58" s="348">
        <v>696.74507000000006</v>
      </c>
      <c r="D58" s="349">
        <v>-113.270846697642</v>
      </c>
      <c r="E58" s="350">
        <v>0.86016219636799995</v>
      </c>
      <c r="F58" s="348">
        <v>781.99997536889498</v>
      </c>
      <c r="G58" s="349">
        <v>325.83332307037301</v>
      </c>
      <c r="H58" s="351">
        <v>51.168550000000003</v>
      </c>
      <c r="I58" s="348">
        <v>302.88425999999998</v>
      </c>
      <c r="J58" s="349">
        <v>-22.949063070371999</v>
      </c>
      <c r="K58" s="352">
        <v>0.38732003777500001</v>
      </c>
    </row>
    <row r="59" spans="1:11" ht="14.4" customHeight="1" thickBot="1" x14ac:dyDescent="0.35">
      <c r="A59" s="369" t="s">
        <v>285</v>
      </c>
      <c r="B59" s="353">
        <v>214.01591669765401</v>
      </c>
      <c r="C59" s="353">
        <v>184.43405999999999</v>
      </c>
      <c r="D59" s="354">
        <v>-29.581856697652999</v>
      </c>
      <c r="E59" s="355">
        <v>0.86177730537899999</v>
      </c>
      <c r="F59" s="353">
        <v>206.99999348000199</v>
      </c>
      <c r="G59" s="354">
        <v>86.249997283333997</v>
      </c>
      <c r="H59" s="356">
        <v>13.5448</v>
      </c>
      <c r="I59" s="353">
        <v>80.174509999999998</v>
      </c>
      <c r="J59" s="354">
        <v>-6.0754872833339997</v>
      </c>
      <c r="K59" s="357">
        <v>0.38731648562900001</v>
      </c>
    </row>
    <row r="60" spans="1:11" ht="14.4" customHeight="1" thickBot="1" x14ac:dyDescent="0.35">
      <c r="A60" s="370" t="s">
        <v>286</v>
      </c>
      <c r="B60" s="348">
        <v>214.01591669765401</v>
      </c>
      <c r="C60" s="348">
        <v>184.43405999999999</v>
      </c>
      <c r="D60" s="349">
        <v>-29.581856697652999</v>
      </c>
      <c r="E60" s="350">
        <v>0.86177730537899999</v>
      </c>
      <c r="F60" s="348">
        <v>206.99999348000199</v>
      </c>
      <c r="G60" s="349">
        <v>86.249997283333997</v>
      </c>
      <c r="H60" s="351">
        <v>13.5448</v>
      </c>
      <c r="I60" s="348">
        <v>80.174509999999998</v>
      </c>
      <c r="J60" s="349">
        <v>-6.0754872833339997</v>
      </c>
      <c r="K60" s="352">
        <v>0.38731648562900001</v>
      </c>
    </row>
    <row r="61" spans="1:11" ht="14.4" customHeight="1" thickBot="1" x14ac:dyDescent="0.35">
      <c r="A61" s="369" t="s">
        <v>287</v>
      </c>
      <c r="B61" s="353">
        <v>595.99999999998795</v>
      </c>
      <c r="C61" s="353">
        <v>512.31101000000001</v>
      </c>
      <c r="D61" s="354">
        <v>-83.688989999987001</v>
      </c>
      <c r="E61" s="355">
        <v>0.85958223154299995</v>
      </c>
      <c r="F61" s="353">
        <v>574.99998188889401</v>
      </c>
      <c r="G61" s="354">
        <v>239.583325787039</v>
      </c>
      <c r="H61" s="356">
        <v>37.623750000000001</v>
      </c>
      <c r="I61" s="353">
        <v>222.70975000000001</v>
      </c>
      <c r="J61" s="354">
        <v>-16.873575787038</v>
      </c>
      <c r="K61" s="357">
        <v>0.38732131654700003</v>
      </c>
    </row>
    <row r="62" spans="1:11" ht="14.4" customHeight="1" thickBot="1" x14ac:dyDescent="0.35">
      <c r="A62" s="370" t="s">
        <v>288</v>
      </c>
      <c r="B62" s="348">
        <v>595.99999999998795</v>
      </c>
      <c r="C62" s="348">
        <v>512.31101000000001</v>
      </c>
      <c r="D62" s="349">
        <v>-83.688989999987001</v>
      </c>
      <c r="E62" s="350">
        <v>0.85958223154299995</v>
      </c>
      <c r="F62" s="348">
        <v>574.99998188889401</v>
      </c>
      <c r="G62" s="349">
        <v>239.583325787039</v>
      </c>
      <c r="H62" s="351">
        <v>37.623750000000001</v>
      </c>
      <c r="I62" s="348">
        <v>222.70975000000001</v>
      </c>
      <c r="J62" s="349">
        <v>-16.873575787038</v>
      </c>
      <c r="K62" s="352">
        <v>0.38732131654700003</v>
      </c>
    </row>
    <row r="63" spans="1:11" ht="14.4" customHeight="1" thickBot="1" x14ac:dyDescent="0.35">
      <c r="A63" s="368" t="s">
        <v>289</v>
      </c>
      <c r="B63" s="348">
        <v>23.999999999999002</v>
      </c>
      <c r="C63" s="348">
        <v>20.528559999999999</v>
      </c>
      <c r="D63" s="349">
        <v>-3.4714399999990002</v>
      </c>
      <c r="E63" s="350">
        <v>0.85535666666599997</v>
      </c>
      <c r="F63" s="348">
        <v>22.999999275554998</v>
      </c>
      <c r="G63" s="349">
        <v>9.5833330314810006</v>
      </c>
      <c r="H63" s="351">
        <v>1.5772999999999999</v>
      </c>
      <c r="I63" s="348">
        <v>8.9797100000000007</v>
      </c>
      <c r="J63" s="349">
        <v>-0.60362303148100005</v>
      </c>
      <c r="K63" s="352">
        <v>0.39042218621000002</v>
      </c>
    </row>
    <row r="64" spans="1:11" ht="14.4" customHeight="1" thickBot="1" x14ac:dyDescent="0.35">
      <c r="A64" s="369" t="s">
        <v>290</v>
      </c>
      <c r="B64" s="353">
        <v>23.999999999999002</v>
      </c>
      <c r="C64" s="353">
        <v>20.528559999999999</v>
      </c>
      <c r="D64" s="354">
        <v>-3.4714399999990002</v>
      </c>
      <c r="E64" s="355">
        <v>0.85535666666599997</v>
      </c>
      <c r="F64" s="353">
        <v>22.999999275554998</v>
      </c>
      <c r="G64" s="354">
        <v>9.5833330314810006</v>
      </c>
      <c r="H64" s="356">
        <v>1.5772999999999999</v>
      </c>
      <c r="I64" s="353">
        <v>8.9797100000000007</v>
      </c>
      <c r="J64" s="354">
        <v>-0.60362303148100005</v>
      </c>
      <c r="K64" s="357">
        <v>0.39042218621000002</v>
      </c>
    </row>
    <row r="65" spans="1:11" ht="14.4" customHeight="1" thickBot="1" x14ac:dyDescent="0.35">
      <c r="A65" s="370" t="s">
        <v>291</v>
      </c>
      <c r="B65" s="348">
        <v>23.999999999999002</v>
      </c>
      <c r="C65" s="348">
        <v>20.528559999999999</v>
      </c>
      <c r="D65" s="349">
        <v>-3.4714399999990002</v>
      </c>
      <c r="E65" s="350">
        <v>0.85535666666599997</v>
      </c>
      <c r="F65" s="348">
        <v>22.999999275554998</v>
      </c>
      <c r="G65" s="349">
        <v>9.5833330314810006</v>
      </c>
      <c r="H65" s="351">
        <v>1.5772999999999999</v>
      </c>
      <c r="I65" s="348">
        <v>8.9797100000000007</v>
      </c>
      <c r="J65" s="349">
        <v>-0.60362303148100005</v>
      </c>
      <c r="K65" s="352">
        <v>0.39042218621000002</v>
      </c>
    </row>
    <row r="66" spans="1:11" ht="14.4" customHeight="1" thickBot="1" x14ac:dyDescent="0.35">
      <c r="A66" s="367" t="s">
        <v>292</v>
      </c>
      <c r="B66" s="348">
        <v>0</v>
      </c>
      <c r="C66" s="348">
        <v>5.20512</v>
      </c>
      <c r="D66" s="349">
        <v>5.20512</v>
      </c>
      <c r="E66" s="358" t="s">
        <v>234</v>
      </c>
      <c r="F66" s="348">
        <v>0</v>
      </c>
      <c r="G66" s="349">
        <v>0</v>
      </c>
      <c r="H66" s="351">
        <v>0</v>
      </c>
      <c r="I66" s="348">
        <v>3.3592499999999998</v>
      </c>
      <c r="J66" s="349">
        <v>3.3592499999999998</v>
      </c>
      <c r="K66" s="359" t="s">
        <v>234</v>
      </c>
    </row>
    <row r="67" spans="1:11" ht="14.4" customHeight="1" thickBot="1" x14ac:dyDescent="0.35">
      <c r="A67" s="368" t="s">
        <v>293</v>
      </c>
      <c r="B67" s="348">
        <v>0</v>
      </c>
      <c r="C67" s="348">
        <v>5.20512</v>
      </c>
      <c r="D67" s="349">
        <v>5.20512</v>
      </c>
      <c r="E67" s="358" t="s">
        <v>234</v>
      </c>
      <c r="F67" s="348">
        <v>0</v>
      </c>
      <c r="G67" s="349">
        <v>0</v>
      </c>
      <c r="H67" s="351">
        <v>0</v>
      </c>
      <c r="I67" s="348">
        <v>3.3592499999999998</v>
      </c>
      <c r="J67" s="349">
        <v>3.3592499999999998</v>
      </c>
      <c r="K67" s="359" t="s">
        <v>234</v>
      </c>
    </row>
    <row r="68" spans="1:11" ht="14.4" customHeight="1" thickBot="1" x14ac:dyDescent="0.35">
      <c r="A68" s="369" t="s">
        <v>294</v>
      </c>
      <c r="B68" s="353">
        <v>0</v>
      </c>
      <c r="C68" s="353">
        <v>0</v>
      </c>
      <c r="D68" s="354">
        <v>0</v>
      </c>
      <c r="E68" s="355">
        <v>1</v>
      </c>
      <c r="F68" s="353">
        <v>0</v>
      </c>
      <c r="G68" s="354">
        <v>0</v>
      </c>
      <c r="H68" s="356">
        <v>0</v>
      </c>
      <c r="I68" s="353">
        <v>3.3592499999999998</v>
      </c>
      <c r="J68" s="354">
        <v>3.3592499999999998</v>
      </c>
      <c r="K68" s="361" t="s">
        <v>235</v>
      </c>
    </row>
    <row r="69" spans="1:11" ht="14.4" customHeight="1" thickBot="1" x14ac:dyDescent="0.35">
      <c r="A69" s="370" t="s">
        <v>295</v>
      </c>
      <c r="B69" s="348">
        <v>0</v>
      </c>
      <c r="C69" s="348">
        <v>0</v>
      </c>
      <c r="D69" s="349">
        <v>0</v>
      </c>
      <c r="E69" s="350">
        <v>1</v>
      </c>
      <c r="F69" s="348">
        <v>0</v>
      </c>
      <c r="G69" s="349">
        <v>0</v>
      </c>
      <c r="H69" s="351">
        <v>0</v>
      </c>
      <c r="I69" s="348">
        <v>1.1092500000000001</v>
      </c>
      <c r="J69" s="349">
        <v>1.1092500000000001</v>
      </c>
      <c r="K69" s="359" t="s">
        <v>235</v>
      </c>
    </row>
    <row r="70" spans="1:11" ht="14.4" customHeight="1" thickBot="1" x14ac:dyDescent="0.35">
      <c r="A70" s="370" t="s">
        <v>296</v>
      </c>
      <c r="B70" s="348">
        <v>0</v>
      </c>
      <c r="C70" s="348">
        <v>0</v>
      </c>
      <c r="D70" s="349">
        <v>0</v>
      </c>
      <c r="E70" s="350">
        <v>1</v>
      </c>
      <c r="F70" s="348">
        <v>0</v>
      </c>
      <c r="G70" s="349">
        <v>0</v>
      </c>
      <c r="H70" s="351">
        <v>0</v>
      </c>
      <c r="I70" s="348">
        <v>2.25</v>
      </c>
      <c r="J70" s="349">
        <v>2.25</v>
      </c>
      <c r="K70" s="359" t="s">
        <v>235</v>
      </c>
    </row>
    <row r="71" spans="1:11" ht="14.4" customHeight="1" thickBot="1" x14ac:dyDescent="0.35">
      <c r="A71" s="369" t="s">
        <v>297</v>
      </c>
      <c r="B71" s="353">
        <v>0</v>
      </c>
      <c r="C71" s="353">
        <v>-0.39488000000000001</v>
      </c>
      <c r="D71" s="354">
        <v>-0.39488000000000001</v>
      </c>
      <c r="E71" s="360" t="s">
        <v>235</v>
      </c>
      <c r="F71" s="353">
        <v>0</v>
      </c>
      <c r="G71" s="354">
        <v>0</v>
      </c>
      <c r="H71" s="356">
        <v>0</v>
      </c>
      <c r="I71" s="353">
        <v>0</v>
      </c>
      <c r="J71" s="354">
        <v>0</v>
      </c>
      <c r="K71" s="361" t="s">
        <v>234</v>
      </c>
    </row>
    <row r="72" spans="1:11" ht="14.4" customHeight="1" thickBot="1" x14ac:dyDescent="0.35">
      <c r="A72" s="370" t="s">
        <v>298</v>
      </c>
      <c r="B72" s="348">
        <v>0</v>
      </c>
      <c r="C72" s="348">
        <v>-0.39488000000000001</v>
      </c>
      <c r="D72" s="349">
        <v>-0.39488000000000001</v>
      </c>
      <c r="E72" s="358" t="s">
        <v>235</v>
      </c>
      <c r="F72" s="348">
        <v>0</v>
      </c>
      <c r="G72" s="349">
        <v>0</v>
      </c>
      <c r="H72" s="351">
        <v>0</v>
      </c>
      <c r="I72" s="348">
        <v>0</v>
      </c>
      <c r="J72" s="349">
        <v>0</v>
      </c>
      <c r="K72" s="359" t="s">
        <v>234</v>
      </c>
    </row>
    <row r="73" spans="1:11" ht="14.4" customHeight="1" thickBot="1" x14ac:dyDescent="0.35">
      <c r="A73" s="372" t="s">
        <v>299</v>
      </c>
      <c r="B73" s="348">
        <v>0</v>
      </c>
      <c r="C73" s="348">
        <v>5.6</v>
      </c>
      <c r="D73" s="349">
        <v>5.6</v>
      </c>
      <c r="E73" s="358" t="s">
        <v>234</v>
      </c>
      <c r="F73" s="348">
        <v>0</v>
      </c>
      <c r="G73" s="349">
        <v>0</v>
      </c>
      <c r="H73" s="351">
        <v>0</v>
      </c>
      <c r="I73" s="348">
        <v>0</v>
      </c>
      <c r="J73" s="349">
        <v>0</v>
      </c>
      <c r="K73" s="359" t="s">
        <v>234</v>
      </c>
    </row>
    <row r="74" spans="1:11" ht="14.4" customHeight="1" thickBot="1" x14ac:dyDescent="0.35">
      <c r="A74" s="370" t="s">
        <v>300</v>
      </c>
      <c r="B74" s="348">
        <v>0</v>
      </c>
      <c r="C74" s="348">
        <v>5.6</v>
      </c>
      <c r="D74" s="349">
        <v>5.6</v>
      </c>
      <c r="E74" s="358" t="s">
        <v>234</v>
      </c>
      <c r="F74" s="348">
        <v>0</v>
      </c>
      <c r="G74" s="349">
        <v>0</v>
      </c>
      <c r="H74" s="351">
        <v>0</v>
      </c>
      <c r="I74" s="348">
        <v>0</v>
      </c>
      <c r="J74" s="349">
        <v>0</v>
      </c>
      <c r="K74" s="359" t="s">
        <v>234</v>
      </c>
    </row>
    <row r="75" spans="1:11" ht="14.4" customHeight="1" thickBot="1" x14ac:dyDescent="0.35">
      <c r="A75" s="367" t="s">
        <v>301</v>
      </c>
      <c r="B75" s="348">
        <v>18.999327369995001</v>
      </c>
      <c r="C75" s="348">
        <v>25.343</v>
      </c>
      <c r="D75" s="349">
        <v>6.3436726300039998</v>
      </c>
      <c r="E75" s="350">
        <v>1.3338893270509999</v>
      </c>
      <c r="F75" s="348">
        <v>19.999962416498999</v>
      </c>
      <c r="G75" s="349">
        <v>8.3333176735409999</v>
      </c>
      <c r="H75" s="351">
        <v>1.64</v>
      </c>
      <c r="I75" s="348">
        <v>8.1999999999999993</v>
      </c>
      <c r="J75" s="349">
        <v>-0.13331767354099999</v>
      </c>
      <c r="K75" s="352">
        <v>0.41000077046299999</v>
      </c>
    </row>
    <row r="76" spans="1:11" ht="14.4" customHeight="1" thickBot="1" x14ac:dyDescent="0.35">
      <c r="A76" s="368" t="s">
        <v>302</v>
      </c>
      <c r="B76" s="348">
        <v>18.999327369995001</v>
      </c>
      <c r="C76" s="348">
        <v>19.082999999999998</v>
      </c>
      <c r="D76" s="349">
        <v>8.3672630004000006E-2</v>
      </c>
      <c r="E76" s="350">
        <v>1.004403978539</v>
      </c>
      <c r="F76" s="348">
        <v>19.999962416498999</v>
      </c>
      <c r="G76" s="349">
        <v>8.3333176735409999</v>
      </c>
      <c r="H76" s="351">
        <v>1.64</v>
      </c>
      <c r="I76" s="348">
        <v>8.1999999999999993</v>
      </c>
      <c r="J76" s="349">
        <v>-0.13331767354099999</v>
      </c>
      <c r="K76" s="352">
        <v>0.41000077046299999</v>
      </c>
    </row>
    <row r="77" spans="1:11" ht="14.4" customHeight="1" thickBot="1" x14ac:dyDescent="0.35">
      <c r="A77" s="369" t="s">
        <v>303</v>
      </c>
      <c r="B77" s="353">
        <v>18.999327369995001</v>
      </c>
      <c r="C77" s="353">
        <v>19.082999999999998</v>
      </c>
      <c r="D77" s="354">
        <v>8.3672630004000006E-2</v>
      </c>
      <c r="E77" s="355">
        <v>1.004403978539</v>
      </c>
      <c r="F77" s="353">
        <v>19.999962416498999</v>
      </c>
      <c r="G77" s="354">
        <v>8.3333176735409999</v>
      </c>
      <c r="H77" s="356">
        <v>1.64</v>
      </c>
      <c r="I77" s="353">
        <v>8.1999999999999993</v>
      </c>
      <c r="J77" s="354">
        <v>-0.13331767354099999</v>
      </c>
      <c r="K77" s="357">
        <v>0.41000077046299999</v>
      </c>
    </row>
    <row r="78" spans="1:11" ht="14.4" customHeight="1" thickBot="1" x14ac:dyDescent="0.35">
      <c r="A78" s="370" t="s">
        <v>304</v>
      </c>
      <c r="B78" s="348">
        <v>15.999364323545</v>
      </c>
      <c r="C78" s="348">
        <v>16.501000000000001</v>
      </c>
      <c r="D78" s="349">
        <v>0.50163567645399998</v>
      </c>
      <c r="E78" s="350">
        <v>1.031353475445</v>
      </c>
      <c r="F78" s="348">
        <v>16.99999946454</v>
      </c>
      <c r="G78" s="349">
        <v>7.0833331102250003</v>
      </c>
      <c r="H78" s="351">
        <v>1.423</v>
      </c>
      <c r="I78" s="348">
        <v>7.1150000000000002</v>
      </c>
      <c r="J78" s="349">
        <v>3.1666889774E-2</v>
      </c>
      <c r="K78" s="352">
        <v>0.41852942494700002</v>
      </c>
    </row>
    <row r="79" spans="1:11" ht="14.4" customHeight="1" thickBot="1" x14ac:dyDescent="0.35">
      <c r="A79" s="370" t="s">
        <v>305</v>
      </c>
      <c r="B79" s="348">
        <v>2.99996304645</v>
      </c>
      <c r="C79" s="348">
        <v>2.5819999999999999</v>
      </c>
      <c r="D79" s="349">
        <v>-0.41796304644999999</v>
      </c>
      <c r="E79" s="350">
        <v>0.86067726836000003</v>
      </c>
      <c r="F79" s="348">
        <v>2.999962951958</v>
      </c>
      <c r="G79" s="349">
        <v>1.2499845633160001</v>
      </c>
      <c r="H79" s="351">
        <v>0.217</v>
      </c>
      <c r="I79" s="348">
        <v>1.085</v>
      </c>
      <c r="J79" s="349">
        <v>-0.164984563316</v>
      </c>
      <c r="K79" s="352">
        <v>0.36167113306900001</v>
      </c>
    </row>
    <row r="80" spans="1:11" ht="14.4" customHeight="1" thickBot="1" x14ac:dyDescent="0.35">
      <c r="A80" s="368" t="s">
        <v>306</v>
      </c>
      <c r="B80" s="348">
        <v>0</v>
      </c>
      <c r="C80" s="348">
        <v>6.26</v>
      </c>
      <c r="D80" s="349">
        <v>6.26</v>
      </c>
      <c r="E80" s="358" t="s">
        <v>234</v>
      </c>
      <c r="F80" s="348">
        <v>0</v>
      </c>
      <c r="G80" s="349">
        <v>0</v>
      </c>
      <c r="H80" s="351">
        <v>0</v>
      </c>
      <c r="I80" s="348">
        <v>0</v>
      </c>
      <c r="J80" s="349">
        <v>0</v>
      </c>
      <c r="K80" s="359" t="s">
        <v>234</v>
      </c>
    </row>
    <row r="81" spans="1:11" ht="14.4" customHeight="1" thickBot="1" x14ac:dyDescent="0.35">
      <c r="A81" s="369" t="s">
        <v>307</v>
      </c>
      <c r="B81" s="353">
        <v>0</v>
      </c>
      <c r="C81" s="353">
        <v>6.26</v>
      </c>
      <c r="D81" s="354">
        <v>6.26</v>
      </c>
      <c r="E81" s="360" t="s">
        <v>234</v>
      </c>
      <c r="F81" s="353">
        <v>0</v>
      </c>
      <c r="G81" s="354">
        <v>0</v>
      </c>
      <c r="H81" s="356">
        <v>0</v>
      </c>
      <c r="I81" s="353">
        <v>0</v>
      </c>
      <c r="J81" s="354">
        <v>0</v>
      </c>
      <c r="K81" s="361" t="s">
        <v>234</v>
      </c>
    </row>
    <row r="82" spans="1:11" ht="14.4" customHeight="1" thickBot="1" x14ac:dyDescent="0.35">
      <c r="A82" s="370" t="s">
        <v>308</v>
      </c>
      <c r="B82" s="348">
        <v>0</v>
      </c>
      <c r="C82" s="348">
        <v>6.26</v>
      </c>
      <c r="D82" s="349">
        <v>6.26</v>
      </c>
      <c r="E82" s="358" t="s">
        <v>234</v>
      </c>
      <c r="F82" s="348">
        <v>0</v>
      </c>
      <c r="G82" s="349">
        <v>0</v>
      </c>
      <c r="H82" s="351">
        <v>0</v>
      </c>
      <c r="I82" s="348">
        <v>0</v>
      </c>
      <c r="J82" s="349">
        <v>0</v>
      </c>
      <c r="K82" s="359" t="s">
        <v>234</v>
      </c>
    </row>
    <row r="83" spans="1:11" ht="14.4" customHeight="1" thickBot="1" x14ac:dyDescent="0.35">
      <c r="A83" s="366" t="s">
        <v>309</v>
      </c>
      <c r="B83" s="348">
        <v>1483.09501087221</v>
      </c>
      <c r="C83" s="348">
        <v>2306.0819900000001</v>
      </c>
      <c r="D83" s="349">
        <v>822.98697912779198</v>
      </c>
      <c r="E83" s="350">
        <v>1.554911838482</v>
      </c>
      <c r="F83" s="348">
        <v>1875.56638655706</v>
      </c>
      <c r="G83" s="349">
        <v>781.48599439877501</v>
      </c>
      <c r="H83" s="351">
        <v>176.76988</v>
      </c>
      <c r="I83" s="348">
        <v>947.60449000000006</v>
      </c>
      <c r="J83" s="349">
        <v>166.11849560122499</v>
      </c>
      <c r="K83" s="352">
        <v>0.50523644313000005</v>
      </c>
    </row>
    <row r="84" spans="1:11" ht="14.4" customHeight="1" thickBot="1" x14ac:dyDescent="0.35">
      <c r="A84" s="367" t="s">
        <v>310</v>
      </c>
      <c r="B84" s="348">
        <v>1483.09501087221</v>
      </c>
      <c r="C84" s="348">
        <v>2289.5944100000002</v>
      </c>
      <c r="D84" s="349">
        <v>806.499399127792</v>
      </c>
      <c r="E84" s="350">
        <v>1.543794829876</v>
      </c>
      <c r="F84" s="348">
        <v>1861.56638655706</v>
      </c>
      <c r="G84" s="349">
        <v>775.65266106544198</v>
      </c>
      <c r="H84" s="351">
        <v>176.76988</v>
      </c>
      <c r="I84" s="348">
        <v>947.60449000000006</v>
      </c>
      <c r="J84" s="349">
        <v>171.95182893455799</v>
      </c>
      <c r="K84" s="352">
        <v>0.50903609822499996</v>
      </c>
    </row>
    <row r="85" spans="1:11" ht="14.4" customHeight="1" thickBot="1" x14ac:dyDescent="0.35">
      <c r="A85" s="368" t="s">
        <v>311</v>
      </c>
      <c r="B85" s="348">
        <v>1483.09501087221</v>
      </c>
      <c r="C85" s="348">
        <v>2289.5944100000002</v>
      </c>
      <c r="D85" s="349">
        <v>806.499399127792</v>
      </c>
      <c r="E85" s="350">
        <v>1.543794829876</v>
      </c>
      <c r="F85" s="348">
        <v>1861.56638655706</v>
      </c>
      <c r="G85" s="349">
        <v>775.65266106544198</v>
      </c>
      <c r="H85" s="351">
        <v>176.76988</v>
      </c>
      <c r="I85" s="348">
        <v>947.60449000000006</v>
      </c>
      <c r="J85" s="349">
        <v>171.95182893455799</v>
      </c>
      <c r="K85" s="352">
        <v>0.50903609822499996</v>
      </c>
    </row>
    <row r="86" spans="1:11" ht="14.4" customHeight="1" thickBot="1" x14ac:dyDescent="0.35">
      <c r="A86" s="369" t="s">
        <v>312</v>
      </c>
      <c r="B86" s="353">
        <v>9.5010872206999997E-2</v>
      </c>
      <c r="C86" s="353">
        <v>0</v>
      </c>
      <c r="D86" s="354">
        <v>-9.5010872206999997E-2</v>
      </c>
      <c r="E86" s="355">
        <v>0</v>
      </c>
      <c r="F86" s="353">
        <v>0</v>
      </c>
      <c r="G86" s="354">
        <v>0</v>
      </c>
      <c r="H86" s="356">
        <v>0.38262000000000002</v>
      </c>
      <c r="I86" s="353">
        <v>0.60262000000000004</v>
      </c>
      <c r="J86" s="354">
        <v>0.60262000000000004</v>
      </c>
      <c r="K86" s="361" t="s">
        <v>235</v>
      </c>
    </row>
    <row r="87" spans="1:11" ht="14.4" customHeight="1" thickBot="1" x14ac:dyDescent="0.35">
      <c r="A87" s="370" t="s">
        <v>313</v>
      </c>
      <c r="B87" s="348">
        <v>9.5010872206999997E-2</v>
      </c>
      <c r="C87" s="348">
        <v>0</v>
      </c>
      <c r="D87" s="349">
        <v>-9.5010872206999997E-2</v>
      </c>
      <c r="E87" s="350">
        <v>0</v>
      </c>
      <c r="F87" s="348">
        <v>0</v>
      </c>
      <c r="G87" s="349">
        <v>0</v>
      </c>
      <c r="H87" s="351">
        <v>0</v>
      </c>
      <c r="I87" s="348">
        <v>0</v>
      </c>
      <c r="J87" s="349">
        <v>0</v>
      </c>
      <c r="K87" s="352">
        <v>0</v>
      </c>
    </row>
    <row r="88" spans="1:11" ht="14.4" customHeight="1" thickBot="1" x14ac:dyDescent="0.35">
      <c r="A88" s="370" t="s">
        <v>314</v>
      </c>
      <c r="B88" s="348">
        <v>0</v>
      </c>
      <c r="C88" s="348">
        <v>0</v>
      </c>
      <c r="D88" s="349">
        <v>0</v>
      </c>
      <c r="E88" s="350">
        <v>1</v>
      </c>
      <c r="F88" s="348">
        <v>0</v>
      </c>
      <c r="G88" s="349">
        <v>0</v>
      </c>
      <c r="H88" s="351">
        <v>0.38262000000000002</v>
      </c>
      <c r="I88" s="348">
        <v>0.60262000000000004</v>
      </c>
      <c r="J88" s="349">
        <v>0.60262000000000004</v>
      </c>
      <c r="K88" s="359" t="s">
        <v>235</v>
      </c>
    </row>
    <row r="89" spans="1:11" ht="14.4" customHeight="1" thickBot="1" x14ac:dyDescent="0.35">
      <c r="A89" s="369" t="s">
        <v>315</v>
      </c>
      <c r="B89" s="353">
        <v>0</v>
      </c>
      <c r="C89" s="353">
        <v>1.56993</v>
      </c>
      <c r="D89" s="354">
        <v>1.56993</v>
      </c>
      <c r="E89" s="360" t="s">
        <v>234</v>
      </c>
      <c r="F89" s="353">
        <v>1.5663865565740001</v>
      </c>
      <c r="G89" s="354">
        <v>0.65266106523900003</v>
      </c>
      <c r="H89" s="356">
        <v>0</v>
      </c>
      <c r="I89" s="353">
        <v>0</v>
      </c>
      <c r="J89" s="354">
        <v>-0.65266106523900003</v>
      </c>
      <c r="K89" s="357">
        <v>0</v>
      </c>
    </row>
    <row r="90" spans="1:11" ht="14.4" customHeight="1" thickBot="1" x14ac:dyDescent="0.35">
      <c r="A90" s="370" t="s">
        <v>316</v>
      </c>
      <c r="B90" s="348">
        <v>0</v>
      </c>
      <c r="C90" s="348">
        <v>1.56993</v>
      </c>
      <c r="D90" s="349">
        <v>1.56993</v>
      </c>
      <c r="E90" s="358" t="s">
        <v>234</v>
      </c>
      <c r="F90" s="348">
        <v>1.5663865565740001</v>
      </c>
      <c r="G90" s="349">
        <v>0.65266106523900003</v>
      </c>
      <c r="H90" s="351">
        <v>0</v>
      </c>
      <c r="I90" s="348">
        <v>0</v>
      </c>
      <c r="J90" s="349">
        <v>-0.65266106523900003</v>
      </c>
      <c r="K90" s="352">
        <v>0</v>
      </c>
    </row>
    <row r="91" spans="1:11" ht="14.4" customHeight="1" thickBot="1" x14ac:dyDescent="0.35">
      <c r="A91" s="369" t="s">
        <v>317</v>
      </c>
      <c r="B91" s="353">
        <v>1483</v>
      </c>
      <c r="C91" s="353">
        <v>2169.8414200000002</v>
      </c>
      <c r="D91" s="354">
        <v>686.84141999999997</v>
      </c>
      <c r="E91" s="355">
        <v>1.4631432366820001</v>
      </c>
      <c r="F91" s="353">
        <v>1860.00000000049</v>
      </c>
      <c r="G91" s="354">
        <v>775.00000000020202</v>
      </c>
      <c r="H91" s="356">
        <v>175.68450000000001</v>
      </c>
      <c r="I91" s="353">
        <v>924.81876999999997</v>
      </c>
      <c r="J91" s="354">
        <v>149.81876999979701</v>
      </c>
      <c r="K91" s="357">
        <v>0.497214392472</v>
      </c>
    </row>
    <row r="92" spans="1:11" ht="14.4" customHeight="1" thickBot="1" x14ac:dyDescent="0.35">
      <c r="A92" s="370" t="s">
        <v>318</v>
      </c>
      <c r="B92" s="348">
        <v>480</v>
      </c>
      <c r="C92" s="348">
        <v>776.37783000000002</v>
      </c>
      <c r="D92" s="349">
        <v>296.37783000000002</v>
      </c>
      <c r="E92" s="350">
        <v>1.6174538125</v>
      </c>
      <c r="F92" s="348">
        <v>686.00000000017906</v>
      </c>
      <c r="G92" s="349">
        <v>285.83333333340801</v>
      </c>
      <c r="H92" s="351">
        <v>66.730450000000005</v>
      </c>
      <c r="I92" s="348">
        <v>317.60014000000001</v>
      </c>
      <c r="J92" s="349">
        <v>31.766806666590998</v>
      </c>
      <c r="K92" s="352">
        <v>0.46297396501400001</v>
      </c>
    </row>
    <row r="93" spans="1:11" ht="14.4" customHeight="1" thickBot="1" x14ac:dyDescent="0.35">
      <c r="A93" s="370" t="s">
        <v>319</v>
      </c>
      <c r="B93" s="348">
        <v>1003</v>
      </c>
      <c r="C93" s="348">
        <v>1393.4635900000001</v>
      </c>
      <c r="D93" s="349">
        <v>390.46359000000001</v>
      </c>
      <c r="E93" s="350">
        <v>1.389295702891</v>
      </c>
      <c r="F93" s="348">
        <v>1174.0000000003099</v>
      </c>
      <c r="G93" s="349">
        <v>489.16666666679401</v>
      </c>
      <c r="H93" s="351">
        <v>108.95405</v>
      </c>
      <c r="I93" s="348">
        <v>607.21862999999996</v>
      </c>
      <c r="J93" s="349">
        <v>118.05196333320499</v>
      </c>
      <c r="K93" s="352">
        <v>0.51722200170300003</v>
      </c>
    </row>
    <row r="94" spans="1:11" ht="14.4" customHeight="1" thickBot="1" x14ac:dyDescent="0.35">
      <c r="A94" s="369" t="s">
        <v>320</v>
      </c>
      <c r="B94" s="353">
        <v>0</v>
      </c>
      <c r="C94" s="353">
        <v>118.18306</v>
      </c>
      <c r="D94" s="354">
        <v>118.18306</v>
      </c>
      <c r="E94" s="360" t="s">
        <v>234</v>
      </c>
      <c r="F94" s="353">
        <v>0</v>
      </c>
      <c r="G94" s="354">
        <v>0</v>
      </c>
      <c r="H94" s="356">
        <v>0.70276000000000005</v>
      </c>
      <c r="I94" s="353">
        <v>22.1831</v>
      </c>
      <c r="J94" s="354">
        <v>22.1831</v>
      </c>
      <c r="K94" s="361" t="s">
        <v>234</v>
      </c>
    </row>
    <row r="95" spans="1:11" ht="14.4" customHeight="1" thickBot="1" x14ac:dyDescent="0.35">
      <c r="A95" s="370" t="s">
        <v>321</v>
      </c>
      <c r="B95" s="348">
        <v>0</v>
      </c>
      <c r="C95" s="348">
        <v>3.4574500000000001</v>
      </c>
      <c r="D95" s="349">
        <v>3.4574500000000001</v>
      </c>
      <c r="E95" s="358" t="s">
        <v>234</v>
      </c>
      <c r="F95" s="348">
        <v>0</v>
      </c>
      <c r="G95" s="349">
        <v>0</v>
      </c>
      <c r="H95" s="351">
        <v>0</v>
      </c>
      <c r="I95" s="348">
        <v>0</v>
      </c>
      <c r="J95" s="349">
        <v>0</v>
      </c>
      <c r="K95" s="359" t="s">
        <v>234</v>
      </c>
    </row>
    <row r="96" spans="1:11" ht="14.4" customHeight="1" thickBot="1" x14ac:dyDescent="0.35">
      <c r="A96" s="370" t="s">
        <v>322</v>
      </c>
      <c r="B96" s="348">
        <v>0</v>
      </c>
      <c r="C96" s="348">
        <v>114.72561</v>
      </c>
      <c r="D96" s="349">
        <v>114.72561</v>
      </c>
      <c r="E96" s="358" t="s">
        <v>234</v>
      </c>
      <c r="F96" s="348">
        <v>0</v>
      </c>
      <c r="G96" s="349">
        <v>0</v>
      </c>
      <c r="H96" s="351">
        <v>0.70276000000000005</v>
      </c>
      <c r="I96" s="348">
        <v>22.1831</v>
      </c>
      <c r="J96" s="349">
        <v>22.1831</v>
      </c>
      <c r="K96" s="359" t="s">
        <v>234</v>
      </c>
    </row>
    <row r="97" spans="1:11" ht="14.4" customHeight="1" thickBot="1" x14ac:dyDescent="0.35">
      <c r="A97" s="367" t="s">
        <v>323</v>
      </c>
      <c r="B97" s="348">
        <v>0</v>
      </c>
      <c r="C97" s="348">
        <v>16.487580000000001</v>
      </c>
      <c r="D97" s="349">
        <v>16.487580000000001</v>
      </c>
      <c r="E97" s="358" t="s">
        <v>234</v>
      </c>
      <c r="F97" s="348">
        <v>14</v>
      </c>
      <c r="G97" s="349">
        <v>5.833333333333</v>
      </c>
      <c r="H97" s="351">
        <v>0</v>
      </c>
      <c r="I97" s="348">
        <v>0</v>
      </c>
      <c r="J97" s="349">
        <v>-5.833333333333</v>
      </c>
      <c r="K97" s="352">
        <v>0</v>
      </c>
    </row>
    <row r="98" spans="1:11" ht="14.4" customHeight="1" thickBot="1" x14ac:dyDescent="0.35">
      <c r="A98" s="373" t="s">
        <v>324</v>
      </c>
      <c r="B98" s="353">
        <v>0</v>
      </c>
      <c r="C98" s="353">
        <v>16.487580000000001</v>
      </c>
      <c r="D98" s="354">
        <v>16.487580000000001</v>
      </c>
      <c r="E98" s="360" t="s">
        <v>234</v>
      </c>
      <c r="F98" s="353">
        <v>14</v>
      </c>
      <c r="G98" s="354">
        <v>5.833333333333</v>
      </c>
      <c r="H98" s="356">
        <v>0</v>
      </c>
      <c r="I98" s="353">
        <v>0</v>
      </c>
      <c r="J98" s="354">
        <v>-5.833333333333</v>
      </c>
      <c r="K98" s="357">
        <v>0</v>
      </c>
    </row>
    <row r="99" spans="1:11" ht="14.4" customHeight="1" thickBot="1" x14ac:dyDescent="0.35">
      <c r="A99" s="369" t="s">
        <v>325</v>
      </c>
      <c r="B99" s="353">
        <v>0</v>
      </c>
      <c r="C99" s="353">
        <v>-2.4000000000000001E-4</v>
      </c>
      <c r="D99" s="354">
        <v>-2.4000000000000001E-4</v>
      </c>
      <c r="E99" s="360" t="s">
        <v>234</v>
      </c>
      <c r="F99" s="353">
        <v>0</v>
      </c>
      <c r="G99" s="354">
        <v>0</v>
      </c>
      <c r="H99" s="356">
        <v>0</v>
      </c>
      <c r="I99" s="353">
        <v>0</v>
      </c>
      <c r="J99" s="354">
        <v>0</v>
      </c>
      <c r="K99" s="361" t="s">
        <v>234</v>
      </c>
    </row>
    <row r="100" spans="1:11" ht="14.4" customHeight="1" thickBot="1" x14ac:dyDescent="0.35">
      <c r="A100" s="370" t="s">
        <v>326</v>
      </c>
      <c r="B100" s="348">
        <v>0</v>
      </c>
      <c r="C100" s="348">
        <v>-2.4000000000000001E-4</v>
      </c>
      <c r="D100" s="349">
        <v>-2.4000000000000001E-4</v>
      </c>
      <c r="E100" s="358" t="s">
        <v>234</v>
      </c>
      <c r="F100" s="348">
        <v>0</v>
      </c>
      <c r="G100" s="349">
        <v>0</v>
      </c>
      <c r="H100" s="351">
        <v>0</v>
      </c>
      <c r="I100" s="348">
        <v>0</v>
      </c>
      <c r="J100" s="349">
        <v>0</v>
      </c>
      <c r="K100" s="359" t="s">
        <v>234</v>
      </c>
    </row>
    <row r="101" spans="1:11" ht="14.4" customHeight="1" thickBot="1" x14ac:dyDescent="0.35">
      <c r="A101" s="369" t="s">
        <v>327</v>
      </c>
      <c r="B101" s="353">
        <v>0</v>
      </c>
      <c r="C101" s="353">
        <v>16.487819999999999</v>
      </c>
      <c r="D101" s="354">
        <v>16.487819999999999</v>
      </c>
      <c r="E101" s="360" t="s">
        <v>234</v>
      </c>
      <c r="F101" s="353">
        <v>14</v>
      </c>
      <c r="G101" s="354">
        <v>5.833333333333</v>
      </c>
      <c r="H101" s="356">
        <v>0</v>
      </c>
      <c r="I101" s="353">
        <v>0</v>
      </c>
      <c r="J101" s="354">
        <v>-5.833333333333</v>
      </c>
      <c r="K101" s="357">
        <v>0</v>
      </c>
    </row>
    <row r="102" spans="1:11" ht="14.4" customHeight="1" thickBot="1" x14ac:dyDescent="0.35">
      <c r="A102" s="370" t="s">
        <v>328</v>
      </c>
      <c r="B102" s="348">
        <v>0</v>
      </c>
      <c r="C102" s="348">
        <v>16.487819999999999</v>
      </c>
      <c r="D102" s="349">
        <v>16.487819999999999</v>
      </c>
      <c r="E102" s="358" t="s">
        <v>234</v>
      </c>
      <c r="F102" s="348">
        <v>14</v>
      </c>
      <c r="G102" s="349">
        <v>5.833333333333</v>
      </c>
      <c r="H102" s="351">
        <v>0</v>
      </c>
      <c r="I102" s="348">
        <v>0</v>
      </c>
      <c r="J102" s="349">
        <v>-5.833333333333</v>
      </c>
      <c r="K102" s="352">
        <v>0</v>
      </c>
    </row>
    <row r="103" spans="1:11" ht="14.4" customHeight="1" thickBot="1" x14ac:dyDescent="0.35">
      <c r="A103" s="366" t="s">
        <v>329</v>
      </c>
      <c r="B103" s="348">
        <v>507.00028352707699</v>
      </c>
      <c r="C103" s="348">
        <v>441.61624</v>
      </c>
      <c r="D103" s="349">
        <v>-65.384043527076003</v>
      </c>
      <c r="E103" s="350">
        <v>0.87103746161200002</v>
      </c>
      <c r="F103" s="348">
        <v>0</v>
      </c>
      <c r="G103" s="349">
        <v>0</v>
      </c>
      <c r="H103" s="351">
        <v>30.820789999999999</v>
      </c>
      <c r="I103" s="348">
        <v>189.38061999999999</v>
      </c>
      <c r="J103" s="349">
        <v>189.38061999999999</v>
      </c>
      <c r="K103" s="359" t="s">
        <v>234</v>
      </c>
    </row>
    <row r="104" spans="1:11" ht="14.4" customHeight="1" thickBot="1" x14ac:dyDescent="0.35">
      <c r="A104" s="371" t="s">
        <v>330</v>
      </c>
      <c r="B104" s="353">
        <v>507.00028352707699</v>
      </c>
      <c r="C104" s="353">
        <v>441.61624</v>
      </c>
      <c r="D104" s="354">
        <v>-65.384043527076003</v>
      </c>
      <c r="E104" s="355">
        <v>0.87103746161200002</v>
      </c>
      <c r="F104" s="353">
        <v>0</v>
      </c>
      <c r="G104" s="354">
        <v>0</v>
      </c>
      <c r="H104" s="356">
        <v>30.820789999999999</v>
      </c>
      <c r="I104" s="353">
        <v>189.38061999999999</v>
      </c>
      <c r="J104" s="354">
        <v>189.38061999999999</v>
      </c>
      <c r="K104" s="361" t="s">
        <v>234</v>
      </c>
    </row>
    <row r="105" spans="1:11" ht="14.4" customHeight="1" thickBot="1" x14ac:dyDescent="0.35">
      <c r="A105" s="373" t="s">
        <v>31</v>
      </c>
      <c r="B105" s="353">
        <v>507.00028352707699</v>
      </c>
      <c r="C105" s="353">
        <v>441.61624</v>
      </c>
      <c r="D105" s="354">
        <v>-65.384043527076003</v>
      </c>
      <c r="E105" s="355">
        <v>0.87103746161200002</v>
      </c>
      <c r="F105" s="353">
        <v>0</v>
      </c>
      <c r="G105" s="354">
        <v>0</v>
      </c>
      <c r="H105" s="356">
        <v>30.820789999999999</v>
      </c>
      <c r="I105" s="353">
        <v>189.38061999999999</v>
      </c>
      <c r="J105" s="354">
        <v>189.38061999999999</v>
      </c>
      <c r="K105" s="361" t="s">
        <v>234</v>
      </c>
    </row>
    <row r="106" spans="1:11" ht="14.4" customHeight="1" thickBot="1" x14ac:dyDescent="0.35">
      <c r="A106" s="369" t="s">
        <v>331</v>
      </c>
      <c r="B106" s="353">
        <v>5</v>
      </c>
      <c r="C106" s="353">
        <v>5.4779999999999998</v>
      </c>
      <c r="D106" s="354">
        <v>0.47799999999999998</v>
      </c>
      <c r="E106" s="355">
        <v>1.0955999999999999</v>
      </c>
      <c r="F106" s="353">
        <v>0</v>
      </c>
      <c r="G106" s="354">
        <v>0</v>
      </c>
      <c r="H106" s="356">
        <v>0.52200000000000002</v>
      </c>
      <c r="I106" s="353">
        <v>2.6105</v>
      </c>
      <c r="J106" s="354">
        <v>2.6105</v>
      </c>
      <c r="K106" s="361" t="s">
        <v>234</v>
      </c>
    </row>
    <row r="107" spans="1:11" ht="14.4" customHeight="1" thickBot="1" x14ac:dyDescent="0.35">
      <c r="A107" s="370" t="s">
        <v>332</v>
      </c>
      <c r="B107" s="348">
        <v>5</v>
      </c>
      <c r="C107" s="348">
        <v>5.4779999999999998</v>
      </c>
      <c r="D107" s="349">
        <v>0.47799999999999998</v>
      </c>
      <c r="E107" s="350">
        <v>1.0955999999999999</v>
      </c>
      <c r="F107" s="348">
        <v>0</v>
      </c>
      <c r="G107" s="349">
        <v>0</v>
      </c>
      <c r="H107" s="351">
        <v>0.52200000000000002</v>
      </c>
      <c r="I107" s="348">
        <v>2.6105</v>
      </c>
      <c r="J107" s="349">
        <v>2.6105</v>
      </c>
      <c r="K107" s="359" t="s">
        <v>234</v>
      </c>
    </row>
    <row r="108" spans="1:11" ht="14.4" customHeight="1" thickBot="1" x14ac:dyDescent="0.35">
      <c r="A108" s="369" t="s">
        <v>333</v>
      </c>
      <c r="B108" s="353">
        <v>2.0002835270760002</v>
      </c>
      <c r="C108" s="353">
        <v>1.5289999999999999</v>
      </c>
      <c r="D108" s="354">
        <v>-0.47128352707600002</v>
      </c>
      <c r="E108" s="355">
        <v>0.764391637136</v>
      </c>
      <c r="F108" s="353">
        <v>0</v>
      </c>
      <c r="G108" s="354">
        <v>0</v>
      </c>
      <c r="H108" s="356">
        <v>0</v>
      </c>
      <c r="I108" s="353">
        <v>0</v>
      </c>
      <c r="J108" s="354">
        <v>0</v>
      </c>
      <c r="K108" s="361" t="s">
        <v>234</v>
      </c>
    </row>
    <row r="109" spans="1:11" ht="14.4" customHeight="1" thickBot="1" x14ac:dyDescent="0.35">
      <c r="A109" s="370" t="s">
        <v>334</v>
      </c>
      <c r="B109" s="348">
        <v>2.0002835270760002</v>
      </c>
      <c r="C109" s="348">
        <v>1.5289999999999999</v>
      </c>
      <c r="D109" s="349">
        <v>-0.47128352707600002</v>
      </c>
      <c r="E109" s="350">
        <v>0.764391637136</v>
      </c>
      <c r="F109" s="348">
        <v>0</v>
      </c>
      <c r="G109" s="349">
        <v>0</v>
      </c>
      <c r="H109" s="351">
        <v>0</v>
      </c>
      <c r="I109" s="348">
        <v>0</v>
      </c>
      <c r="J109" s="349">
        <v>0</v>
      </c>
      <c r="K109" s="359" t="s">
        <v>234</v>
      </c>
    </row>
    <row r="110" spans="1:11" ht="14.4" customHeight="1" thickBot="1" x14ac:dyDescent="0.35">
      <c r="A110" s="369" t="s">
        <v>335</v>
      </c>
      <c r="B110" s="353">
        <v>0</v>
      </c>
      <c r="C110" s="353">
        <v>0.74580000000000002</v>
      </c>
      <c r="D110" s="354">
        <v>0.74580000000000002</v>
      </c>
      <c r="E110" s="360" t="s">
        <v>235</v>
      </c>
      <c r="F110" s="353">
        <v>0</v>
      </c>
      <c r="G110" s="354">
        <v>0</v>
      </c>
      <c r="H110" s="356">
        <v>9.64E-2</v>
      </c>
      <c r="I110" s="353">
        <v>0.89980000000000004</v>
      </c>
      <c r="J110" s="354">
        <v>0.89980000000000004</v>
      </c>
      <c r="K110" s="361" t="s">
        <v>234</v>
      </c>
    </row>
    <row r="111" spans="1:11" ht="14.4" customHeight="1" thickBot="1" x14ac:dyDescent="0.35">
      <c r="A111" s="370" t="s">
        <v>336</v>
      </c>
      <c r="B111" s="348">
        <v>0</v>
      </c>
      <c r="C111" s="348">
        <v>0.74580000000000002</v>
      </c>
      <c r="D111" s="349">
        <v>0.74580000000000002</v>
      </c>
      <c r="E111" s="358" t="s">
        <v>235</v>
      </c>
      <c r="F111" s="348">
        <v>0</v>
      </c>
      <c r="G111" s="349">
        <v>0</v>
      </c>
      <c r="H111" s="351">
        <v>9.64E-2</v>
      </c>
      <c r="I111" s="348">
        <v>0.89980000000000004</v>
      </c>
      <c r="J111" s="349">
        <v>0.89980000000000004</v>
      </c>
      <c r="K111" s="359" t="s">
        <v>234</v>
      </c>
    </row>
    <row r="112" spans="1:11" ht="14.4" customHeight="1" thickBot="1" x14ac:dyDescent="0.35">
      <c r="A112" s="369" t="s">
        <v>337</v>
      </c>
      <c r="B112" s="353">
        <v>135</v>
      </c>
      <c r="C112" s="353">
        <v>118.12345000000001</v>
      </c>
      <c r="D112" s="354">
        <v>-16.876550000000002</v>
      </c>
      <c r="E112" s="355">
        <v>0.87498851851799997</v>
      </c>
      <c r="F112" s="353">
        <v>0</v>
      </c>
      <c r="G112" s="354">
        <v>0</v>
      </c>
      <c r="H112" s="356">
        <v>9.3437800000000006</v>
      </c>
      <c r="I112" s="353">
        <v>55.162460000000003</v>
      </c>
      <c r="J112" s="354">
        <v>55.162460000000003</v>
      </c>
      <c r="K112" s="361" t="s">
        <v>234</v>
      </c>
    </row>
    <row r="113" spans="1:11" ht="14.4" customHeight="1" thickBot="1" x14ac:dyDescent="0.35">
      <c r="A113" s="370" t="s">
        <v>338</v>
      </c>
      <c r="B113" s="348">
        <v>135</v>
      </c>
      <c r="C113" s="348">
        <v>118.12345000000001</v>
      </c>
      <c r="D113" s="349">
        <v>-16.876550000000002</v>
      </c>
      <c r="E113" s="350">
        <v>0.87498851851799997</v>
      </c>
      <c r="F113" s="348">
        <v>0</v>
      </c>
      <c r="G113" s="349">
        <v>0</v>
      </c>
      <c r="H113" s="351">
        <v>9.3437800000000006</v>
      </c>
      <c r="I113" s="348">
        <v>55.162460000000003</v>
      </c>
      <c r="J113" s="349">
        <v>55.162460000000003</v>
      </c>
      <c r="K113" s="359" t="s">
        <v>234</v>
      </c>
    </row>
    <row r="114" spans="1:11" ht="14.4" customHeight="1" thickBot="1" x14ac:dyDescent="0.35">
      <c r="A114" s="369" t="s">
        <v>339</v>
      </c>
      <c r="B114" s="353">
        <v>365</v>
      </c>
      <c r="C114" s="353">
        <v>315.73998999999998</v>
      </c>
      <c r="D114" s="354">
        <v>-49.260010000000001</v>
      </c>
      <c r="E114" s="355">
        <v>0.865041068493</v>
      </c>
      <c r="F114" s="353">
        <v>0</v>
      </c>
      <c r="G114" s="354">
        <v>0</v>
      </c>
      <c r="H114" s="356">
        <v>20.858609999999999</v>
      </c>
      <c r="I114" s="353">
        <v>130.70786000000001</v>
      </c>
      <c r="J114" s="354">
        <v>130.70786000000001</v>
      </c>
      <c r="K114" s="361" t="s">
        <v>234</v>
      </c>
    </row>
    <row r="115" spans="1:11" ht="14.4" customHeight="1" thickBot="1" x14ac:dyDescent="0.35">
      <c r="A115" s="370" t="s">
        <v>340</v>
      </c>
      <c r="B115" s="348">
        <v>365</v>
      </c>
      <c r="C115" s="348">
        <v>315.73998999999998</v>
      </c>
      <c r="D115" s="349">
        <v>-49.260010000000001</v>
      </c>
      <c r="E115" s="350">
        <v>0.865041068493</v>
      </c>
      <c r="F115" s="348">
        <v>0</v>
      </c>
      <c r="G115" s="349">
        <v>0</v>
      </c>
      <c r="H115" s="351">
        <v>20.858609999999999</v>
      </c>
      <c r="I115" s="348">
        <v>130.70786000000001</v>
      </c>
      <c r="J115" s="349">
        <v>130.70786000000001</v>
      </c>
      <c r="K115" s="359" t="s">
        <v>234</v>
      </c>
    </row>
    <row r="116" spans="1:11" ht="14.4" customHeight="1" thickBot="1" x14ac:dyDescent="0.35">
      <c r="A116" s="374"/>
      <c r="B116" s="348">
        <v>-2465.05256830496</v>
      </c>
      <c r="C116" s="348">
        <v>-1153.6287600000001</v>
      </c>
      <c r="D116" s="349">
        <v>1311.4238083049499</v>
      </c>
      <c r="E116" s="350">
        <v>0.46799357337500003</v>
      </c>
      <c r="F116" s="348">
        <v>-1462.7287888215001</v>
      </c>
      <c r="G116" s="349">
        <v>-609.47032867562405</v>
      </c>
      <c r="H116" s="351">
        <v>-81.264669999999995</v>
      </c>
      <c r="I116" s="348">
        <v>-550.52790000000095</v>
      </c>
      <c r="J116" s="349">
        <v>58.942428675622999</v>
      </c>
      <c r="K116" s="352">
        <v>0.37637045514299999</v>
      </c>
    </row>
    <row r="117" spans="1:11" ht="14.4" customHeight="1" thickBot="1" x14ac:dyDescent="0.35">
      <c r="A117" s="375" t="s">
        <v>43</v>
      </c>
      <c r="B117" s="362">
        <v>-2465.05256830496</v>
      </c>
      <c r="C117" s="362">
        <v>-1153.6287600000001</v>
      </c>
      <c r="D117" s="363">
        <v>1311.4238083049499</v>
      </c>
      <c r="E117" s="364">
        <v>-0.19318616448199999</v>
      </c>
      <c r="F117" s="362">
        <v>-1462.7287888215001</v>
      </c>
      <c r="G117" s="363">
        <v>-609.47032867562405</v>
      </c>
      <c r="H117" s="362">
        <v>-81.264669999999995</v>
      </c>
      <c r="I117" s="362">
        <v>-550.52790000000095</v>
      </c>
      <c r="J117" s="363">
        <v>58.942428675622999</v>
      </c>
      <c r="K117" s="365">
        <v>0.37637045514299999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15" t="s">
        <v>104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196" t="s">
        <v>233</v>
      </c>
      <c r="B2" s="176"/>
      <c r="C2" s="176"/>
      <c r="D2" s="176"/>
      <c r="E2" s="176"/>
      <c r="F2" s="176"/>
    </row>
    <row r="3" spans="1:10" ht="14.4" customHeight="1" thickBot="1" x14ac:dyDescent="0.35">
      <c r="A3" s="196"/>
      <c r="B3" s="176"/>
      <c r="C3" s="254">
        <v>2013</v>
      </c>
      <c r="D3" s="255">
        <v>2014</v>
      </c>
      <c r="E3" s="7"/>
      <c r="F3" s="310">
        <v>2015</v>
      </c>
      <c r="G3" s="311"/>
      <c r="H3" s="311"/>
      <c r="I3" s="312"/>
    </row>
    <row r="4" spans="1:10" ht="14.4" customHeight="1" thickBot="1" x14ac:dyDescent="0.35">
      <c r="A4" s="259" t="s">
        <v>0</v>
      </c>
      <c r="B4" s="260" t="s">
        <v>195</v>
      </c>
      <c r="C4" s="313" t="s">
        <v>50</v>
      </c>
      <c r="D4" s="314"/>
      <c r="E4" s="261"/>
      <c r="F4" s="256" t="s">
        <v>50</v>
      </c>
      <c r="G4" s="257" t="s">
        <v>51</v>
      </c>
      <c r="H4" s="257" t="s">
        <v>45</v>
      </c>
      <c r="I4" s="258" t="s">
        <v>52</v>
      </c>
    </row>
    <row r="5" spans="1:10" ht="14.4" customHeight="1" x14ac:dyDescent="0.3">
      <c r="A5" s="376" t="s">
        <v>341</v>
      </c>
      <c r="B5" s="377" t="s">
        <v>342</v>
      </c>
      <c r="C5" s="378" t="s">
        <v>343</v>
      </c>
      <c r="D5" s="378" t="s">
        <v>343</v>
      </c>
      <c r="E5" s="378"/>
      <c r="F5" s="378" t="s">
        <v>343</v>
      </c>
      <c r="G5" s="378" t="s">
        <v>343</v>
      </c>
      <c r="H5" s="378" t="s">
        <v>343</v>
      </c>
      <c r="I5" s="379" t="s">
        <v>343</v>
      </c>
      <c r="J5" s="380" t="s">
        <v>46</v>
      </c>
    </row>
    <row r="6" spans="1:10" ht="14.4" customHeight="1" x14ac:dyDescent="0.3">
      <c r="A6" s="376" t="s">
        <v>341</v>
      </c>
      <c r="B6" s="377" t="s">
        <v>241</v>
      </c>
      <c r="C6" s="378">
        <v>0</v>
      </c>
      <c r="D6" s="378">
        <v>0</v>
      </c>
      <c r="E6" s="378"/>
      <c r="F6" s="378" t="s">
        <v>343</v>
      </c>
      <c r="G6" s="378" t="s">
        <v>343</v>
      </c>
      <c r="H6" s="378" t="s">
        <v>343</v>
      </c>
      <c r="I6" s="379" t="s">
        <v>343</v>
      </c>
      <c r="J6" s="380" t="s">
        <v>1</v>
      </c>
    </row>
    <row r="7" spans="1:10" ht="14.4" customHeight="1" x14ac:dyDescent="0.3">
      <c r="A7" s="376" t="s">
        <v>341</v>
      </c>
      <c r="B7" s="377" t="s">
        <v>344</v>
      </c>
      <c r="C7" s="378">
        <v>0</v>
      </c>
      <c r="D7" s="378">
        <v>0</v>
      </c>
      <c r="E7" s="378"/>
      <c r="F7" s="378" t="s">
        <v>343</v>
      </c>
      <c r="G7" s="378" t="s">
        <v>343</v>
      </c>
      <c r="H7" s="378" t="s">
        <v>343</v>
      </c>
      <c r="I7" s="379" t="s">
        <v>343</v>
      </c>
      <c r="J7" s="380" t="s">
        <v>345</v>
      </c>
    </row>
    <row r="9" spans="1:10" ht="14.4" customHeight="1" x14ac:dyDescent="0.3">
      <c r="A9" s="376" t="s">
        <v>341</v>
      </c>
      <c r="B9" s="377" t="s">
        <v>342</v>
      </c>
      <c r="C9" s="378" t="s">
        <v>343</v>
      </c>
      <c r="D9" s="378" t="s">
        <v>343</v>
      </c>
      <c r="E9" s="378"/>
      <c r="F9" s="378" t="s">
        <v>343</v>
      </c>
      <c r="G9" s="378" t="s">
        <v>343</v>
      </c>
      <c r="H9" s="378" t="s">
        <v>343</v>
      </c>
      <c r="I9" s="379" t="s">
        <v>343</v>
      </c>
      <c r="J9" s="380" t="s">
        <v>46</v>
      </c>
    </row>
    <row r="10" spans="1:10" ht="14.4" customHeight="1" x14ac:dyDescent="0.3">
      <c r="A10" s="376" t="s">
        <v>346</v>
      </c>
      <c r="B10" s="377" t="s">
        <v>347</v>
      </c>
      <c r="C10" s="378" t="s">
        <v>343</v>
      </c>
      <c r="D10" s="378" t="s">
        <v>343</v>
      </c>
      <c r="E10" s="378"/>
      <c r="F10" s="378" t="s">
        <v>343</v>
      </c>
      <c r="G10" s="378" t="s">
        <v>343</v>
      </c>
      <c r="H10" s="378" t="s">
        <v>343</v>
      </c>
      <c r="I10" s="379" t="s">
        <v>343</v>
      </c>
      <c r="J10" s="380" t="s">
        <v>0</v>
      </c>
    </row>
    <row r="11" spans="1:10" ht="14.4" customHeight="1" x14ac:dyDescent="0.3">
      <c r="A11" s="376" t="s">
        <v>346</v>
      </c>
      <c r="B11" s="377" t="s">
        <v>241</v>
      </c>
      <c r="C11" s="378">
        <v>0</v>
      </c>
      <c r="D11" s="378">
        <v>0</v>
      </c>
      <c r="E11" s="378"/>
      <c r="F11" s="378" t="s">
        <v>343</v>
      </c>
      <c r="G11" s="378" t="s">
        <v>343</v>
      </c>
      <c r="H11" s="378" t="s">
        <v>343</v>
      </c>
      <c r="I11" s="379" t="s">
        <v>343</v>
      </c>
      <c r="J11" s="380" t="s">
        <v>1</v>
      </c>
    </row>
    <row r="12" spans="1:10" ht="14.4" customHeight="1" x14ac:dyDescent="0.3">
      <c r="A12" s="376" t="s">
        <v>346</v>
      </c>
      <c r="B12" s="377" t="s">
        <v>348</v>
      </c>
      <c r="C12" s="378">
        <v>0</v>
      </c>
      <c r="D12" s="378">
        <v>0</v>
      </c>
      <c r="E12" s="378"/>
      <c r="F12" s="378" t="s">
        <v>343</v>
      </c>
      <c r="G12" s="378" t="s">
        <v>343</v>
      </c>
      <c r="H12" s="378" t="s">
        <v>343</v>
      </c>
      <c r="I12" s="379" t="s">
        <v>343</v>
      </c>
      <c r="J12" s="380" t="s">
        <v>349</v>
      </c>
    </row>
    <row r="13" spans="1:10" ht="14.4" customHeight="1" x14ac:dyDescent="0.3">
      <c r="A13" s="376" t="s">
        <v>343</v>
      </c>
      <c r="B13" s="377" t="s">
        <v>343</v>
      </c>
      <c r="C13" s="378" t="s">
        <v>343</v>
      </c>
      <c r="D13" s="378" t="s">
        <v>343</v>
      </c>
      <c r="E13" s="378"/>
      <c r="F13" s="378" t="s">
        <v>343</v>
      </c>
      <c r="G13" s="378" t="s">
        <v>343</v>
      </c>
      <c r="H13" s="378" t="s">
        <v>343</v>
      </c>
      <c r="I13" s="379" t="s">
        <v>343</v>
      </c>
      <c r="J13" s="380" t="s">
        <v>350</v>
      </c>
    </row>
    <row r="14" spans="1:10" ht="14.4" customHeight="1" x14ac:dyDescent="0.3">
      <c r="A14" s="376" t="s">
        <v>341</v>
      </c>
      <c r="B14" s="377" t="s">
        <v>344</v>
      </c>
      <c r="C14" s="378">
        <v>0</v>
      </c>
      <c r="D14" s="378">
        <v>0</v>
      </c>
      <c r="E14" s="378"/>
      <c r="F14" s="378" t="s">
        <v>343</v>
      </c>
      <c r="G14" s="378" t="s">
        <v>343</v>
      </c>
      <c r="H14" s="378" t="s">
        <v>343</v>
      </c>
      <c r="I14" s="379" t="s">
        <v>343</v>
      </c>
      <c r="J14" s="380" t="s">
        <v>345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77" bestFit="1" customWidth="1"/>
    <col min="3" max="3" width="6.109375" style="177" bestFit="1" customWidth="1"/>
    <col min="4" max="4" width="7.44140625" style="177" bestFit="1" customWidth="1"/>
    <col min="5" max="5" width="6.21875" style="177" bestFit="1" customWidth="1"/>
    <col min="6" max="6" width="6.33203125" style="180" bestFit="1" customWidth="1"/>
    <col min="7" max="7" width="6.109375" style="180" bestFit="1" customWidth="1"/>
    <col min="8" max="8" width="7.44140625" style="180" bestFit="1" customWidth="1"/>
    <col min="9" max="9" width="6.21875" style="180" bestFit="1" customWidth="1"/>
    <col min="10" max="10" width="5.44140625" style="177" bestFit="1" customWidth="1"/>
    <col min="11" max="11" width="6.109375" style="177" bestFit="1" customWidth="1"/>
    <col min="12" max="12" width="7.44140625" style="177" bestFit="1" customWidth="1"/>
    <col min="13" max="13" width="6.21875" style="177" bestFit="1" customWidth="1"/>
    <col min="14" max="14" width="5.33203125" style="180" bestFit="1" customWidth="1"/>
    <col min="15" max="15" width="6.109375" style="180" bestFit="1" customWidth="1"/>
    <col min="16" max="16" width="7.44140625" style="180" bestFit="1" customWidth="1"/>
    <col min="17" max="17" width="6.21875" style="180" bestFit="1" customWidth="1"/>
    <col min="18" max="16384" width="8.88671875" style="102"/>
  </cols>
  <sheetData>
    <row r="1" spans="1:17" ht="18.600000000000001" customHeight="1" thickBot="1" x14ac:dyDescent="0.4">
      <c r="A1" s="318" t="s">
        <v>196</v>
      </c>
      <c r="B1" s="318"/>
      <c r="C1" s="318"/>
      <c r="D1" s="318"/>
      <c r="E1" s="318"/>
      <c r="F1" s="287"/>
      <c r="G1" s="287"/>
      <c r="H1" s="287"/>
      <c r="I1" s="28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196" t="s">
        <v>233</v>
      </c>
      <c r="B2" s="181"/>
      <c r="C2" s="181"/>
      <c r="D2" s="181"/>
      <c r="E2" s="181"/>
    </row>
    <row r="3" spans="1:17" ht="14.4" customHeight="1" thickBot="1" x14ac:dyDescent="0.35">
      <c r="A3" s="263" t="s">
        <v>3</v>
      </c>
      <c r="B3" s="267">
        <f>SUM(B6:B1048576)</f>
        <v>3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1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22" t="s">
        <v>198</v>
      </c>
      <c r="C4" s="323"/>
      <c r="D4" s="323"/>
      <c r="E4" s="324"/>
      <c r="F4" s="319" t="s">
        <v>203</v>
      </c>
      <c r="G4" s="320"/>
      <c r="H4" s="320"/>
      <c r="I4" s="321"/>
      <c r="J4" s="322" t="s">
        <v>204</v>
      </c>
      <c r="K4" s="323"/>
      <c r="L4" s="323"/>
      <c r="M4" s="324"/>
      <c r="N4" s="319" t="s">
        <v>205</v>
      </c>
      <c r="O4" s="320"/>
      <c r="P4" s="320"/>
      <c r="Q4" s="321"/>
    </row>
    <row r="5" spans="1:17" ht="14.4" customHeight="1" thickBot="1" x14ac:dyDescent="0.35">
      <c r="A5" s="381" t="s">
        <v>197</v>
      </c>
      <c r="B5" s="382" t="s">
        <v>199</v>
      </c>
      <c r="C5" s="382" t="s">
        <v>200</v>
      </c>
      <c r="D5" s="382" t="s">
        <v>201</v>
      </c>
      <c r="E5" s="383" t="s">
        <v>202</v>
      </c>
      <c r="F5" s="384" t="s">
        <v>199</v>
      </c>
      <c r="G5" s="385" t="s">
        <v>200</v>
      </c>
      <c r="H5" s="385" t="s">
        <v>201</v>
      </c>
      <c r="I5" s="386" t="s">
        <v>202</v>
      </c>
      <c r="J5" s="382" t="s">
        <v>199</v>
      </c>
      <c r="K5" s="382" t="s">
        <v>200</v>
      </c>
      <c r="L5" s="382" t="s">
        <v>201</v>
      </c>
      <c r="M5" s="383" t="s">
        <v>202</v>
      </c>
      <c r="N5" s="384" t="s">
        <v>199</v>
      </c>
      <c r="O5" s="385" t="s">
        <v>200</v>
      </c>
      <c r="P5" s="385" t="s">
        <v>201</v>
      </c>
      <c r="Q5" s="386" t="s">
        <v>202</v>
      </c>
    </row>
    <row r="6" spans="1:17" ht="14.4" customHeight="1" x14ac:dyDescent="0.3">
      <c r="A6" s="394" t="s">
        <v>351</v>
      </c>
      <c r="B6" s="398"/>
      <c r="C6" s="388"/>
      <c r="D6" s="388"/>
      <c r="E6" s="400"/>
      <c r="F6" s="396"/>
      <c r="G6" s="389"/>
      <c r="H6" s="389"/>
      <c r="I6" s="402"/>
      <c r="J6" s="398"/>
      <c r="K6" s="388"/>
      <c r="L6" s="388"/>
      <c r="M6" s="400"/>
      <c r="N6" s="396"/>
      <c r="O6" s="389"/>
      <c r="P6" s="389"/>
      <c r="Q6" s="390"/>
    </row>
    <row r="7" spans="1:17" ht="14.4" customHeight="1" thickBot="1" x14ac:dyDescent="0.35">
      <c r="A7" s="395" t="s">
        <v>352</v>
      </c>
      <c r="B7" s="399">
        <v>3</v>
      </c>
      <c r="C7" s="391"/>
      <c r="D7" s="391"/>
      <c r="E7" s="401"/>
      <c r="F7" s="397">
        <v>1</v>
      </c>
      <c r="G7" s="392">
        <v>0</v>
      </c>
      <c r="H7" s="392">
        <v>0</v>
      </c>
      <c r="I7" s="403">
        <v>0</v>
      </c>
      <c r="J7" s="399">
        <v>1</v>
      </c>
      <c r="K7" s="391"/>
      <c r="L7" s="391"/>
      <c r="M7" s="401"/>
      <c r="N7" s="397">
        <v>1</v>
      </c>
      <c r="O7" s="392">
        <v>0</v>
      </c>
      <c r="P7" s="392">
        <v>0</v>
      </c>
      <c r="Q7" s="39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8" customWidth="1"/>
    <col min="2" max="2" width="61.109375" style="178" customWidth="1"/>
    <col min="3" max="3" width="9.5546875" style="102" customWidth="1"/>
    <col min="4" max="4" width="9.5546875" style="179" customWidth="1"/>
    <col min="5" max="5" width="2.21875" style="179" customWidth="1"/>
    <col min="6" max="6" width="9.5546875" style="180" customWidth="1"/>
    <col min="7" max="7" width="9.5546875" style="177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15" t="s">
        <v>105</v>
      </c>
      <c r="B1" s="316"/>
      <c r="C1" s="316"/>
      <c r="D1" s="316"/>
      <c r="E1" s="316"/>
      <c r="F1" s="316"/>
      <c r="G1" s="287"/>
      <c r="H1" s="317"/>
      <c r="I1" s="317"/>
    </row>
    <row r="2" spans="1:10" ht="14.4" customHeight="1" thickBot="1" x14ac:dyDescent="0.35">
      <c r="A2" s="196" t="s">
        <v>233</v>
      </c>
      <c r="B2" s="176"/>
      <c r="C2" s="176"/>
      <c r="D2" s="176"/>
      <c r="E2" s="176"/>
      <c r="F2" s="176"/>
    </row>
    <row r="3" spans="1:10" ht="14.4" customHeight="1" thickBot="1" x14ac:dyDescent="0.35">
      <c r="A3" s="196"/>
      <c r="B3" s="176"/>
      <c r="C3" s="254">
        <v>2013</v>
      </c>
      <c r="D3" s="255">
        <v>2014</v>
      </c>
      <c r="E3" s="7"/>
      <c r="F3" s="310">
        <v>2015</v>
      </c>
      <c r="G3" s="311"/>
      <c r="H3" s="311"/>
      <c r="I3" s="312"/>
    </row>
    <row r="4" spans="1:10" ht="14.4" customHeight="1" thickBot="1" x14ac:dyDescent="0.35">
      <c r="A4" s="259" t="s">
        <v>0</v>
      </c>
      <c r="B4" s="260" t="s">
        <v>195</v>
      </c>
      <c r="C4" s="313" t="s">
        <v>50</v>
      </c>
      <c r="D4" s="314"/>
      <c r="E4" s="261"/>
      <c r="F4" s="256" t="s">
        <v>50</v>
      </c>
      <c r="G4" s="257" t="s">
        <v>51</v>
      </c>
      <c r="H4" s="257" t="s">
        <v>45</v>
      </c>
      <c r="I4" s="258" t="s">
        <v>52</v>
      </c>
    </row>
    <row r="5" spans="1:10" ht="14.4" customHeight="1" x14ac:dyDescent="0.3">
      <c r="A5" s="376" t="s">
        <v>341</v>
      </c>
      <c r="B5" s="377" t="s">
        <v>342</v>
      </c>
      <c r="C5" s="378" t="s">
        <v>343</v>
      </c>
      <c r="D5" s="378" t="s">
        <v>343</v>
      </c>
      <c r="E5" s="378"/>
      <c r="F5" s="378" t="s">
        <v>343</v>
      </c>
      <c r="G5" s="378" t="s">
        <v>343</v>
      </c>
      <c r="H5" s="378" t="s">
        <v>343</v>
      </c>
      <c r="I5" s="379" t="s">
        <v>343</v>
      </c>
      <c r="J5" s="380" t="s">
        <v>46</v>
      </c>
    </row>
    <row r="6" spans="1:10" ht="14.4" customHeight="1" x14ac:dyDescent="0.3">
      <c r="A6" s="376" t="s">
        <v>341</v>
      </c>
      <c r="B6" s="377" t="s">
        <v>353</v>
      </c>
      <c r="C6" s="378">
        <v>0</v>
      </c>
      <c r="D6" s="378" t="s">
        <v>343</v>
      </c>
      <c r="E6" s="378"/>
      <c r="F6" s="378" t="s">
        <v>343</v>
      </c>
      <c r="G6" s="378" t="s">
        <v>343</v>
      </c>
      <c r="H6" s="378" t="s">
        <v>343</v>
      </c>
      <c r="I6" s="379" t="s">
        <v>343</v>
      </c>
      <c r="J6" s="380" t="s">
        <v>1</v>
      </c>
    </row>
    <row r="7" spans="1:10" ht="14.4" customHeight="1" x14ac:dyDescent="0.3">
      <c r="A7" s="376" t="s">
        <v>341</v>
      </c>
      <c r="B7" s="377" t="s">
        <v>243</v>
      </c>
      <c r="C7" s="378">
        <v>0.04</v>
      </c>
      <c r="D7" s="378">
        <v>0</v>
      </c>
      <c r="E7" s="378"/>
      <c r="F7" s="378" t="s">
        <v>343</v>
      </c>
      <c r="G7" s="378" t="s">
        <v>343</v>
      </c>
      <c r="H7" s="378" t="s">
        <v>343</v>
      </c>
      <c r="I7" s="379" t="s">
        <v>343</v>
      </c>
      <c r="J7" s="380" t="s">
        <v>1</v>
      </c>
    </row>
    <row r="8" spans="1:10" ht="14.4" customHeight="1" x14ac:dyDescent="0.3">
      <c r="A8" s="376" t="s">
        <v>341</v>
      </c>
      <c r="B8" s="377" t="s">
        <v>344</v>
      </c>
      <c r="C8" s="378">
        <v>0.04</v>
      </c>
      <c r="D8" s="378">
        <v>0</v>
      </c>
      <c r="E8" s="378"/>
      <c r="F8" s="378" t="s">
        <v>343</v>
      </c>
      <c r="G8" s="378" t="s">
        <v>343</v>
      </c>
      <c r="H8" s="378" t="s">
        <v>343</v>
      </c>
      <c r="I8" s="379" t="s">
        <v>343</v>
      </c>
      <c r="J8" s="380" t="s">
        <v>345</v>
      </c>
    </row>
    <row r="10" spans="1:10" ht="14.4" customHeight="1" x14ac:dyDescent="0.3">
      <c r="A10" s="376" t="s">
        <v>341</v>
      </c>
      <c r="B10" s="377" t="s">
        <v>342</v>
      </c>
      <c r="C10" s="378" t="s">
        <v>343</v>
      </c>
      <c r="D10" s="378" t="s">
        <v>343</v>
      </c>
      <c r="E10" s="378"/>
      <c r="F10" s="378" t="s">
        <v>343</v>
      </c>
      <c r="G10" s="378" t="s">
        <v>343</v>
      </c>
      <c r="H10" s="378" t="s">
        <v>343</v>
      </c>
      <c r="I10" s="379" t="s">
        <v>343</v>
      </c>
      <c r="J10" s="380" t="s">
        <v>46</v>
      </c>
    </row>
    <row r="11" spans="1:10" ht="14.4" customHeight="1" x14ac:dyDescent="0.3">
      <c r="A11" s="376" t="s">
        <v>346</v>
      </c>
      <c r="B11" s="377" t="s">
        <v>347</v>
      </c>
      <c r="C11" s="378" t="s">
        <v>343</v>
      </c>
      <c r="D11" s="378" t="s">
        <v>343</v>
      </c>
      <c r="E11" s="378"/>
      <c r="F11" s="378" t="s">
        <v>343</v>
      </c>
      <c r="G11" s="378" t="s">
        <v>343</v>
      </c>
      <c r="H11" s="378" t="s">
        <v>343</v>
      </c>
      <c r="I11" s="379" t="s">
        <v>343</v>
      </c>
      <c r="J11" s="380" t="s">
        <v>0</v>
      </c>
    </row>
    <row r="12" spans="1:10" ht="14.4" customHeight="1" x14ac:dyDescent="0.3">
      <c r="A12" s="376" t="s">
        <v>346</v>
      </c>
      <c r="B12" s="377" t="s">
        <v>353</v>
      </c>
      <c r="C12" s="378">
        <v>0</v>
      </c>
      <c r="D12" s="378" t="s">
        <v>343</v>
      </c>
      <c r="E12" s="378"/>
      <c r="F12" s="378" t="s">
        <v>343</v>
      </c>
      <c r="G12" s="378" t="s">
        <v>343</v>
      </c>
      <c r="H12" s="378" t="s">
        <v>343</v>
      </c>
      <c r="I12" s="379" t="s">
        <v>343</v>
      </c>
      <c r="J12" s="380" t="s">
        <v>1</v>
      </c>
    </row>
    <row r="13" spans="1:10" ht="14.4" customHeight="1" x14ac:dyDescent="0.3">
      <c r="A13" s="376" t="s">
        <v>346</v>
      </c>
      <c r="B13" s="377" t="s">
        <v>243</v>
      </c>
      <c r="C13" s="378">
        <v>0.04</v>
      </c>
      <c r="D13" s="378">
        <v>0</v>
      </c>
      <c r="E13" s="378"/>
      <c r="F13" s="378" t="s">
        <v>343</v>
      </c>
      <c r="G13" s="378" t="s">
        <v>343</v>
      </c>
      <c r="H13" s="378" t="s">
        <v>343</v>
      </c>
      <c r="I13" s="379" t="s">
        <v>343</v>
      </c>
      <c r="J13" s="380" t="s">
        <v>1</v>
      </c>
    </row>
    <row r="14" spans="1:10" ht="14.4" customHeight="1" x14ac:dyDescent="0.3">
      <c r="A14" s="376" t="s">
        <v>346</v>
      </c>
      <c r="B14" s="377" t="s">
        <v>348</v>
      </c>
      <c r="C14" s="378">
        <v>0.04</v>
      </c>
      <c r="D14" s="378">
        <v>0</v>
      </c>
      <c r="E14" s="378"/>
      <c r="F14" s="378" t="s">
        <v>343</v>
      </c>
      <c r="G14" s="378" t="s">
        <v>343</v>
      </c>
      <c r="H14" s="378" t="s">
        <v>343</v>
      </c>
      <c r="I14" s="379" t="s">
        <v>343</v>
      </c>
      <c r="J14" s="380" t="s">
        <v>349</v>
      </c>
    </row>
    <row r="15" spans="1:10" ht="14.4" customHeight="1" x14ac:dyDescent="0.3">
      <c r="A15" s="376" t="s">
        <v>343</v>
      </c>
      <c r="B15" s="377" t="s">
        <v>343</v>
      </c>
      <c r="C15" s="378" t="s">
        <v>343</v>
      </c>
      <c r="D15" s="378" t="s">
        <v>343</v>
      </c>
      <c r="E15" s="378"/>
      <c r="F15" s="378" t="s">
        <v>343</v>
      </c>
      <c r="G15" s="378" t="s">
        <v>343</v>
      </c>
      <c r="H15" s="378" t="s">
        <v>343</v>
      </c>
      <c r="I15" s="379" t="s">
        <v>343</v>
      </c>
      <c r="J15" s="380" t="s">
        <v>350</v>
      </c>
    </row>
    <row r="16" spans="1:10" ht="14.4" customHeight="1" x14ac:dyDescent="0.3">
      <c r="A16" s="376" t="s">
        <v>341</v>
      </c>
      <c r="B16" s="377" t="s">
        <v>344</v>
      </c>
      <c r="C16" s="378">
        <v>0.04</v>
      </c>
      <c r="D16" s="378">
        <v>0</v>
      </c>
      <c r="E16" s="378"/>
      <c r="F16" s="378" t="s">
        <v>343</v>
      </c>
      <c r="G16" s="378" t="s">
        <v>343</v>
      </c>
      <c r="H16" s="378" t="s">
        <v>343</v>
      </c>
      <c r="I16" s="379" t="s">
        <v>343</v>
      </c>
      <c r="J16" s="380" t="s">
        <v>345</v>
      </c>
    </row>
  </sheetData>
  <mergeCells count="3">
    <mergeCell ref="A1:I1"/>
    <mergeCell ref="F3:I3"/>
    <mergeCell ref="C4:D4"/>
  </mergeCells>
  <conditionalFormatting sqref="F9 F17:F65537">
    <cfRule type="cellIs" dxfId="20" priority="18" stopIfTrue="1" operator="greaterThan">
      <formula>1</formula>
    </cfRule>
  </conditionalFormatting>
  <conditionalFormatting sqref="H5:H8">
    <cfRule type="expression" dxfId="19" priority="14">
      <formula>$H5&gt;0</formula>
    </cfRule>
  </conditionalFormatting>
  <conditionalFormatting sqref="I5:I8">
    <cfRule type="expression" dxfId="18" priority="15">
      <formula>$I5&gt;1</formula>
    </cfRule>
  </conditionalFormatting>
  <conditionalFormatting sqref="B5:B8">
    <cfRule type="expression" dxfId="17" priority="11">
      <formula>OR($J5="NS",$J5="SumaNS",$J5="Účet")</formula>
    </cfRule>
  </conditionalFormatting>
  <conditionalFormatting sqref="F5:I8 B5:D8">
    <cfRule type="expression" dxfId="16" priority="17">
      <formula>AND($J5&lt;&gt;"",$J5&lt;&gt;"mezeraKL")</formula>
    </cfRule>
  </conditionalFormatting>
  <conditionalFormatting sqref="B5:D8 F5:I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4" priority="13">
      <formula>OR($J5="SumaNS",$J5="NS")</formula>
    </cfRule>
  </conditionalFormatting>
  <conditionalFormatting sqref="A5:A8">
    <cfRule type="expression" dxfId="13" priority="9">
      <formula>AND($J5&lt;&gt;"mezeraKL",$J5&lt;&gt;"")</formula>
    </cfRule>
  </conditionalFormatting>
  <conditionalFormatting sqref="A5:A8">
    <cfRule type="expression" dxfId="12" priority="10">
      <formula>AND($J5&lt;&gt;"",$J5&lt;&gt;"mezeraKL")</formula>
    </cfRule>
  </conditionalFormatting>
  <conditionalFormatting sqref="H10:H16">
    <cfRule type="expression" dxfId="11" priority="5">
      <formula>$H10&gt;0</formula>
    </cfRule>
  </conditionalFormatting>
  <conditionalFormatting sqref="A10:A16">
    <cfRule type="expression" dxfId="10" priority="2">
      <formula>AND($J10&lt;&gt;"mezeraKL",$J10&lt;&gt;"")</formula>
    </cfRule>
  </conditionalFormatting>
  <conditionalFormatting sqref="I10:I16">
    <cfRule type="expression" dxfId="9" priority="6">
      <formula>$I10&gt;1</formula>
    </cfRule>
  </conditionalFormatting>
  <conditionalFormatting sqref="B10:B16">
    <cfRule type="expression" dxfId="8" priority="1">
      <formula>OR($J10="NS",$J10="SumaNS",$J10="Účet")</formula>
    </cfRule>
  </conditionalFormatting>
  <conditionalFormatting sqref="A10:D16 F10:I16">
    <cfRule type="expression" dxfId="7" priority="8">
      <formula>AND($J10&lt;&gt;"",$J10&lt;&gt;"mezeraKL")</formula>
    </cfRule>
  </conditionalFormatting>
  <conditionalFormatting sqref="B10:D16 F10:I16">
    <cfRule type="expression" dxfId="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2015-06-19T15:11:19Z</dcterms:modified>
</cp:coreProperties>
</file>