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Statim" sheetId="427" r:id="rId9"/>
    <sheet name="Materiál Žádanky" sheetId="420" r:id="rId10"/>
    <sheet name="MŽ Detail" sheetId="403" r:id="rId11"/>
    <sheet name="Osobní náklady" sheetId="419" r:id="rId12"/>
    <sheet name="ON Data" sheetId="418" state="hidden" r:id="rId13"/>
    <sheet name="ZV Vykáz.-A" sheetId="344" r:id="rId14"/>
    <sheet name="ZV Vykáz.-A Lékaři" sheetId="429" r:id="rId15"/>
    <sheet name="ZV Vykáz.-A Detail" sheetId="345" r:id="rId16"/>
    <sheet name="ZV Vykáz.-H" sheetId="410" r:id="rId17"/>
    <sheet name="ZV Vykáz.-H Detail" sheetId="377" r:id="rId18"/>
  </sheets>
  <definedNames>
    <definedName name="_xlnm._FilterDatabase" localSheetId="5" hidden="1">HV!$A$5:$A$5</definedName>
    <definedName name="_xlnm._FilterDatabase" localSheetId="6" hidden="1">'Léky Žádanky'!$A$4:$I$4</definedName>
    <definedName name="_xlnm._FilterDatabase" localSheetId="7" hidden="1">'LŽ Detail'!$A$4:$N$4</definedName>
    <definedName name="_xlnm._FilterDatabase" localSheetId="8" hidden="1">'LŽ Statim'!$A$5:$I$5</definedName>
    <definedName name="_xlnm._FilterDatabase" localSheetId="4" hidden="1">'Man Tab'!$A$5:$A$31</definedName>
    <definedName name="_xlnm._FilterDatabase" localSheetId="9" hidden="1">'Materiál Žádanky'!$A$4:$I$4</definedName>
    <definedName name="_xlnm._FilterDatabase" localSheetId="10" hidden="1">'MŽ Detail'!$A$4:$K$4</definedName>
    <definedName name="_xlnm._FilterDatabase" localSheetId="15" hidden="1">'ZV Vykáz.-A Detail'!$A$5:$Q$5</definedName>
    <definedName name="_xlnm._FilterDatabase" localSheetId="14" hidden="1">'ZV Vykáz.-A Lékaři'!$A$4:$A$5</definedName>
    <definedName name="_xlnm._FilterDatabase" localSheetId="17" hidden="1">'ZV Vykáz.-H Detail'!$A$5:$Q$5</definedName>
    <definedName name="doměsíce">'HI Graf'!$C$11</definedName>
  </definedNames>
  <calcPr calcId="152511"/>
</workbook>
</file>

<file path=xl/calcChain.xml><?xml version="1.0" encoding="utf-8"?>
<calcChain xmlns="http://schemas.openxmlformats.org/spreadsheetml/2006/main">
  <c r="A8" i="414" l="1"/>
  <c r="A7" i="414"/>
  <c r="F3" i="344" l="1"/>
  <c r="D3" i="344"/>
  <c r="B3" i="344"/>
  <c r="AH21" i="419" l="1"/>
  <c r="AH22" i="419" s="1"/>
  <c r="AG21" i="419"/>
  <c r="AG22" i="419" s="1"/>
  <c r="AF21" i="419"/>
  <c r="AE21" i="419"/>
  <c r="AD21" i="419"/>
  <c r="AC21" i="419"/>
  <c r="AC22" i="419" s="1"/>
  <c r="AB21" i="419"/>
  <c r="AA21" i="419"/>
  <c r="Z21" i="419"/>
  <c r="Y21" i="419"/>
  <c r="Y22" i="419" s="1"/>
  <c r="X21" i="419"/>
  <c r="W21" i="419"/>
  <c r="W22" i="419" s="1"/>
  <c r="V21" i="419"/>
  <c r="V22" i="419" s="1"/>
  <c r="U21" i="419"/>
  <c r="U22" i="419" s="1"/>
  <c r="T21" i="419"/>
  <c r="S21" i="419"/>
  <c r="R21" i="419"/>
  <c r="Q21" i="419"/>
  <c r="Q22" i="419" s="1"/>
  <c r="P21" i="419"/>
  <c r="O21" i="419"/>
  <c r="O22" i="419" s="1"/>
  <c r="N21" i="419"/>
  <c r="M21" i="419"/>
  <c r="M22" i="419" s="1"/>
  <c r="L21" i="419"/>
  <c r="K21" i="419"/>
  <c r="J21" i="419"/>
  <c r="I21" i="419"/>
  <c r="I22" i="419" s="1"/>
  <c r="H21" i="419"/>
  <c r="AH20" i="419"/>
  <c r="AG20" i="419"/>
  <c r="AF20" i="419"/>
  <c r="AE20" i="419"/>
  <c r="AD20" i="419"/>
  <c r="AC20" i="419"/>
  <c r="AB20" i="419"/>
  <c r="AA20" i="419"/>
  <c r="Z20" i="419"/>
  <c r="Y20" i="419"/>
  <c r="X20" i="419"/>
  <c r="W20" i="419"/>
  <c r="V20" i="419"/>
  <c r="U20" i="419"/>
  <c r="T20" i="419"/>
  <c r="S20" i="419"/>
  <c r="R20" i="419"/>
  <c r="Q20" i="419"/>
  <c r="P20" i="419"/>
  <c r="O20" i="419"/>
  <c r="N20" i="419"/>
  <c r="M20" i="419"/>
  <c r="L20" i="419"/>
  <c r="K20" i="419"/>
  <c r="J20" i="419"/>
  <c r="I20" i="419"/>
  <c r="H20" i="419"/>
  <c r="AH19" i="419"/>
  <c r="AG19" i="419"/>
  <c r="AF19" i="419"/>
  <c r="AE19" i="419"/>
  <c r="AD19" i="419"/>
  <c r="AC19" i="419"/>
  <c r="AB19" i="419"/>
  <c r="AA19" i="419"/>
  <c r="Z19" i="419"/>
  <c r="Y19" i="419"/>
  <c r="X19" i="419"/>
  <c r="W19" i="419"/>
  <c r="V19" i="419"/>
  <c r="U19" i="419"/>
  <c r="T19" i="419"/>
  <c r="S19" i="419"/>
  <c r="R19" i="419"/>
  <c r="Q19" i="419"/>
  <c r="P19" i="419"/>
  <c r="O19" i="419"/>
  <c r="N19" i="419"/>
  <c r="M19" i="419"/>
  <c r="L19" i="419"/>
  <c r="K19" i="419"/>
  <c r="J19" i="419"/>
  <c r="I19" i="419"/>
  <c r="H19" i="419"/>
  <c r="AH17" i="419"/>
  <c r="AG17" i="419"/>
  <c r="AF17" i="419"/>
  <c r="AE17" i="419"/>
  <c r="AD17" i="419"/>
  <c r="AC17" i="419"/>
  <c r="AB17" i="419"/>
  <c r="AA17" i="419"/>
  <c r="Z17" i="419"/>
  <c r="Y17" i="419"/>
  <c r="X17" i="419"/>
  <c r="W17" i="419"/>
  <c r="V17" i="419"/>
  <c r="U17" i="419"/>
  <c r="T17" i="419"/>
  <c r="S17" i="419"/>
  <c r="R17" i="419"/>
  <c r="Q17" i="419"/>
  <c r="P17" i="419"/>
  <c r="O17" i="419"/>
  <c r="N17" i="419"/>
  <c r="M17" i="419"/>
  <c r="L17" i="419"/>
  <c r="K17" i="419"/>
  <c r="J17" i="419"/>
  <c r="I17" i="419"/>
  <c r="H17" i="419"/>
  <c r="AH16" i="419"/>
  <c r="AG16" i="419"/>
  <c r="AF16" i="419"/>
  <c r="AF18" i="419" s="1"/>
  <c r="AE16" i="419"/>
  <c r="AD16" i="419"/>
  <c r="AD18" i="419" s="1"/>
  <c r="AC16" i="419"/>
  <c r="AB16" i="419"/>
  <c r="AB18" i="419" s="1"/>
  <c r="AA16" i="419"/>
  <c r="Z16" i="419"/>
  <c r="Z18" i="419" s="1"/>
  <c r="Y16" i="419"/>
  <c r="X16" i="419"/>
  <c r="X18" i="419" s="1"/>
  <c r="W16" i="419"/>
  <c r="V16" i="419"/>
  <c r="U16" i="419"/>
  <c r="T16" i="419"/>
  <c r="T18" i="419" s="1"/>
  <c r="S16" i="419"/>
  <c r="R16" i="419"/>
  <c r="R18" i="419" s="1"/>
  <c r="Q16" i="419"/>
  <c r="P16" i="419"/>
  <c r="P18" i="419" s="1"/>
  <c r="O16" i="419"/>
  <c r="N16" i="419"/>
  <c r="N18" i="419" s="1"/>
  <c r="M16" i="419"/>
  <c r="L16" i="419"/>
  <c r="L18" i="419" s="1"/>
  <c r="K16" i="419"/>
  <c r="J16" i="419"/>
  <c r="J18" i="419" s="1"/>
  <c r="I16" i="419"/>
  <c r="H16" i="419"/>
  <c r="H18" i="419" s="1"/>
  <c r="AH14" i="419"/>
  <c r="AG14" i="419"/>
  <c r="AF14" i="419"/>
  <c r="AE14" i="419"/>
  <c r="AD14" i="419"/>
  <c r="AC14" i="419"/>
  <c r="AB14" i="419"/>
  <c r="AA14" i="419"/>
  <c r="Z14" i="419"/>
  <c r="Y14" i="419"/>
  <c r="X14" i="419"/>
  <c r="W14" i="419"/>
  <c r="V14" i="419"/>
  <c r="U14" i="419"/>
  <c r="T14" i="419"/>
  <c r="S14" i="419"/>
  <c r="R14" i="419"/>
  <c r="Q14" i="419"/>
  <c r="P14" i="419"/>
  <c r="O14" i="419"/>
  <c r="N14" i="419"/>
  <c r="M14" i="419"/>
  <c r="L14" i="419"/>
  <c r="K14" i="419"/>
  <c r="J14" i="419"/>
  <c r="I14" i="419"/>
  <c r="H14" i="419"/>
  <c r="AH13" i="419"/>
  <c r="AG13" i="419"/>
  <c r="AF13" i="419"/>
  <c r="AE13" i="419"/>
  <c r="AD13" i="419"/>
  <c r="AC13" i="419"/>
  <c r="AB13" i="419"/>
  <c r="AA13" i="419"/>
  <c r="Z13" i="419"/>
  <c r="Y13" i="419"/>
  <c r="X13" i="419"/>
  <c r="W13" i="419"/>
  <c r="V13" i="419"/>
  <c r="U13" i="419"/>
  <c r="T13" i="419"/>
  <c r="S13" i="419"/>
  <c r="R13" i="419"/>
  <c r="Q13" i="419"/>
  <c r="P13" i="419"/>
  <c r="O13" i="419"/>
  <c r="N13" i="419"/>
  <c r="M13" i="419"/>
  <c r="L13" i="419"/>
  <c r="K13" i="419"/>
  <c r="J13" i="419"/>
  <c r="I13" i="419"/>
  <c r="H13" i="419"/>
  <c r="AH12" i="419"/>
  <c r="AG12" i="419"/>
  <c r="AF12" i="419"/>
  <c r="AE12" i="419"/>
  <c r="AD12" i="419"/>
  <c r="AC12" i="419"/>
  <c r="AB12" i="419"/>
  <c r="AA12" i="419"/>
  <c r="Z12" i="419"/>
  <c r="Y12" i="419"/>
  <c r="X12" i="419"/>
  <c r="W12" i="419"/>
  <c r="V12" i="419"/>
  <c r="U12" i="419"/>
  <c r="T12" i="419"/>
  <c r="S12" i="419"/>
  <c r="R12" i="419"/>
  <c r="Q12" i="419"/>
  <c r="P12" i="419"/>
  <c r="O12" i="419"/>
  <c r="N12" i="419"/>
  <c r="M12" i="419"/>
  <c r="L12" i="419"/>
  <c r="K12" i="419"/>
  <c r="J12" i="419"/>
  <c r="I12" i="419"/>
  <c r="H12" i="419"/>
  <c r="AH11" i="419"/>
  <c r="AG11" i="419"/>
  <c r="AF11" i="419"/>
  <c r="AE11" i="419"/>
  <c r="AD11" i="419"/>
  <c r="AC11" i="419"/>
  <c r="AB11" i="419"/>
  <c r="AA11" i="419"/>
  <c r="Z11" i="419"/>
  <c r="Y11" i="419"/>
  <c r="X11" i="419"/>
  <c r="W11" i="419"/>
  <c r="V11" i="419"/>
  <c r="U11" i="419"/>
  <c r="T11" i="419"/>
  <c r="S11" i="419"/>
  <c r="R11" i="419"/>
  <c r="Q11" i="419"/>
  <c r="P11" i="419"/>
  <c r="O11" i="419"/>
  <c r="N11" i="419"/>
  <c r="M11" i="419"/>
  <c r="L11" i="419"/>
  <c r="K11" i="419"/>
  <c r="J11" i="419"/>
  <c r="I11" i="419"/>
  <c r="H11" i="419"/>
  <c r="J23" i="419" l="1"/>
  <c r="N23" i="419"/>
  <c r="R23" i="419"/>
  <c r="Z23" i="419"/>
  <c r="AD23" i="419"/>
  <c r="V18" i="419"/>
  <c r="N22" i="419"/>
  <c r="AD22" i="419"/>
  <c r="M23" i="419"/>
  <c r="U23" i="419"/>
  <c r="AC23" i="419"/>
  <c r="I18" i="419"/>
  <c r="M18" i="419"/>
  <c r="Q18" i="419"/>
  <c r="U18" i="419"/>
  <c r="Y18" i="419"/>
  <c r="AC18" i="419"/>
  <c r="AG18" i="419"/>
  <c r="K23" i="419"/>
  <c r="S23" i="419"/>
  <c r="AA23" i="419"/>
  <c r="AE23" i="419"/>
  <c r="R22" i="419"/>
  <c r="V23" i="419"/>
  <c r="H23" i="419"/>
  <c r="L23" i="419"/>
  <c r="P23" i="419"/>
  <c r="T23" i="419"/>
  <c r="X23" i="419"/>
  <c r="AB23" i="419"/>
  <c r="AF23" i="419"/>
  <c r="I23" i="419"/>
  <c r="Q23" i="419"/>
  <c r="Y23" i="419"/>
  <c r="AG23" i="419"/>
  <c r="K18" i="419"/>
  <c r="O18" i="419"/>
  <c r="S18" i="419"/>
  <c r="W18" i="419"/>
  <c r="AA18" i="419"/>
  <c r="AE18" i="419"/>
  <c r="AH18" i="419"/>
  <c r="J22" i="419"/>
  <c r="Z22" i="419"/>
  <c r="K22" i="419"/>
  <c r="S22" i="419"/>
  <c r="AA22" i="419"/>
  <c r="AE22" i="419"/>
  <c r="H22" i="419"/>
  <c r="L22" i="419"/>
  <c r="P22" i="419"/>
  <c r="T22" i="419"/>
  <c r="X22" i="419"/>
  <c r="AB22" i="419"/>
  <c r="AF22" i="419"/>
  <c r="O23" i="419"/>
  <c r="W23" i="419"/>
  <c r="AH23" i="419"/>
  <c r="M3" i="418"/>
  <c r="G21" i="419" l="1"/>
  <c r="G22" i="419" s="1"/>
  <c r="F21" i="419"/>
  <c r="F22" i="419" s="1"/>
  <c r="E21" i="419"/>
  <c r="D21" i="419"/>
  <c r="D22" i="419" s="1"/>
  <c r="C21" i="419"/>
  <c r="C22" i="419" s="1"/>
  <c r="G20" i="419"/>
  <c r="F20" i="419"/>
  <c r="E20" i="419"/>
  <c r="D20" i="419"/>
  <c r="C20" i="419"/>
  <c r="G19" i="419"/>
  <c r="F19" i="419"/>
  <c r="E19" i="419"/>
  <c r="D19" i="419"/>
  <c r="C19" i="419"/>
  <c r="G17" i="419"/>
  <c r="F17" i="419"/>
  <c r="E17" i="419"/>
  <c r="D17" i="419"/>
  <c r="C17" i="419"/>
  <c r="G16" i="419"/>
  <c r="F16" i="419"/>
  <c r="E16" i="419"/>
  <c r="D16" i="419"/>
  <c r="C16" i="419"/>
  <c r="G14" i="419"/>
  <c r="F14" i="419"/>
  <c r="E14" i="419"/>
  <c r="D14" i="419"/>
  <c r="C14" i="419"/>
  <c r="G13" i="419"/>
  <c r="F13" i="419"/>
  <c r="E13" i="419"/>
  <c r="D13" i="419"/>
  <c r="C13" i="419"/>
  <c r="G12" i="419"/>
  <c r="F12" i="419"/>
  <c r="E12" i="419"/>
  <c r="D12" i="419"/>
  <c r="C12" i="419"/>
  <c r="G11" i="419"/>
  <c r="F11" i="419"/>
  <c r="E11" i="419"/>
  <c r="D11" i="419"/>
  <c r="C11" i="419"/>
  <c r="E18" i="419" l="1"/>
  <c r="E23" i="419"/>
  <c r="D18" i="419"/>
  <c r="G18" i="419"/>
  <c r="C18" i="419"/>
  <c r="F18" i="419"/>
  <c r="C23" i="419"/>
  <c r="F23" i="419"/>
  <c r="E22" i="419"/>
  <c r="D23" i="419"/>
  <c r="G23" i="419"/>
  <c r="B21" i="419"/>
  <c r="B22" i="419" l="1"/>
  <c r="A20" i="383"/>
  <c r="G3" i="429"/>
  <c r="F3" i="429"/>
  <c r="E3" i="429"/>
  <c r="D3" i="429"/>
  <c r="C3" i="429"/>
  <c r="B3" i="429"/>
  <c r="A13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8" i="414" s="1"/>
  <c r="E8" i="414" s="1"/>
  <c r="H3" i="427"/>
  <c r="I3" i="427"/>
  <c r="F3" i="427"/>
  <c r="AH26" i="419" l="1"/>
  <c r="AH25" i="419"/>
  <c r="C11" i="340" l="1"/>
  <c r="A14" i="383" l="1"/>
  <c r="A11" i="383"/>
  <c r="AO3" i="418" l="1"/>
  <c r="AN3" i="418"/>
  <c r="AM3" i="418"/>
  <c r="AL3" i="418"/>
  <c r="AK3" i="418"/>
  <c r="AJ3" i="418"/>
  <c r="AI3" i="418"/>
  <c r="AH3" i="418"/>
  <c r="AG3" i="418"/>
  <c r="AF3" i="418"/>
  <c r="AE3" i="418"/>
  <c r="AD3" i="418"/>
  <c r="AC3" i="418"/>
  <c r="AB3" i="418"/>
  <c r="AA3" i="418"/>
  <c r="Z3" i="418"/>
  <c r="Y3" i="418"/>
  <c r="X3" i="418"/>
  <c r="W3" i="418"/>
  <c r="V3" i="418"/>
  <c r="U3" i="418"/>
  <c r="T3" i="418"/>
  <c r="S3" i="418"/>
  <c r="C25" i="419" l="1"/>
  <c r="AH27" i="419" l="1"/>
  <c r="F26" i="419"/>
  <c r="C26" i="419"/>
  <c r="B26" i="419" l="1"/>
  <c r="C28" i="419"/>
  <c r="C27" i="419"/>
  <c r="R3" i="418"/>
  <c r="Q3" i="418"/>
  <c r="P3" i="418"/>
  <c r="O3" i="418"/>
  <c r="N3" i="418"/>
  <c r="L3" i="418"/>
  <c r="K3" i="418"/>
  <c r="J3" i="418"/>
  <c r="I3" i="418"/>
  <c r="H3" i="418"/>
  <c r="G3" i="418"/>
  <c r="F3" i="418"/>
  <c r="AH28" i="419" l="1"/>
  <c r="F25" i="419"/>
  <c r="F27" i="419" s="1"/>
  <c r="B25" i="419" l="1"/>
  <c r="B27" i="419" s="1"/>
  <c r="F28" i="419"/>
  <c r="B28" i="419" s="1"/>
  <c r="A7" i="339"/>
  <c r="D3" i="418" l="1"/>
  <c r="AG6" i="419" l="1"/>
  <c r="Y6" i="419"/>
  <c r="M6" i="419"/>
  <c r="AF6" i="419"/>
  <c r="AB6" i="419"/>
  <c r="X6" i="419"/>
  <c r="T6" i="419"/>
  <c r="P6" i="419"/>
  <c r="L6" i="419"/>
  <c r="H6" i="419"/>
  <c r="AH6" i="419"/>
  <c r="AE6" i="419"/>
  <c r="AA6" i="419"/>
  <c r="W6" i="419"/>
  <c r="S6" i="419"/>
  <c r="O6" i="419"/>
  <c r="K6" i="419"/>
  <c r="AD6" i="419"/>
  <c r="Z6" i="419"/>
  <c r="V6" i="419"/>
  <c r="R6" i="419"/>
  <c r="N6" i="419"/>
  <c r="J6" i="419"/>
  <c r="AC6" i="419"/>
  <c r="U6" i="419"/>
  <c r="Q6" i="419"/>
  <c r="I6" i="419"/>
  <c r="E6" i="419"/>
  <c r="G6" i="419"/>
  <c r="D6" i="419"/>
  <c r="F6" i="419"/>
  <c r="C6" i="419"/>
  <c r="B6" i="419"/>
  <c r="B20" i="419"/>
  <c r="B23" i="419" s="1"/>
  <c r="B19" i="419"/>
  <c r="B17" i="419"/>
  <c r="B16" i="419"/>
  <c r="B14" i="419"/>
  <c r="B13" i="419"/>
  <c r="B12" i="419"/>
  <c r="B11" i="419"/>
  <c r="B18" i="41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2" i="414" l="1"/>
  <c r="D7" i="414"/>
  <c r="A15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19" i="414" l="1"/>
  <c r="A16" i="414"/>
  <c r="R3" i="410" l="1"/>
  <c r="Q3" i="410"/>
  <c r="P3" i="410"/>
  <c r="O3" i="410"/>
  <c r="N3" i="410"/>
  <c r="S3" i="410" s="1"/>
  <c r="L3" i="410"/>
  <c r="K3" i="410"/>
  <c r="J3" i="410"/>
  <c r="I3" i="410"/>
  <c r="H3" i="410"/>
  <c r="M3" i="410" s="1"/>
  <c r="F3" i="410"/>
  <c r="E3" i="410"/>
  <c r="D3" i="410"/>
  <c r="C3" i="410"/>
  <c r="B3" i="410"/>
  <c r="G3" i="410" s="1"/>
  <c r="D18" i="414" s="1"/>
  <c r="R3" i="344" l="1"/>
  <c r="Q3" i="344"/>
  <c r="P3" i="344"/>
  <c r="O3" i="344"/>
  <c r="N3" i="344"/>
  <c r="S3" i="344" s="1"/>
  <c r="L3" i="344"/>
  <c r="K3" i="344"/>
  <c r="J3" i="344"/>
  <c r="I3" i="344"/>
  <c r="H3" i="344"/>
  <c r="M3" i="344" s="1"/>
  <c r="E11" i="339"/>
  <c r="E3" i="344"/>
  <c r="C3" i="344"/>
  <c r="B11" i="339"/>
  <c r="F11" i="339" l="1"/>
  <c r="G3" i="344"/>
  <c r="D17" i="414" s="1"/>
  <c r="C11" i="339"/>
  <c r="H11" i="339" l="1"/>
  <c r="G11" i="339"/>
  <c r="A18" i="414"/>
  <c r="A17" i="414"/>
  <c r="A12" i="414"/>
  <c r="A13" i="414"/>
  <c r="A4" i="414"/>
  <c r="A6" i="339" l="1"/>
  <c r="A5" i="339"/>
  <c r="D4" i="414"/>
  <c r="C16" i="414"/>
  <c r="C13" i="414"/>
  <c r="D16" i="414"/>
  <c r="D13" i="414"/>
  <c r="C12" i="414" l="1"/>
  <c r="C7" i="414"/>
  <c r="E18" i="414" l="1"/>
  <c r="E17" i="414"/>
  <c r="E12" i="414"/>
  <c r="E7" i="414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E12" i="339" l="1"/>
  <c r="C12" i="339"/>
  <c r="B12" i="339"/>
  <c r="F12" i="339" s="1"/>
  <c r="O3" i="377"/>
  <c r="N3" i="377"/>
  <c r="Q3" i="377" s="1"/>
  <c r="K3" i="377"/>
  <c r="J3" i="377"/>
  <c r="G3" i="377"/>
  <c r="P3" i="377" s="1"/>
  <c r="F3" i="377"/>
  <c r="O3" i="345"/>
  <c r="N3" i="345"/>
  <c r="Q3" i="345" s="1"/>
  <c r="K3" i="345"/>
  <c r="J3" i="345"/>
  <c r="G3" i="345"/>
  <c r="P3" i="345" s="1"/>
  <c r="F3" i="345"/>
  <c r="N3" i="220"/>
  <c r="L3" i="220" s="1"/>
  <c r="C19" i="414"/>
  <c r="D19" i="414"/>
  <c r="F13" i="339" l="1"/>
  <c r="E13" i="339"/>
  <c r="E15" i="339" s="1"/>
  <c r="H12" i="339"/>
  <c r="G12" i="339"/>
  <c r="A4" i="383"/>
  <c r="A23" i="383"/>
  <c r="A22" i="383"/>
  <c r="A21" i="383"/>
  <c r="A19" i="383"/>
  <c r="A16" i="383"/>
  <c r="A15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B15" i="339" s="1"/>
  <c r="C4" i="414"/>
  <c r="D15" i="414"/>
  <c r="H13" i="339" l="1"/>
  <c r="F15" i="339"/>
  <c r="E13" i="414"/>
  <c r="E4" i="414"/>
  <c r="C6" i="340"/>
  <c r="D6" i="340" s="1"/>
  <c r="B4" i="340"/>
  <c r="G13" i="339"/>
  <c r="B13" i="340" l="1"/>
  <c r="B12" i="340"/>
  <c r="G15" i="339"/>
  <c r="H15" i="339"/>
  <c r="C4" i="340"/>
  <c r="E16" i="414"/>
  <c r="E19" i="414"/>
  <c r="D4" i="340"/>
  <c r="E6" i="340"/>
  <c r="C15" i="414"/>
  <c r="E15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<sst xmlns="http://schemas.openxmlformats.org/spreadsheetml/2006/main" count="1195" uniqueCount="492">
  <si>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</si>
  <si>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</si>
  <si>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</si>
  <si>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</si>
  <si>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</si>
  <si>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</si>
  <si>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</si>
  <si>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</si>
  <si>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</si>
  <si>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</si>
  <si>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</si>
  <si>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</si>
  <si>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</si>
  <si>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</si>
  <si>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</si>
  <si>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</si>
  <si>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</si>
  <si>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</si>
  <si>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</si>
  <si>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</si>
  <si>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</si>
  <si>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</si>
  <si>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</si>
  <si>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</si>
  <si>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</si>
  <si>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</si>
  <si>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</si>
  <si>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</si>
  <si>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</si>
  <si>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</si>
  <si>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</si>
  <si>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</si>
  <si>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</si>
  <si>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</si>
  <si>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</si>
  <si>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</si>
  <si>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</si>
  <si>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</si>
  <si>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</si>
  <si>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</si>
  <si>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</si>
  <si>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</si>
  <si>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</si>
  <si>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</si>
  <si>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</si>
  <si>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</si>
  <si>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</si>
  <si>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</si>
  <si>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</si>
  <si>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</si>
  <si>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</si>
  <si>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</si>
  <si>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</si>
  <si>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</si>
  <si>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</si>
  <si>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</si>
  <si>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</si>
  <si>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</si>
  <si>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</si>
  <si>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</si>
  <si>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</si>
  <si>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</si>
  <si>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</si>
  <si>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</si>
  <si>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</si>
  <si>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</si>
  <si>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</si>
  <si>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</si>
  <si>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</si>
  <si>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</si>
  <si>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</si>
  <si>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</si>
  <si>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</si>
  <si>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</si>
  <si>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</si>
  <si>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</si>
  <si>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</si>
  <si>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</si>
  <si>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</si>
  <si>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</si>
  <si>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</si>
  <si>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</si>
  <si>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</si>
  <si>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</si>
  <si>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</si>
  <si>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</si>
  <si>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</si>
  <si>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</si>
  <si>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</si>
  <si>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</si>
  <si>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</si>
  <si>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</si>
  <si>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</si>
  <si>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</si>
  <si>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</si>
  <si>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</si>
  <si>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</si>
  <si>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</si>
  <si>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</si>
  <si>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</si>
  <si>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</si>
  <si>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</si>
  <si>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</si>
  <si>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</si>
  <si>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</si>
  <si>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</si>
  <si>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</si>
  <si>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</si>
  <si>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</si>
  <si>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</si>
  <si>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</si>
  <si>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</si>
  <si>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</si>
  <si>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Lékař</t>
  </si>
  <si>
    <t>Hospodaření zdravotnického pracoviště (v tisících)</t>
  </si>
  <si>
    <t>Spotřeba léčivých přípravků</t>
  </si>
  <si>
    <t>Spotřeba zdravotnického materiálu</t>
  </si>
  <si>
    <t>Přehledové sestavy</t>
  </si>
  <si>
    <t>Akt. měsíc</t>
  </si>
  <si>
    <t>Kč/ks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</si>
  <si>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</si>
  <si>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</si>
  <si>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</si>
  <si>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</si>
  <si>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</si>
  <si>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</si>
  <si>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</si>
  <si>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</si>
  <si>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</si>
  <si>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</si>
  <si>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Rozpočet výnosů pro rok 2014 je stanoven jako 100% skutečnosti referenčního období (2012)</t>
  </si>
  <si>
    <t>Hospodářský index (Výnosy / Náklady) se hodnotí pouze v případě dodržení rozpočtu nákladů</t>
  </si>
  <si>
    <t>Spotřeba léčivých přípravků - orientační přehled</t>
  </si>
  <si>
    <t>Pol</t>
  </si>
  <si>
    <t>0</t>
  </si>
  <si>
    <t>101</t>
  </si>
  <si>
    <t>102</t>
  </si>
  <si>
    <t>203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</si>
  <si>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</si>
  <si>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</si>
  <si>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</si>
  <si>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</si>
  <si>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</si>
  <si>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</si>
  <si>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</si>
  <si>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</si>
  <si>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</si>
  <si>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</si>
  <si>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</si>
  <si>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</si>
  <si>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</si>
  <si>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</si>
  <si>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dohody</t>
  </si>
  <si>
    <t>lékaři</t>
  </si>
  <si>
    <t>zubní lékaři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</si>
  <si>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</si>
  <si>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</si>
  <si>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</si>
  <si>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</si>
  <si>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</si>
  <si>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</si>
  <si>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</si>
  <si>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</si>
  <si>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</si>
  <si>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</si>
  <si>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</si>
  <si>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</si>
  <si>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</si>
  <si>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</si>
  <si>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</si>
  <si>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</si>
  <si>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</si>
  <si>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</si>
  <si>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</si>
  <si>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</si>
  <si>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lékaři, VŠ NLZP *</t>
  </si>
  <si>
    <t>NLZP *</t>
  </si>
  <si>
    <t>THP *</t>
  </si>
  <si>
    <t>Lékaři, VŠ NLZP = kategorie 101-203, 522-523, 525-529, 743-747</t>
  </si>
  <si>
    <t>NLZP = kategorie 305-520, 524, 530-642, 748-749</t>
  </si>
  <si>
    <t>THP = kategorie 930-940</t>
  </si>
  <si>
    <t>Rozpočet na vzdělávání je plánován na rok, měsíční plány jsou v tabulce dvanáctinou ročního rozpočtu</t>
  </si>
  <si>
    <t>všeobecné sestry</t>
  </si>
  <si>
    <t>porodní asistenti</t>
  </si>
  <si>
    <t>radiologičtí asistenti</t>
  </si>
  <si>
    <t>zdravotní laboranti</t>
  </si>
  <si>
    <t>zdravotně - sociální pracovníci</t>
  </si>
  <si>
    <t>nutriční terapeuti</t>
  </si>
  <si>
    <t>zubní technici</t>
  </si>
  <si>
    <t>zdravotničtí záchranáři</t>
  </si>
  <si>
    <t>farmaceutičtí asistenti</t>
  </si>
  <si>
    <t>biomedicínští technici</t>
  </si>
  <si>
    <t>radiologičtí technici</t>
  </si>
  <si>
    <t>psychologové a kliničtí psychologové</t>
  </si>
  <si>
    <t>kliničtí logopedové</t>
  </si>
  <si>
    <t>fyzioterapeuti</t>
  </si>
  <si>
    <t>radiologičtí fyzici</t>
  </si>
  <si>
    <t>odborní pracovníci v lab. metodách</t>
  </si>
  <si>
    <t>biomedicínští inženýři</t>
  </si>
  <si>
    <t>zdravotničtí asistenti</t>
  </si>
  <si>
    <t>ošetřovatelé</t>
  </si>
  <si>
    <t>maséři</t>
  </si>
  <si>
    <t>řidiči dopravy nemocných a raněných</t>
  </si>
  <si>
    <t>sanitáři</t>
  </si>
  <si>
    <t>psychologové</t>
  </si>
  <si>
    <t>abs. stud. oboru mat.-fyz. zaměření</t>
  </si>
  <si>
    <t>abs. stud. oboru přirodověd. zaměření</t>
  </si>
  <si>
    <t>odb. pracovníci v ochraně veřejného zdraví</t>
  </si>
  <si>
    <t>laboratorní asistenti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</si>
  <si>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</si>
  <si>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</si>
  <si>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</si>
  <si>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</si>
  <si>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</si>
  <si>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</si>
  <si>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</si>
  <si>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</si>
  <si>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</si>
  <si>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</si>
  <si>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</si>
  <si>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</si>
  <si>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</si>
  <si>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</si>
  <si>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</si>
  <si>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01/2015</t>
  </si>
  <si>
    <t>02/2015</t>
  </si>
  <si>
    <t>03/2015</t>
  </si>
  <si>
    <t>04/2015</t>
  </si>
  <si>
    <t>05/2015</t>
  </si>
  <si>
    <t>06/2015</t>
  </si>
  <si>
    <t>07/2015</t>
  </si>
  <si>
    <t>08/2015</t>
  </si>
  <si>
    <t>09/2015</t>
  </si>
  <si>
    <t>10/2015</t>
  </si>
  <si>
    <t>11/2015</t>
  </si>
  <si>
    <t>12/2015</t>
  </si>
  <si>
    <t>Rozp. 2014            CELKEM</t>
  </si>
  <si>
    <t>Skut. 2014 CELKEM</t>
  </si>
  <si>
    <t>ROZDÍL  Skut. - Rozp. 2014</t>
  </si>
  <si>
    <t>% plnění rozp.2014</t>
  </si>
  <si>
    <t>Rozp.rok 2015</t>
  </si>
  <si>
    <t>Sk.v tis 2015</t>
  </si>
  <si>
    <t>ROZDÍL (Sk.do data - Rozp.do data 2015)</t>
  </si>
  <si>
    <t>% plnění (Skut.do data/Rozp.rok 2015)</t>
  </si>
  <si>
    <t>POMĚROVÉ  PLNĚNÍ = Rozpočet na rok 2015 celkem a 1/12  ročního rozpočtu, skutečnost daných měsíců a % plnění načítané skutečnosti do data k poměrné části rozpočtu do data.</t>
  </si>
  <si>
    <t>ergoterapeuti</t>
  </si>
  <si>
    <t>Sml.odb./NS</t>
  </si>
  <si>
    <r>
      <t>Zpět na Obsah</t>
    </r>
    <r>
      <rPr>
        <sz val="9"/>
        <rFont val="Calibri"/>
        <family val="2"/>
        <charset val="238"/>
        <scheme val="minor"/>
      </rPr>
      <t xml:space="preserve"> | 1.-8.měsíc | Oddělení klinické logopedie</t>
    </r>
  </si>
  <si>
    <t>/0</t>
  </si>
  <si>
    <t>--</t>
  </si>
  <si>
    <t>Plnění rozpočtu po měsících</t>
  </si>
  <si>
    <t>5     Účtová třída 5 - Náklady</t>
  </si>
  <si>
    <t>50     Spotřebované nákupy</t>
  </si>
  <si>
    <t>501     Spotřeba materiálu</t>
  </si>
  <si>
    <t>50113     Léky a léčiva</t>
  </si>
  <si>
    <t>50113001     léky - paušál+TISS (LEK)</t>
  </si>
  <si>
    <t>50115     Zdravotnické prostředky</t>
  </si>
  <si>
    <t>50115050     obvazový materiál (sk.Z_502)</t>
  </si>
  <si>
    <t>50115060     ostatní ZPr - mimo níže uvedené (sk.Z_503)</t>
  </si>
  <si>
    <t>50117     Všeobecný materiál</t>
  </si>
  <si>
    <t>50117001     nákup zdravotnické techniky (Z 524, Z 510)</t>
  </si>
  <si>
    <t>50117002     prací a čistící prostř.,drog.zboží (sk.V41)</t>
  </si>
  <si>
    <t>50117003     desinf. prostř. LEK</t>
  </si>
  <si>
    <t>50117004     tiskopisy a kanc.potřeby (sk.V42, 43)</t>
  </si>
  <si>
    <t>50117005     údržbový materiál ZVIT (sk.B36,61,62,64)</t>
  </si>
  <si>
    <t>50117009     spotřební materiál k ZPr. (sk.V21)</t>
  </si>
  <si>
    <t>50117015     IT - spotřební materiál (sk. P37, 48)</t>
  </si>
  <si>
    <t>50117024     všeob.mat. - ostatní-vyjímky (V44) od 0,01 do 999,99</t>
  </si>
  <si>
    <t>50118     Náhradní díly</t>
  </si>
  <si>
    <t>50118006     ND - ZVIT (sk.B63)</t>
  </si>
  <si>
    <t>50119     DDHM a textil</t>
  </si>
  <si>
    <t>50119077     OOPP a prádlo pro zaměstnance (sk.T14)</t>
  </si>
  <si>
    <t>50210     Spotřeba energie</t>
  </si>
  <si>
    <t>50210071     elektřina</t>
  </si>
  <si>
    <t>50210072     vodné, stočné</t>
  </si>
  <si>
    <t>50210073     pára</t>
  </si>
  <si>
    <t>51     Služby</t>
  </si>
  <si>
    <t>51102     Technika a stavby</t>
  </si>
  <si>
    <t>51102023     opravy ostatní techniky</t>
  </si>
  <si>
    <t>51102024     opravy - správa budov</t>
  </si>
  <si>
    <t>51102025     opravy - hl.energetik</t>
  </si>
  <si>
    <t>51201     Cestovné zaměstnanců-tuzemské</t>
  </si>
  <si>
    <t>51201000     cestovné z mezd</t>
  </si>
  <si>
    <t>51801     Přepravné</t>
  </si>
  <si>
    <t>51801000     přepravné-lab. vzorky,...</t>
  </si>
  <si>
    <t>51802     Spoje</t>
  </si>
  <si>
    <t>51802001     poštovné</t>
  </si>
  <si>
    <t>51802003     spoje - telekom.styk</t>
  </si>
  <si>
    <t>51804     Nájemné</t>
  </si>
  <si>
    <t>51804004     popl. za R a TV, veř. produkce</t>
  </si>
  <si>
    <t>51806     Úklid, odpad, desinf., deratizace</t>
  </si>
  <si>
    <t>51806001     úklid pravidelný</t>
  </si>
  <si>
    <t>51808     Revize a smluvní servisy majetku</t>
  </si>
  <si>
    <t>51808007     revize, sml.servis - energetik</t>
  </si>
  <si>
    <t>521     Mzdové náklady</t>
  </si>
  <si>
    <t>52111     Hrubé mzdy</t>
  </si>
  <si>
    <t>52111000     hrubé mzdy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</si>
  <si>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</si>
  <si>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</si>
  <si>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</si>
  <si>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</si>
  <si>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</si>
  <si>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</si>
  <si>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</si>
  <si>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</si>
  <si>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</si>
  <si>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</si>
  <si>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</si>
  <si>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</si>
  <si>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</si>
  <si>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54910003     práce výrobní povahy(výroba klíčů,tabulek)</t>
  </si>
  <si>
    <t>54910009     školení, kongresové poplatky tuzemské - ost.zdrav.pracov.</t>
  </si>
  <si>
    <t>54970     Předpis - KDF za služby</t>
  </si>
  <si>
    <t>54970000     předpis KDF - služby</t>
  </si>
  <si>
    <t>54972     Školení, kongres.popl.tuzemské - lékaři (pouze OPMČ)</t>
  </si>
  <si>
    <t>54972000     školení, kongres.popl.tuzemské - lékaři 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</si>
  <si>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</si>
  <si>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</si>
  <si>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</si>
  <si>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</si>
  <si>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55110013     odpisy DHM - budovy z dotací</t>
  </si>
  <si>
    <t>558     Náklady z drobného dlouhodobého majetku</t>
  </si>
  <si>
    <t>55805     DDHM - inventář</t>
  </si>
  <si>
    <t>55805002     DDHM - nábytek (sk.V_31)</t>
  </si>
  <si>
    <t>55806     DDHM ostatní</t>
  </si>
  <si>
    <t>55806001     DDHM - ostatní, razítka (sk.V_47, V_112)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</si>
  <si>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</si>
  <si>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</si>
  <si>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</si>
  <si>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</si>
  <si>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</si>
  <si>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60210359     zdr.služby - tuzemci (plastika atd. ...)</t>
  </si>
  <si>
    <t>60228     Zdr. výkony - VZP sledov.položky    OZPI</t>
  </si>
  <si>
    <t>60228190     výkony pojištěncům EHS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</si>
  <si>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</si>
  <si>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</si>
  <si>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</si>
  <si>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</si>
  <si>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</si>
  <si>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</si>
  <si>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</si>
  <si>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649     Ostatní výnosy z činnosti</t>
  </si>
  <si>
    <t>64908     Ostatní výnosy z činnosti</t>
  </si>
  <si>
    <t>64908000     rozdíly v zaokrouhlení</t>
  </si>
  <si>
    <t>64924     Ostatní služby - mimo zdrav.výkony  FAKTURACE</t>
  </si>
  <si>
    <t>64924459     školení, stáže, odb. semináře, konference</t>
  </si>
  <si>
    <t>7     Účtová třída 7 - Vnitropodnikové účetnictví - náklady</t>
  </si>
  <si>
    <t>79     Vnitropodnikové náklady</t>
  </si>
  <si>
    <t>79902     VPN - ZVIT technická údržba</t>
  </si>
  <si>
    <t>79902000     výkony ZVIT - technická údržba</t>
  </si>
  <si>
    <t>79903     VPN - doprava</t>
  </si>
  <si>
    <t>79903000     výkony dopravy</t>
  </si>
  <si>
    <t>79903003     výkony dopravy - nákladní</t>
  </si>
  <si>
    <t>79906     VPN - prádelna</t>
  </si>
  <si>
    <t>79906000     výkony prádelny - praní prádla</t>
  </si>
  <si>
    <t>79910     VPN - informační technologie</t>
  </si>
  <si>
    <t>79910001     výkony IT - fixní náklady (z 9086)</t>
  </si>
  <si>
    <t>79950     VPN - správní režie</t>
  </si>
  <si>
    <t>79950001     režie HTS</t>
  </si>
  <si>
    <t>36</t>
  </si>
  <si>
    <t>Oddělení klinické logopedie</t>
  </si>
  <si>
    <t/>
  </si>
  <si>
    <t>Oddělení klinické logopedie Celkem</t>
  </si>
  <si>
    <t>SumaKL</t>
  </si>
  <si>
    <t>3621</t>
  </si>
  <si>
    <t>ambulance</t>
  </si>
  <si>
    <t>ambulance Celkem</t>
  </si>
  <si>
    <t>SumaNS</t>
  </si>
  <si>
    <t>mezeraNS</t>
  </si>
  <si>
    <t>50113001</t>
  </si>
  <si>
    <t>O</t>
  </si>
  <si>
    <t>100802</t>
  </si>
  <si>
    <t>1000</t>
  </si>
  <si>
    <t>IR OG. OPHTHALMO-SEPTONEX</t>
  </si>
  <si>
    <t>GTT OPH 1X10ML</t>
  </si>
  <si>
    <t>192414</t>
  </si>
  <si>
    <t>92414</t>
  </si>
  <si>
    <t>SEPTONEX</t>
  </si>
  <si>
    <t>SPR 1X45ML</t>
  </si>
  <si>
    <t>840238</t>
  </si>
  <si>
    <t>Carbofit prášek 25g Čárkll</t>
  </si>
  <si>
    <t>Oddělení klinické logopedie, ambulance</t>
  </si>
  <si>
    <t>Lékárna - léčiva</t>
  </si>
  <si>
    <t>36 - Oddělení klinické logopedie</t>
  </si>
  <si>
    <t>3621 - ambulance</t>
  </si>
  <si>
    <t>50115040     laboratorní materiál (sk.Z_505)</t>
  </si>
  <si>
    <t>ZA429</t>
  </si>
  <si>
    <t>Obinadlo elastické idealtex   8 cm x 5 m 931061</t>
  </si>
  <si>
    <t>ZA443</t>
  </si>
  <si>
    <t>Šátek trojcípý pletený 125 x 85 x 85 cm 20001</t>
  </si>
  <si>
    <t>ZA450</t>
  </si>
  <si>
    <t>Náplast omniplast 1,25 cm x 9,1 m 9004520</t>
  </si>
  <si>
    <t>ZB404</t>
  </si>
  <si>
    <t>Náplast cosmos 8 cm x 1 m 5403353</t>
  </si>
  <si>
    <t>ZC854</t>
  </si>
  <si>
    <t>Kompresa NT 7,5 x 7,5 cm / 2 ks sterilní 26510</t>
  </si>
  <si>
    <t>ZL684</t>
  </si>
  <si>
    <t>Náplast santiband standard poinjekční jednotl. baleno 19 mm x 72 mm 652</t>
  </si>
  <si>
    <t>ZL789</t>
  </si>
  <si>
    <t>Obvaz sterilní hotový č. 2 A4091360</t>
  </si>
  <si>
    <t>ZL790</t>
  </si>
  <si>
    <t>Obvaz sterilní hotový č. 3 A4101144</t>
  </si>
  <si>
    <t>ZL996</t>
  </si>
  <si>
    <t>Obinadlo hyrofilní sterilní  8 cm x 5 m  004310182</t>
  </si>
  <si>
    <t>ZM000</t>
  </si>
  <si>
    <t>Vata obvazová skládaná 50g 004307667</t>
  </si>
  <si>
    <t>ZL997</t>
  </si>
  <si>
    <t>Obinadlo hyrofilní sterilní 10 cm x 5 m  004310174</t>
  </si>
  <si>
    <t>ZL995</t>
  </si>
  <si>
    <t>Obinadlo hyrofilní sterilní  6 cm x 5 m  004310190</t>
  </si>
  <si>
    <t>ZL999</t>
  </si>
  <si>
    <t>Rychloobvaz 8 x 4 cm / 3 ks ( pro obj. 1 kus = 3 náplasti) 001445510</t>
  </si>
  <si>
    <t>ZB006</t>
  </si>
  <si>
    <t>Teploměr digitální thermoval basic 9250391</t>
  </si>
  <si>
    <t>ZB231</t>
  </si>
  <si>
    <t>Pinzeta anatomická P00894</t>
  </si>
  <si>
    <t>ZB844</t>
  </si>
  <si>
    <t>Esmarch 60 x 1250 KVS 06125</t>
  </si>
  <si>
    <t>ZC766</t>
  </si>
  <si>
    <t>Nůžky rovné chirurgické hrotnaté P00768</t>
  </si>
  <si>
    <t>50115050</t>
  </si>
  <si>
    <t>502 SZM obvazový (112 02 040)</t>
  </si>
  <si>
    <t>50115060</t>
  </si>
  <si>
    <t>503 SZM ostatní zdravotnický (112 02 100)</t>
  </si>
  <si>
    <t>Spotřeba zdravotnického materiálu - orientační přehled</t>
  </si>
  <si>
    <t>ON Data</t>
  </si>
  <si>
    <t>903 - Pracoviště klinické logopedie</t>
  </si>
  <si>
    <t>Zdravotní výkony vykázané na pracovišti v rámci ambulantní péče *</t>
  </si>
  <si>
    <t xml:space="preserve"> </t>
  </si>
  <si>
    <t>* Legenda</t>
  </si>
  <si>
    <t>Ambulantní péče znamená, že pacient v den poskytnutí zdravotní péče není hospitalizován ve FNOL</t>
  </si>
  <si>
    <t>beze jména</t>
  </si>
  <si>
    <t>Polášková Irena</t>
  </si>
  <si>
    <t>Vrtělová Milada</t>
  </si>
  <si>
    <t>Čecháčková Miloslava</t>
  </si>
  <si>
    <t>Zdravotní výkony vykázané na pracovišti v rámci ambulantní péče dle lékařů *</t>
  </si>
  <si>
    <t>903</t>
  </si>
  <si>
    <t>V</t>
  </si>
  <si>
    <t>09511</t>
  </si>
  <si>
    <t>MINIMÁLNÍ KONTAKT LÉKAŘE S PACIENTEM</t>
  </si>
  <si>
    <t>72211</t>
  </si>
  <si>
    <t>LOGOPEDICKÁ TERAPIE VAD A PORUCH ŘEČI PROVÁDĚNÁ KL</t>
  </si>
  <si>
    <t>72213</t>
  </si>
  <si>
    <t>LOGOPEDICKÁ TERAPIE ZVLÁŠTĚ NÁROČNÁ  U DĚTÍ, DOROS</t>
  </si>
  <si>
    <t>09547</t>
  </si>
  <si>
    <t>REGULAČNÍ POPLATEK -- POJIŠTĚNEC OD ÚHRADY POPLATK</t>
  </si>
  <si>
    <t>09543</t>
  </si>
  <si>
    <t>SIGNÁLNÍ VÝKON KLINICKÉHO VYŠETŘENÍ / DO 31.12.201</t>
  </si>
  <si>
    <t>09523</t>
  </si>
  <si>
    <t>EDUKAČNÍ POHOVOR LÉKAŘE S NEMOCNÝM ČI RODINOU</t>
  </si>
  <si>
    <t>72015</t>
  </si>
  <si>
    <t>KOMPLEXNÍ VYŠETŘENÍ KLINICKÝM LOGOPEDEM</t>
  </si>
  <si>
    <t>72215</t>
  </si>
  <si>
    <t>LOGOPEDICKÁ TERAPIE STŘEDNĚ NÁROČNÁ PROVÁDĚNÁ KLIN</t>
  </si>
  <si>
    <t>72016</t>
  </si>
  <si>
    <t>CÍLENÉ VYŠETŘENÍ KLINICKÝM LOGOPEDEM</t>
  </si>
  <si>
    <t>Zdravotní výkony + ZUM + ZULP vykázané na pracovišti v rámci ambulantní péče - orientační přehled</t>
  </si>
  <si>
    <t>01 - I. interní klinika - kardiologická</t>
  </si>
  <si>
    <t>02 - II. interní klinika - gastro-enterologická a hepatologická</t>
  </si>
  <si>
    <t>03 - III. interní klinika - nefrologická, revmatologická a endokrinologická</t>
  </si>
  <si>
    <t>04 - I. chirurgická klinika</t>
  </si>
  <si>
    <t>06 - Neurochirurgická klinika</t>
  </si>
  <si>
    <t>07 - Klinika anesteziologie, resuscitace a intenzivní medicíny</t>
  </si>
  <si>
    <t>08 - Porodnicko-gynekologická klinika</t>
  </si>
  <si>
    <t>10 - Dětská klinika</t>
  </si>
  <si>
    <t>11 - Ortopedická klinika</t>
  </si>
  <si>
    <t>17 - Neurologická klinika</t>
  </si>
  <si>
    <t>21 - Onkologická klinika</t>
  </si>
  <si>
    <t>26 - Oddělení rehabilitace</t>
  </si>
  <si>
    <t>30 - Oddělení geriatrie</t>
  </si>
  <si>
    <t>32 - Hemato-onkologická klinika</t>
  </si>
  <si>
    <t>50 - Kardiochirurgická klinika</t>
  </si>
  <si>
    <t>59 - Oddělení intenzivní péče chirurgických oborů</t>
  </si>
  <si>
    <t>01</t>
  </si>
  <si>
    <t>02</t>
  </si>
  <si>
    <t>03</t>
  </si>
  <si>
    <t>04</t>
  </si>
  <si>
    <t>06</t>
  </si>
  <si>
    <t>72017</t>
  </si>
  <si>
    <t>KONTROLNÍ VYŠETŘENÍ KLINICKÝM LOGOPEDEM</t>
  </si>
  <si>
    <t>07</t>
  </si>
  <si>
    <t>08</t>
  </si>
  <si>
    <t>10</t>
  </si>
  <si>
    <t>11</t>
  </si>
  <si>
    <t>17</t>
  </si>
  <si>
    <t>21</t>
  </si>
  <si>
    <t>26</t>
  </si>
  <si>
    <t>30</t>
  </si>
  <si>
    <t>32</t>
  </si>
  <si>
    <t>50</t>
  </si>
  <si>
    <t>59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</si>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</sst>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0%;\-0%;"/>
    <numFmt numFmtId="176" formatCode="#,##0%"/>
  </numFmts>
  <fonts count="61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2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98">
    <xf numFmtId="0" fontId="0" fillId="0" borderId="0"/>
    <xf numFmtId="0" fontId="25" fillId="0" borderId="0" applyNumberForma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501">
    <xf numFmtId="0" fontId="0" fillId="0" borderId="0" xfId="0"/>
    <xf numFmtId="0" fontId="27" fillId="2" borderId="17" xfId="81" applyFont="1" applyFill="1" applyBorder="1"/>
    <xf numFmtId="0" fontId="28" fillId="2" borderId="18" xfId="81" applyFont="1" applyFill="1" applyBorder="1"/>
    <xf numFmtId="3" fontId="28" fillId="2" borderId="19" xfId="81" applyNumberFormat="1" applyFont="1" applyFill="1" applyBorder="1"/>
    <xf numFmtId="0" fontId="28" fillId="4" borderId="18" xfId="81" applyFont="1" applyFill="1" applyBorder="1"/>
    <xf numFmtId="3" fontId="28" fillId="4" borderId="19" xfId="81" applyNumberFormat="1" applyFont="1" applyFill="1" applyBorder="1"/>
    <xf numFmtId="171" fontId="28" fillId="3" borderId="19" xfId="81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4" xfId="81" applyNumberFormat="1" applyFont="1" applyFill="1" applyBorder="1"/>
    <xf numFmtId="3" fontId="27" fillId="5" borderId="8" xfId="81" applyNumberFormat="1" applyFont="1" applyFill="1" applyBorder="1"/>
    <xf numFmtId="3" fontId="27" fillId="5" borderId="12" xfId="81" applyNumberFormat="1" applyFont="1" applyFill="1" applyBorder="1"/>
    <xf numFmtId="0" fontId="27" fillId="5" borderId="0" xfId="81" applyFont="1" applyFill="1"/>
    <xf numFmtId="10" fontId="27" fillId="5" borderId="0" xfId="81" applyNumberFormat="1" applyFont="1" applyFill="1"/>
    <xf numFmtId="0" fontId="37" fillId="2" borderId="33" xfId="0" applyFont="1" applyFill="1" applyBorder="1" applyAlignment="1">
      <alignment vertical="top"/>
    </xf>
    <xf numFmtId="0" fontId="37" fillId="2" borderId="34" xfId="0" applyFont="1" applyFill="1" applyBorder="1" applyAlignment="1">
      <alignment vertical="top"/>
    </xf>
    <xf numFmtId="0" fontId="34" fillId="2" borderId="34" xfId="0" applyFont="1" applyFill="1" applyBorder="1" applyAlignment="1">
      <alignment vertical="top"/>
    </xf>
    <xf numFmtId="0" fontId="38" fillId="2" borderId="34" xfId="0" applyFont="1" applyFill="1" applyBorder="1" applyAlignment="1">
      <alignment vertical="top"/>
    </xf>
    <xf numFmtId="0" fontId="36" fillId="2" borderId="34" xfId="0" applyFont="1" applyFill="1" applyBorder="1" applyAlignment="1">
      <alignment vertical="top"/>
    </xf>
    <xf numFmtId="0" fontId="34" fillId="2" borderId="35" xfId="0" applyFont="1" applyFill="1" applyBorder="1" applyAlignment="1">
      <alignment vertical="top"/>
    </xf>
    <xf numFmtId="0" fontId="37" fillId="2" borderId="8" xfId="0" applyFont="1" applyFill="1" applyBorder="1" applyAlignment="1">
      <alignment horizontal="center" vertical="center"/>
    </xf>
    <xf numFmtId="0" fontId="37" fillId="2" borderId="21" xfId="0" applyFont="1" applyFill="1" applyBorder="1" applyAlignment="1">
      <alignment horizontal="center" vertical="center"/>
    </xf>
    <xf numFmtId="0" fontId="37" fillId="2" borderId="23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8" fillId="2" borderId="21" xfId="0" applyFont="1" applyFill="1" applyBorder="1" applyAlignment="1">
      <alignment horizontal="center" vertical="center" wrapText="1"/>
    </xf>
    <xf numFmtId="0" fontId="38" fillId="2" borderId="23" xfId="0" applyFont="1" applyFill="1" applyBorder="1" applyAlignment="1">
      <alignment horizontal="center" vertical="center" wrapText="1"/>
    </xf>
    <xf numFmtId="0" fontId="36" fillId="2" borderId="23" xfId="0" applyFont="1" applyFill="1" applyBorder="1" applyAlignment="1">
      <alignment horizontal="center" vertical="center" wrapText="1"/>
    </xf>
    <xf numFmtId="3" fontId="27" fillId="5" borderId="4" xfId="81" applyNumberFormat="1" applyFont="1" applyFill="1" applyBorder="1"/>
    <xf numFmtId="3" fontId="27" fillId="5" borderId="29" xfId="81" applyNumberFormat="1" applyFont="1" applyFill="1" applyBorder="1"/>
    <xf numFmtId="3" fontId="27" fillId="5" borderId="25" xfId="81" applyNumberFormat="1" applyFont="1" applyFill="1" applyBorder="1"/>
    <xf numFmtId="3" fontId="27" fillId="5" borderId="9" xfId="81" applyNumberFormat="1" applyFont="1" applyFill="1" applyBorder="1"/>
    <xf numFmtId="3" fontId="27" fillId="5" borderId="10" xfId="81" applyNumberFormat="1" applyFont="1" applyFill="1" applyBorder="1"/>
    <xf numFmtId="3" fontId="27" fillId="5" borderId="13" xfId="81" applyNumberFormat="1" applyFont="1" applyFill="1" applyBorder="1"/>
    <xf numFmtId="3" fontId="27" fillId="5" borderId="14" xfId="81" applyNumberFormat="1" applyFont="1" applyFill="1" applyBorder="1"/>
    <xf numFmtId="3" fontId="28" fillId="2" borderId="27" xfId="81" applyNumberFormat="1" applyFont="1" applyFill="1" applyBorder="1"/>
    <xf numFmtId="3" fontId="28" fillId="2" borderId="20" xfId="81" applyNumberFormat="1" applyFont="1" applyFill="1" applyBorder="1"/>
    <xf numFmtId="3" fontId="28" fillId="4" borderId="27" xfId="81" applyNumberFormat="1" applyFont="1" applyFill="1" applyBorder="1"/>
    <xf numFmtId="3" fontId="28" fillId="4" borderId="20" xfId="81" applyNumberFormat="1" applyFont="1" applyFill="1" applyBorder="1"/>
    <xf numFmtId="171" fontId="28" fillId="3" borderId="27" xfId="81" applyNumberFormat="1" applyFont="1" applyFill="1" applyBorder="1"/>
    <xf numFmtId="171" fontId="28" fillId="3" borderId="20" xfId="81" applyNumberFormat="1" applyFont="1" applyFill="1" applyBorder="1"/>
    <xf numFmtId="0" fontId="31" fillId="2" borderId="25" xfId="81" applyFont="1" applyFill="1" applyBorder="1" applyAlignment="1">
      <alignment horizontal="center"/>
    </xf>
    <xf numFmtId="0" fontId="32" fillId="0" borderId="36" xfId="0" applyFont="1" applyFill="1" applyBorder="1" applyAlignment="1"/>
    <xf numFmtId="0" fontId="41" fillId="0" borderId="0" xfId="0" applyFont="1" applyFill="1" applyBorder="1" applyAlignment="1"/>
    <xf numFmtId="3" fontId="33" fillId="0" borderId="7" xfId="0" applyNumberFormat="1" applyFont="1" applyFill="1" applyBorder="1" applyAlignment="1">
      <alignment horizontal="right" vertical="top"/>
    </xf>
    <xf numFmtId="3" fontId="33" fillId="0" borderId="5" xfId="0" applyNumberFormat="1" applyFont="1" applyFill="1" applyBorder="1" applyAlignment="1">
      <alignment horizontal="right" vertical="top"/>
    </xf>
    <xf numFmtId="3" fontId="34" fillId="0" borderId="5" xfId="0" applyNumberFormat="1" applyFont="1" applyFill="1" applyBorder="1" applyAlignment="1">
      <alignment horizontal="right" vertical="top"/>
    </xf>
    <xf numFmtId="3" fontId="33" fillId="0" borderId="11" xfId="0" applyNumberFormat="1" applyFont="1" applyFill="1" applyBorder="1" applyAlignment="1">
      <alignment horizontal="right" vertical="top"/>
    </xf>
    <xf numFmtId="3" fontId="33" fillId="0" borderId="9" xfId="0" applyNumberFormat="1" applyFont="1" applyFill="1" applyBorder="1" applyAlignment="1">
      <alignment horizontal="right" vertical="top"/>
    </xf>
    <xf numFmtId="3" fontId="34" fillId="0" borderId="9" xfId="0" applyNumberFormat="1" applyFont="1" applyFill="1" applyBorder="1" applyAlignment="1">
      <alignment horizontal="right" vertical="top"/>
    </xf>
    <xf numFmtId="3" fontId="35" fillId="0" borderId="11" xfId="0" applyNumberFormat="1" applyFont="1" applyFill="1" applyBorder="1" applyAlignment="1">
      <alignment horizontal="right" vertical="top"/>
    </xf>
    <xf numFmtId="3" fontId="35" fillId="0" borderId="9" xfId="0" applyNumberFormat="1" applyFont="1" applyFill="1" applyBorder="1" applyAlignment="1">
      <alignment horizontal="right" vertical="top"/>
    </xf>
    <xf numFmtId="3" fontId="36" fillId="0" borderId="9" xfId="0" applyNumberFormat="1" applyFont="1" applyFill="1" applyBorder="1" applyAlignment="1">
      <alignment horizontal="right" vertical="top"/>
    </xf>
    <xf numFmtId="3" fontId="33" fillId="0" borderId="32" xfId="0" applyNumberFormat="1" applyFont="1" applyFill="1" applyBorder="1" applyAlignment="1">
      <alignment horizontal="right" vertical="top"/>
    </xf>
    <xf numFmtId="3" fontId="33" fillId="0" borderId="23" xfId="0" applyNumberFormat="1" applyFont="1" applyFill="1" applyBorder="1" applyAlignment="1">
      <alignment horizontal="right" vertical="top"/>
    </xf>
    <xf numFmtId="3" fontId="34" fillId="0" borderId="23" xfId="0" applyNumberFormat="1" applyFont="1" applyFill="1" applyBorder="1" applyAlignment="1">
      <alignment horizontal="right" vertical="top"/>
    </xf>
    <xf numFmtId="0" fontId="6" fillId="0" borderId="0" xfId="82" applyFont="1" applyFill="1"/>
    <xf numFmtId="0" fontId="8" fillId="0" borderId="36" xfId="82" applyFont="1" applyFill="1" applyBorder="1" applyAlignment="1"/>
    <xf numFmtId="0" fontId="29" fillId="0" borderId="0" xfId="49" applyFont="1" applyFill="1"/>
    <xf numFmtId="164" fontId="3" fillId="0" borderId="56" xfId="53" applyNumberFormat="1" applyFont="1" applyFill="1" applyBorder="1"/>
    <xf numFmtId="9" fontId="3" fillId="0" borderId="56" xfId="53" applyNumberFormat="1" applyFont="1" applyFill="1" applyBorder="1"/>
    <xf numFmtId="0" fontId="32" fillId="0" borderId="30" xfId="0" applyFont="1" applyFill="1" applyBorder="1" applyAlignment="1"/>
    <xf numFmtId="0" fontId="32" fillId="0" borderId="31" xfId="0" applyFont="1" applyFill="1" applyBorder="1" applyAlignment="1"/>
    <xf numFmtId="0" fontId="32" fillId="0" borderId="51" xfId="0" applyFont="1" applyFill="1" applyBorder="1" applyAlignment="1"/>
    <xf numFmtId="0" fontId="3" fillId="2" borderId="54" xfId="53" applyFont="1" applyFill="1" applyBorder="1" applyAlignment="1">
      <alignment horizontal="right"/>
    </xf>
    <xf numFmtId="0" fontId="32" fillId="0" borderId="25" xfId="0" applyFont="1" applyBorder="1" applyAlignment="1"/>
    <xf numFmtId="0" fontId="32" fillId="5" borderId="6" xfId="0" applyFont="1" applyFill="1" applyBorder="1"/>
    <xf numFmtId="0" fontId="32" fillId="5" borderId="10" xfId="0" applyFont="1" applyFill="1" applyBorder="1"/>
    <xf numFmtId="0" fontId="32" fillId="5" borderId="22" xfId="0" applyFont="1" applyFill="1" applyBorder="1"/>
    <xf numFmtId="0" fontId="32" fillId="5" borderId="36" xfId="0" applyFont="1" applyFill="1" applyBorder="1"/>
    <xf numFmtId="0" fontId="32" fillId="5" borderId="42" xfId="0" applyFont="1" applyFill="1" applyBorder="1"/>
    <xf numFmtId="9" fontId="34" fillId="0" borderId="6" xfId="0" applyNumberFormat="1" applyFont="1" applyFill="1" applyBorder="1" applyAlignment="1">
      <alignment horizontal="right" vertical="top"/>
    </xf>
    <xf numFmtId="9" fontId="34" fillId="0" borderId="10" xfId="0" applyNumberFormat="1" applyFont="1" applyFill="1" applyBorder="1" applyAlignment="1">
      <alignment horizontal="right" vertical="top"/>
    </xf>
    <xf numFmtId="9" fontId="36" fillId="0" borderId="10" xfId="0" applyNumberFormat="1" applyFont="1" applyFill="1" applyBorder="1" applyAlignment="1">
      <alignment horizontal="right" vertical="top"/>
    </xf>
    <xf numFmtId="9" fontId="34" fillId="0" borderId="22" xfId="0" applyNumberFormat="1" applyFont="1" applyFill="1" applyBorder="1" applyAlignment="1">
      <alignment horizontal="right" vertical="top"/>
    </xf>
    <xf numFmtId="3" fontId="31" fillId="0" borderId="29" xfId="53" applyNumberFormat="1" applyFont="1" applyFill="1" applyBorder="1"/>
    <xf numFmtId="3" fontId="31" fillId="0" borderId="25" xfId="53" applyNumberFormat="1" applyFont="1" applyFill="1" applyBorder="1"/>
    <xf numFmtId="0" fontId="31" fillId="2" borderId="42" xfId="0" applyFont="1" applyFill="1" applyBorder="1" applyAlignment="1">
      <alignment horizontal="center"/>
    </xf>
    <xf numFmtId="3" fontId="3" fillId="0" borderId="55" xfId="53" applyNumberFormat="1" applyFont="1" applyFill="1" applyBorder="1"/>
    <xf numFmtId="3" fontId="3" fillId="0" borderId="56" xfId="53" applyNumberFormat="1" applyFont="1" applyFill="1" applyBorder="1"/>
    <xf numFmtId="3" fontId="3" fillId="0" borderId="57" xfId="53" applyNumberFormat="1" applyFont="1" applyFill="1" applyBorder="1"/>
    <xf numFmtId="0" fontId="31" fillId="2" borderId="42" xfId="0" applyNumberFormat="1" applyFont="1" applyFill="1" applyBorder="1" applyAlignment="1">
      <alignment horizontal="center"/>
    </xf>
    <xf numFmtId="169" fontId="32" fillId="0" borderId="0" xfId="0" applyNumberFormat="1" applyFont="1" applyFill="1"/>
    <xf numFmtId="0" fontId="31" fillId="2" borderId="38" xfId="74" applyFont="1" applyFill="1" applyBorder="1" applyAlignment="1">
      <alignment horizontal="center"/>
    </xf>
    <xf numFmtId="0" fontId="27" fillId="5" borderId="36" xfId="81" applyFont="1" applyFill="1" applyBorder="1"/>
    <xf numFmtId="0" fontId="31" fillId="2" borderId="23" xfId="81" applyFont="1" applyFill="1" applyBorder="1" applyAlignment="1">
      <alignment horizontal="center"/>
    </xf>
    <xf numFmtId="0" fontId="31" fillId="2" borderId="22" xfId="81" applyFont="1" applyFill="1" applyBorder="1" applyAlignment="1">
      <alignment horizontal="center"/>
    </xf>
    <xf numFmtId="0" fontId="32" fillId="0" borderId="0" xfId="0" applyFont="1" applyFill="1" applyBorder="1" applyAlignment="1"/>
    <xf numFmtId="0" fontId="46" fillId="2" borderId="17" xfId="1" applyFont="1" applyFill="1" applyBorder="1"/>
    <xf numFmtId="0" fontId="47" fillId="0" borderId="0" xfId="0" applyFont="1" applyFill="1"/>
    <xf numFmtId="0" fontId="48" fillId="0" borderId="0" xfId="0" applyFont="1" applyFill="1"/>
    <xf numFmtId="0" fontId="48" fillId="0" borderId="0" xfId="0" applyFont="1" applyFill="1" applyBorder="1"/>
    <xf numFmtId="3" fontId="32" fillId="0" borderId="29" xfId="0" applyNumberFormat="1" applyFont="1" applyFill="1" applyBorder="1"/>
    <xf numFmtId="3" fontId="32" fillId="0" borderId="24" xfId="0" applyNumberFormat="1" applyFont="1" applyFill="1" applyBorder="1"/>
    <xf numFmtId="3" fontId="32" fillId="0" borderId="8" xfId="0" applyNumberFormat="1" applyFont="1" applyFill="1" applyBorder="1"/>
    <xf numFmtId="3" fontId="32" fillId="0" borderId="9" xfId="0" applyNumberFormat="1" applyFont="1" applyFill="1" applyBorder="1"/>
    <xf numFmtId="3" fontId="32" fillId="0" borderId="12" xfId="0" applyNumberFormat="1" applyFont="1" applyFill="1" applyBorder="1"/>
    <xf numFmtId="3" fontId="32" fillId="0" borderId="13" xfId="0" applyNumberFormat="1" applyFont="1" applyFill="1" applyBorder="1"/>
    <xf numFmtId="9" fontId="32" fillId="0" borderId="25" xfId="0" applyNumberFormat="1" applyFont="1" applyFill="1" applyBorder="1"/>
    <xf numFmtId="9" fontId="32" fillId="0" borderId="10" xfId="0" applyNumberFormat="1" applyFont="1" applyFill="1" applyBorder="1"/>
    <xf numFmtId="9" fontId="32" fillId="0" borderId="14" xfId="0" applyNumberFormat="1" applyFont="1" applyFill="1" applyBorder="1"/>
    <xf numFmtId="9" fontId="28" fillId="2" borderId="20" xfId="81" applyNumberFormat="1" applyFont="1" applyFill="1" applyBorder="1"/>
    <xf numFmtId="9" fontId="28" fillId="4" borderId="20" xfId="81" applyNumberFormat="1" applyFont="1" applyFill="1" applyBorder="1"/>
    <xf numFmtId="9" fontId="28" fillId="3" borderId="20" xfId="81" applyNumberFormat="1" applyFont="1" applyFill="1" applyBorder="1"/>
    <xf numFmtId="0" fontId="31" fillId="2" borderId="21" xfId="81" applyFont="1" applyFill="1" applyBorder="1" applyAlignment="1">
      <alignment horizontal="center"/>
    </xf>
    <xf numFmtId="49" fontId="37" fillId="2" borderId="9" xfId="0" applyNumberFormat="1" applyFont="1" applyFill="1" applyBorder="1" applyAlignment="1">
      <alignment horizontal="center" vertical="center"/>
    </xf>
    <xf numFmtId="0" fontId="32" fillId="0" borderId="0" xfId="0" applyFont="1" applyFill="1"/>
    <xf numFmtId="0" fontId="32" fillId="0" borderId="42" xfId="0" applyFont="1" applyFill="1" applyBorder="1" applyAlignment="1"/>
    <xf numFmtId="0" fontId="32" fillId="0" borderId="0" xfId="0" applyFont="1" applyFill="1" applyAlignment="1"/>
    <xf numFmtId="0" fontId="46" fillId="4" borderId="33" xfId="1" applyFont="1" applyFill="1" applyBorder="1"/>
    <xf numFmtId="0" fontId="46" fillId="4" borderId="17" xfId="1" applyFont="1" applyFill="1" applyBorder="1"/>
    <xf numFmtId="0" fontId="46" fillId="3" borderId="18" xfId="1" applyFont="1" applyFill="1" applyBorder="1"/>
    <xf numFmtId="0" fontId="49" fillId="0" borderId="0" xfId="0" applyFont="1" applyFill="1" applyBorder="1" applyAlignment="1">
      <alignment vertical="center"/>
    </xf>
    <xf numFmtId="0" fontId="49" fillId="0" borderId="0" xfId="0" applyFont="1" applyFill="1" applyAlignment="1">
      <alignment vertical="center"/>
    </xf>
    <xf numFmtId="0" fontId="32" fillId="2" borderId="2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164" fontId="31" fillId="2" borderId="24" xfId="53" applyNumberFormat="1" applyFont="1" applyFill="1" applyBorder="1" applyAlignment="1">
      <alignment horizontal="right"/>
    </xf>
    <xf numFmtId="0" fontId="46" fillId="3" borderId="8" xfId="1" applyFont="1" applyFill="1" applyBorder="1"/>
    <xf numFmtId="0" fontId="46" fillId="3" borderId="4" xfId="1" applyFont="1" applyFill="1" applyBorder="1"/>
    <xf numFmtId="0" fontId="46" fillId="6" borderId="4" xfId="1" applyFont="1" applyFill="1" applyBorder="1"/>
    <xf numFmtId="0" fontId="46" fillId="6" borderId="49" xfId="1" applyFont="1" applyFill="1" applyBorder="1"/>
    <xf numFmtId="0" fontId="46" fillId="2" borderId="4" xfId="1" applyFont="1" applyFill="1" applyBorder="1"/>
    <xf numFmtId="0" fontId="46" fillId="4" borderId="4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5" xfId="0" applyNumberFormat="1" applyFont="1" applyFill="1" applyBorder="1"/>
    <xf numFmtId="3" fontId="39" fillId="2" borderId="46" xfId="0" applyNumberFormat="1" applyFont="1" applyFill="1" applyBorder="1"/>
    <xf numFmtId="9" fontId="39" fillId="2" borderId="50" xfId="0" applyNumberFormat="1" applyFont="1" applyFill="1" applyBorder="1"/>
    <xf numFmtId="0" fontId="50" fillId="2" borderId="18" xfId="1" applyFont="1" applyFill="1" applyBorder="1" applyAlignment="1"/>
    <xf numFmtId="0" fontId="32" fillId="2" borderId="28" xfId="0" applyFont="1" applyFill="1" applyBorder="1" applyAlignment="1"/>
    <xf numFmtId="3" fontId="32" fillId="2" borderId="27" xfId="0" applyNumberFormat="1" applyFont="1" applyFill="1" applyBorder="1" applyAlignment="1"/>
    <xf numFmtId="9" fontId="32" fillId="2" borderId="20" xfId="0" applyNumberFormat="1" applyFont="1" applyFill="1" applyBorder="1" applyAlignment="1"/>
    <xf numFmtId="0" fontId="39" fillId="2" borderId="47" xfId="0" applyFont="1" applyFill="1" applyBorder="1" applyAlignment="1"/>
    <xf numFmtId="0" fontId="32" fillId="0" borderId="7" xfId="0" applyFont="1" applyBorder="1" applyAlignment="1"/>
    <xf numFmtId="3" fontId="32" fillId="0" borderId="5" xfId="0" applyNumberFormat="1" applyFont="1" applyBorder="1" applyAlignment="1"/>
    <xf numFmtId="9" fontId="32" fillId="0" borderId="10" xfId="0" applyNumberFormat="1" applyFont="1" applyBorder="1" applyAlignment="1"/>
    <xf numFmtId="0" fontId="29" fillId="2" borderId="34" xfId="1" applyFont="1" applyFill="1" applyBorder="1" applyAlignment="1">
      <alignment horizontal="left" indent="2"/>
    </xf>
    <xf numFmtId="0" fontId="32" fillId="0" borderId="11" xfId="0" applyFont="1" applyBorder="1" applyAlignment="1"/>
    <xf numFmtId="3" fontId="32" fillId="0" borderId="9" xfId="0" applyNumberFormat="1" applyFont="1" applyBorder="1" applyAlignment="1"/>
    <xf numFmtId="9" fontId="32" fillId="0" borderId="9" xfId="0" applyNumberFormat="1" applyFont="1" applyBorder="1" applyAlignment="1"/>
    <xf numFmtId="0" fontId="32" fillId="2" borderId="34" xfId="0" applyFont="1" applyFill="1" applyBorder="1" applyAlignment="1">
      <alignment horizontal="left" indent="2"/>
    </xf>
    <xf numFmtId="0" fontId="31" fillId="2" borderId="34" xfId="1" applyFont="1" applyFill="1" applyBorder="1" applyAlignment="1"/>
    <xf numFmtId="0" fontId="46" fillId="2" borderId="34" xfId="1" applyFont="1" applyFill="1" applyBorder="1" applyAlignment="1">
      <alignment horizontal="left" indent="2"/>
    </xf>
    <xf numFmtId="0" fontId="50" fillId="2" borderId="34" xfId="1" applyFont="1" applyFill="1" applyBorder="1" applyAlignment="1"/>
    <xf numFmtId="0" fontId="32" fillId="0" borderId="32" xfId="0" applyFont="1" applyBorder="1" applyAlignment="1"/>
    <xf numFmtId="3" fontId="32" fillId="0" borderId="23" xfId="0" applyNumberFormat="1" applyFont="1" applyBorder="1" applyAlignment="1"/>
    <xf numFmtId="9" fontId="32" fillId="0" borderId="22" xfId="0" applyNumberFormat="1" applyFont="1" applyBorder="1" applyAlignment="1"/>
    <xf numFmtId="0" fontId="39" fillId="0" borderId="36" xfId="0" applyFont="1" applyFill="1" applyBorder="1" applyAlignment="1">
      <alignment horizontal="left" indent="2"/>
    </xf>
    <xf numFmtId="0" fontId="32" fillId="0" borderId="36" xfId="0" applyFont="1" applyBorder="1" applyAlignment="1"/>
    <xf numFmtId="3" fontId="32" fillId="0" borderId="36" xfId="0" applyNumberFormat="1" applyFont="1" applyBorder="1" applyAlignment="1"/>
    <xf numFmtId="9" fontId="32" fillId="0" borderId="36" xfId="0" applyNumberFormat="1" applyFont="1" applyBorder="1" applyAlignment="1"/>
    <xf numFmtId="0" fontId="50" fillId="4" borderId="18" xfId="1" applyFont="1" applyFill="1" applyBorder="1" applyAlignment="1">
      <alignment horizontal="left"/>
    </xf>
    <xf numFmtId="0" fontId="32" fillId="4" borderId="28" xfId="0" applyFont="1" applyFill="1" applyBorder="1" applyAlignment="1"/>
    <xf numFmtId="3" fontId="32" fillId="4" borderId="27" xfId="0" applyNumberFormat="1" applyFont="1" applyFill="1" applyBorder="1" applyAlignment="1"/>
    <xf numFmtId="9" fontId="32" fillId="4" borderId="20" xfId="0" applyNumberFormat="1" applyFont="1" applyFill="1" applyBorder="1" applyAlignment="1"/>
    <xf numFmtId="0" fontId="50" fillId="4" borderId="47" xfId="1" applyFont="1" applyFill="1" applyBorder="1" applyAlignment="1">
      <alignment horizontal="left"/>
    </xf>
    <xf numFmtId="0" fontId="46" fillId="4" borderId="34" xfId="1" applyFont="1" applyFill="1" applyBorder="1" applyAlignment="1">
      <alignment horizontal="left" indent="2"/>
    </xf>
    <xf numFmtId="0" fontId="50" fillId="4" borderId="34" xfId="1" applyFont="1" applyFill="1" applyBorder="1" applyAlignment="1">
      <alignment horizontal="left"/>
    </xf>
    <xf numFmtId="0" fontId="32" fillId="4" borderId="35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2" xfId="0" applyNumberFormat="1" applyFont="1" applyBorder="1" applyAlignment="1"/>
    <xf numFmtId="0" fontId="39" fillId="3" borderId="18" xfId="0" applyFont="1" applyFill="1" applyBorder="1" applyAlignment="1"/>
    <xf numFmtId="0" fontId="32" fillId="3" borderId="28" xfId="0" applyFont="1" applyFill="1" applyBorder="1" applyAlignment="1"/>
    <xf numFmtId="3" fontId="32" fillId="3" borderId="27" xfId="0" applyNumberFormat="1" applyFont="1" applyFill="1" applyBorder="1" applyAlignment="1"/>
    <xf numFmtId="9" fontId="32" fillId="3" borderId="20" xfId="0" applyNumberFormat="1" applyFont="1" applyFill="1" applyBorder="1" applyAlignment="1"/>
    <xf numFmtId="0" fontId="41" fillId="0" borderId="0" xfId="0" applyFont="1" applyFill="1"/>
    <xf numFmtId="16" fontId="41" fillId="0" borderId="0" xfId="0" quotePrefix="1" applyNumberFormat="1" applyFont="1" applyFill="1"/>
    <xf numFmtId="0" fontId="41" fillId="0" borderId="0" xfId="0" quotePrefix="1" applyFont="1" applyFill="1"/>
    <xf numFmtId="171" fontId="41" fillId="0" borderId="0" xfId="0" applyNumberFormat="1" applyFont="1" applyFill="1"/>
    <xf numFmtId="172" fontId="41" fillId="0" borderId="0" xfId="0" applyNumberFormat="1" applyFont="1" applyFill="1"/>
    <xf numFmtId="3" fontId="41" fillId="0" borderId="0" xfId="0" applyNumberFormat="1" applyFont="1" applyFill="1"/>
    <xf numFmtId="0" fontId="7" fillId="0" borderId="0" xfId="81" applyFont="1" applyFill="1"/>
    <xf numFmtId="0" fontId="51" fillId="0" borderId="36" xfId="81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4" fontId="32" fillId="0" borderId="0" xfId="0" applyNumberFormat="1" applyFont="1" applyFill="1"/>
    <xf numFmtId="9" fontId="32" fillId="0" borderId="0" xfId="0" applyNumberFormat="1" applyFont="1" applyFill="1"/>
    <xf numFmtId="164" fontId="27" fillId="0" borderId="0" xfId="78" applyNumberFormat="1" applyFont="1" applyFill="1" applyBorder="1" applyAlignment="1"/>
    <xf numFmtId="3" fontId="27" fillId="0" borderId="0" xfId="78" applyNumberFormat="1" applyFont="1" applyFill="1" applyBorder="1" applyAlignment="1"/>
    <xf numFmtId="164" fontId="32" fillId="0" borderId="0" xfId="0" applyNumberFormat="1" applyFont="1" applyFill="1" applyAlignment="1">
      <alignment horizontal="right"/>
    </xf>
    <xf numFmtId="3" fontId="6" fillId="0" borderId="0" xfId="78" applyNumberFormat="1" applyFont="1" applyFill="1" applyBorder="1" applyAlignment="1"/>
    <xf numFmtId="0" fontId="39" fillId="2" borderId="26" xfId="0" applyFont="1" applyFill="1" applyBorder="1" applyAlignment="1">
      <alignment horizontal="right"/>
    </xf>
    <xf numFmtId="169" fontId="39" fillId="0" borderId="19" xfId="0" applyNumberFormat="1" applyFont="1" applyFill="1" applyBorder="1" applyAlignment="1"/>
    <xf numFmtId="169" fontId="39" fillId="0" borderId="27" xfId="0" applyNumberFormat="1" applyFont="1" applyFill="1" applyBorder="1" applyAlignment="1"/>
    <xf numFmtId="9" fontId="39" fillId="0" borderId="20" xfId="0" applyNumberFormat="1" applyFont="1" applyFill="1" applyBorder="1" applyAlignment="1"/>
    <xf numFmtId="169" fontId="39" fillId="0" borderId="28" xfId="0" applyNumberFormat="1" applyFont="1" applyFill="1" applyBorder="1" applyAlignment="1"/>
    <xf numFmtId="9" fontId="39" fillId="0" borderId="44" xfId="0" applyNumberFormat="1" applyFont="1" applyFill="1" applyBorder="1" applyAlignment="1"/>
    <xf numFmtId="169" fontId="32" fillId="0" borderId="0" xfId="0" applyNumberFormat="1" applyFont="1" applyFill="1" applyBorder="1" applyAlignment="1"/>
    <xf numFmtId="9" fontId="32" fillId="0" borderId="0" xfId="0" applyNumberFormat="1" applyFont="1" applyFill="1" applyBorder="1" applyAlignment="1"/>
    <xf numFmtId="3" fontId="32" fillId="0" borderId="42" xfId="0" applyNumberFormat="1" applyFont="1" applyFill="1" applyBorder="1" applyAlignment="1"/>
    <xf numFmtId="9" fontId="32" fillId="0" borderId="42" xfId="0" applyNumberFormat="1" applyFont="1" applyFill="1" applyBorder="1" applyAlignment="1"/>
    <xf numFmtId="3" fontId="0" fillId="0" borderId="0" xfId="0" applyNumberFormat="1"/>
    <xf numFmtId="3" fontId="0" fillId="7" borderId="59" xfId="0" applyNumberFormat="1" applyFont="1" applyFill="1" applyBorder="1"/>
    <xf numFmtId="3" fontId="53" fillId="8" borderId="60" xfId="0" applyNumberFormat="1" applyFont="1" applyFill="1" applyBorder="1"/>
    <xf numFmtId="3" fontId="53" fillId="8" borderId="59" xfId="0" applyNumberFormat="1" applyFont="1" applyFill="1" applyBorder="1"/>
    <xf numFmtId="0" fontId="54" fillId="0" borderId="0" xfId="1" applyFont="1" applyFill="1"/>
    <xf numFmtId="3" fontId="52" fillId="0" borderId="0" xfId="26" applyNumberFormat="1" applyFont="1" applyFill="1" applyBorder="1" applyAlignment="1"/>
    <xf numFmtId="3" fontId="39" fillId="2" borderId="63" xfId="0" applyNumberFormat="1" applyFont="1" applyFill="1" applyBorder="1" applyAlignment="1">
      <alignment horizontal="center" vertical="center"/>
    </xf>
    <xf numFmtId="0" fontId="39" fillId="2" borderId="64" xfId="0" applyFont="1" applyFill="1" applyBorder="1" applyAlignment="1">
      <alignment horizontal="center" vertical="center"/>
    </xf>
    <xf numFmtId="3" fontId="55" fillId="2" borderId="66" xfId="0" applyNumberFormat="1" applyFont="1" applyFill="1" applyBorder="1" applyAlignment="1">
      <alignment horizontal="center" vertical="center" wrapText="1"/>
    </xf>
    <xf numFmtId="0" fontId="55" fillId="2" borderId="67" xfId="0" applyFont="1" applyFill="1" applyBorder="1" applyAlignment="1">
      <alignment horizontal="center" vertical="center" wrapText="1"/>
    </xf>
    <xf numFmtId="0" fontId="39" fillId="2" borderId="69" xfId="0" applyFont="1" applyFill="1" applyBorder="1" applyAlignment="1"/>
    <xf numFmtId="0" fontId="39" fillId="2" borderId="71" xfId="0" applyFont="1" applyFill="1" applyBorder="1" applyAlignment="1">
      <alignment horizontal="left" indent="1"/>
    </xf>
    <xf numFmtId="0" fontId="39" fillId="2" borderId="77" xfId="0" applyFont="1" applyFill="1" applyBorder="1" applyAlignment="1">
      <alignment horizontal="left" indent="1"/>
    </xf>
    <xf numFmtId="0" fontId="39" fillId="4" borderId="69" xfId="0" applyFont="1" applyFill="1" applyBorder="1" applyAlignment="1"/>
    <xf numFmtId="0" fontId="39" fillId="4" borderId="71" xfId="0" applyFont="1" applyFill="1" applyBorder="1" applyAlignment="1">
      <alignment horizontal="left" indent="1"/>
    </xf>
    <xf numFmtId="0" fontId="39" fillId="4" borderId="82" xfId="0" applyFont="1" applyFill="1" applyBorder="1" applyAlignment="1">
      <alignment horizontal="left" indent="1"/>
    </xf>
    <xf numFmtId="0" fontId="32" fillId="2" borderId="71" xfId="0" quotePrefix="1" applyFont="1" applyFill="1" applyBorder="1" applyAlignment="1">
      <alignment horizontal="left" indent="2"/>
    </xf>
    <xf numFmtId="0" fontId="32" fillId="2" borderId="77" xfId="0" quotePrefix="1" applyFont="1" applyFill="1" applyBorder="1" applyAlignment="1">
      <alignment horizontal="left" indent="2"/>
    </xf>
    <xf numFmtId="0" fontId="39" fillId="2" borderId="69" xfId="0" applyFont="1" applyFill="1" applyBorder="1" applyAlignment="1">
      <alignment horizontal="left" indent="1"/>
    </xf>
    <xf numFmtId="0" fontId="39" fillId="2" borderId="82" xfId="0" applyFont="1" applyFill="1" applyBorder="1" applyAlignment="1">
      <alignment horizontal="left" indent="1"/>
    </xf>
    <xf numFmtId="0" fontId="39" fillId="4" borderId="77" xfId="0" applyFont="1" applyFill="1" applyBorder="1" applyAlignment="1">
      <alignment horizontal="left" indent="1"/>
    </xf>
    <xf numFmtId="0" fontId="32" fillId="0" borderId="87" xfId="0" applyFont="1" applyBorder="1"/>
    <xf numFmtId="3" fontId="32" fillId="0" borderId="87" xfId="0" applyNumberFormat="1" applyFont="1" applyBorder="1"/>
    <xf numFmtId="0" fontId="39" fillId="4" borderId="61" xfId="0" applyFont="1" applyFill="1" applyBorder="1" applyAlignment="1">
      <alignment horizontal="center" vertical="center"/>
    </xf>
    <xf numFmtId="0" fontId="39" fillId="4" borderId="51" xfId="0" applyFont="1" applyFill="1" applyBorder="1" applyAlignment="1">
      <alignment horizontal="center" vertical="center"/>
    </xf>
    <xf numFmtId="0" fontId="0" fillId="0" borderId="0" xfId="0" applyNumberFormat="1"/>
    <xf numFmtId="3" fontId="39" fillId="2" borderId="86" xfId="0" applyNumberFormat="1" applyFont="1" applyFill="1" applyBorder="1" applyAlignment="1">
      <alignment horizontal="center" vertical="center"/>
    </xf>
    <xf numFmtId="3" fontId="55" fillId="2" borderId="84" xfId="0" applyNumberFormat="1" applyFont="1" applyFill="1" applyBorder="1" applyAlignment="1">
      <alignment horizontal="center" vertical="center" wrapText="1"/>
    </xf>
    <xf numFmtId="173" fontId="39" fillId="4" borderId="70" xfId="0" applyNumberFormat="1" applyFont="1" applyFill="1" applyBorder="1" applyAlignment="1"/>
    <xf numFmtId="173" fontId="39" fillId="4" borderId="63" xfId="0" applyNumberFormat="1" applyFont="1" applyFill="1" applyBorder="1" applyAlignment="1"/>
    <xf numFmtId="173" fontId="39" fillId="4" borderId="64" xfId="0" applyNumberFormat="1" applyFont="1" applyFill="1" applyBorder="1" applyAlignment="1"/>
    <xf numFmtId="173" fontId="39" fillId="0" borderId="72" xfId="0" applyNumberFormat="1" applyFont="1" applyBorder="1"/>
    <xf numFmtId="173" fontId="32" fillId="0" borderId="76" xfId="0" applyNumberFormat="1" applyFont="1" applyBorder="1"/>
    <xf numFmtId="173" fontId="32" fillId="0" borderId="74" xfId="0" applyNumberFormat="1" applyFont="1" applyBorder="1"/>
    <xf numFmtId="173" fontId="39" fillId="0" borderId="83" xfId="0" applyNumberFormat="1" applyFont="1" applyBorder="1"/>
    <xf numFmtId="173" fontId="32" fillId="0" borderId="84" xfId="0" applyNumberFormat="1" applyFont="1" applyBorder="1"/>
    <xf numFmtId="173" fontId="32" fillId="0" borderId="67" xfId="0" applyNumberFormat="1" applyFont="1" applyBorder="1"/>
    <xf numFmtId="173" fontId="39" fillId="2" borderId="85" xfId="0" applyNumberFormat="1" applyFont="1" applyFill="1" applyBorder="1" applyAlignment="1"/>
    <xf numFmtId="173" fontId="39" fillId="2" borderId="63" xfId="0" applyNumberFormat="1" applyFont="1" applyFill="1" applyBorder="1" applyAlignment="1"/>
    <xf numFmtId="173" fontId="39" fillId="2" borderId="64" xfId="0" applyNumberFormat="1" applyFont="1" applyFill="1" applyBorder="1" applyAlignment="1"/>
    <xf numFmtId="173" fontId="39" fillId="0" borderId="78" xfId="0" applyNumberFormat="1" applyFont="1" applyBorder="1"/>
    <xf numFmtId="173" fontId="32" fillId="0" borderId="79" xfId="0" applyNumberFormat="1" applyFont="1" applyBorder="1"/>
    <xf numFmtId="173" fontId="32" fillId="0" borderId="80" xfId="0" applyNumberFormat="1" applyFont="1" applyBorder="1"/>
    <xf numFmtId="173" fontId="39" fillId="0" borderId="70" xfId="0" applyNumberFormat="1" applyFont="1" applyBorder="1"/>
    <xf numFmtId="173" fontId="32" fillId="0" borderId="86" xfId="0" applyNumberFormat="1" applyFont="1" applyBorder="1"/>
    <xf numFmtId="173" fontId="32" fillId="0" borderId="64" xfId="0" applyNumberFormat="1" applyFont="1" applyBorder="1"/>
    <xf numFmtId="174" fontId="39" fillId="2" borderId="70" xfId="0" applyNumberFormat="1" applyFont="1" applyFill="1" applyBorder="1" applyAlignment="1"/>
    <xf numFmtId="174" fontId="32" fillId="2" borderId="63" xfId="0" applyNumberFormat="1" applyFont="1" applyFill="1" applyBorder="1" applyAlignment="1"/>
    <xf numFmtId="174" fontId="32" fillId="2" borderId="64" xfId="0" applyNumberFormat="1" applyFont="1" applyFill="1" applyBorder="1" applyAlignment="1"/>
    <xf numFmtId="174" fontId="39" fillId="0" borderId="72" xfId="0" applyNumberFormat="1" applyFont="1" applyBorder="1"/>
    <xf numFmtId="174" fontId="32" fillId="0" borderId="73" xfId="0" applyNumberFormat="1" applyFont="1" applyBorder="1"/>
    <xf numFmtId="174" fontId="32" fillId="0" borderId="74" xfId="0" applyNumberFormat="1" applyFont="1" applyBorder="1"/>
    <xf numFmtId="174" fontId="32" fillId="0" borderId="76" xfId="0" applyNumberFormat="1" applyFont="1" applyBorder="1"/>
    <xf numFmtId="174" fontId="39" fillId="0" borderId="78" xfId="0" applyNumberFormat="1" applyFont="1" applyBorder="1"/>
    <xf numFmtId="174" fontId="32" fillId="0" borderId="79" xfId="0" applyNumberFormat="1" applyFont="1" applyBorder="1"/>
    <xf numFmtId="174" fontId="32" fillId="0" borderId="80" xfId="0" applyNumberFormat="1" applyFont="1" applyBorder="1"/>
    <xf numFmtId="0" fontId="57" fillId="0" borderId="0" xfId="0" applyFont="1" applyAlignment="1">
      <alignment horizontal="left" vertical="center" indent="1"/>
    </xf>
    <xf numFmtId="0" fontId="57" fillId="0" borderId="0" xfId="0" applyFont="1" applyAlignment="1">
      <alignment vertical="center"/>
    </xf>
    <xf numFmtId="0" fontId="0" fillId="0" borderId="0" xfId="0" applyAlignment="1"/>
    <xf numFmtId="0" fontId="58" fillId="0" borderId="0" xfId="0" applyFont="1"/>
    <xf numFmtId="173" fontId="39" fillId="4" borderId="70" xfId="0" applyNumberFormat="1" applyFont="1" applyFill="1" applyBorder="1" applyAlignment="1">
      <alignment horizontal="center"/>
    </xf>
    <xf numFmtId="175" fontId="39" fillId="0" borderId="78" xfId="0" applyNumberFormat="1" applyFont="1" applyBorder="1"/>
    <xf numFmtId="0" fontId="31" fillId="2" borderId="93" xfId="74" applyFont="1" applyFill="1" applyBorder="1" applyAlignment="1">
      <alignment horizontal="center"/>
    </xf>
    <xf numFmtId="0" fontId="31" fillId="2" borderId="65" xfId="81" applyFont="1" applyFill="1" applyBorder="1" applyAlignment="1">
      <alignment horizontal="center"/>
    </xf>
    <xf numFmtId="0" fontId="31" fillId="2" borderId="66" xfId="81" applyFont="1" applyFill="1" applyBorder="1" applyAlignment="1">
      <alignment horizontal="center"/>
    </xf>
    <xf numFmtId="0" fontId="31" fillId="2" borderId="67" xfId="81" applyFont="1" applyFill="1" applyBorder="1" applyAlignment="1">
      <alignment horizontal="center"/>
    </xf>
    <xf numFmtId="0" fontId="31" fillId="2" borderId="68" xfId="81" applyFont="1" applyFill="1" applyBorder="1" applyAlignment="1">
      <alignment horizontal="center"/>
    </xf>
    <xf numFmtId="0" fontId="3" fillId="2" borderId="19" xfId="79" applyFont="1" applyFill="1" applyBorder="1" applyAlignment="1"/>
    <xf numFmtId="0" fontId="3" fillId="2" borderId="27" xfId="79" applyFont="1" applyFill="1" applyBorder="1" applyAlignment="1"/>
    <xf numFmtId="0" fontId="29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6" xfId="79" applyFont="1" applyFill="1" applyBorder="1" applyAlignment="1">
      <alignment horizontal="right"/>
    </xf>
    <xf numFmtId="9" fontId="32" fillId="0" borderId="27" xfId="0" applyNumberFormat="1" applyFont="1" applyFill="1" applyBorder="1"/>
    <xf numFmtId="9" fontId="32" fillId="0" borderId="20" xfId="0" applyNumberFormat="1" applyFont="1" applyFill="1" applyBorder="1"/>
    <xf numFmtId="9" fontId="32" fillId="0" borderId="28" xfId="0" applyNumberFormat="1" applyFont="1" applyFill="1" applyBorder="1"/>
    <xf numFmtId="3" fontId="6" fillId="0" borderId="19" xfId="78" applyNumberFormat="1" applyFont="1" applyFill="1" applyBorder="1" applyAlignment="1"/>
    <xf numFmtId="3" fontId="6" fillId="0" borderId="27" xfId="78" applyNumberFormat="1" applyFont="1" applyFill="1" applyBorder="1" applyAlignment="1"/>
    <xf numFmtId="3" fontId="6" fillId="0" borderId="20" xfId="78" applyNumberFormat="1" applyFont="1" applyFill="1" applyBorder="1" applyAlignment="1"/>
    <xf numFmtId="0" fontId="32" fillId="5" borderId="75" xfId="0" applyFont="1" applyFill="1" applyBorder="1"/>
    <xf numFmtId="0" fontId="32" fillId="0" borderId="76" xfId="0" applyFont="1" applyBorder="1" applyAlignment="1"/>
    <xf numFmtId="9" fontId="32" fillId="0" borderId="74" xfId="0" applyNumberFormat="1" applyFont="1" applyBorder="1" applyAlignment="1"/>
    <xf numFmtId="0" fontId="25" fillId="2" borderId="34" xfId="1" applyFill="1" applyBorder="1" applyAlignment="1">
      <alignment horizontal="left" indent="4"/>
    </xf>
    <xf numFmtId="0" fontId="39" fillId="0" borderId="0" xfId="0" applyFont="1" applyFill="1" applyAlignment="1">
      <alignment horizontal="left" indent="1"/>
    </xf>
    <xf numFmtId="0" fontId="32" fillId="0" borderId="87" xfId="0" applyFont="1" applyFill="1" applyBorder="1" applyAlignment="1"/>
    <xf numFmtId="3" fontId="39" fillId="0" borderId="19" xfId="0" applyNumberFormat="1" applyFont="1" applyFill="1" applyBorder="1" applyAlignment="1"/>
    <xf numFmtId="3" fontId="39" fillId="0" borderId="27" xfId="0" applyNumberFormat="1" applyFont="1" applyFill="1" applyBorder="1" applyAlignment="1"/>
    <xf numFmtId="169" fontId="39" fillId="0" borderId="20" xfId="0" applyNumberFormat="1" applyFont="1" applyFill="1" applyBorder="1" applyAlignment="1"/>
    <xf numFmtId="9" fontId="39" fillId="0" borderId="72" xfId="0" applyNumberFormat="1" applyFont="1" applyBorder="1"/>
    <xf numFmtId="9" fontId="32" fillId="0" borderId="76" xfId="0" applyNumberFormat="1" applyFont="1" applyBorder="1"/>
    <xf numFmtId="9" fontId="32" fillId="0" borderId="74" xfId="0" applyNumberFormat="1" applyFont="1" applyBorder="1"/>
    <xf numFmtId="0" fontId="40" fillId="0" borderId="87" xfId="0" applyFont="1" applyFill="1" applyBorder="1" applyAlignment="1"/>
    <xf numFmtId="0" fontId="39" fillId="3" borderId="26" xfId="0" applyFont="1" applyFill="1" applyBorder="1" applyAlignment="1"/>
    <xf numFmtId="0" fontId="32" fillId="0" borderId="37" xfId="0" applyFont="1" applyBorder="1" applyAlignment="1"/>
    <xf numFmtId="0" fontId="39" fillId="2" borderId="26" xfId="0" applyFont="1" applyFill="1" applyBorder="1" applyAlignment="1"/>
    <xf numFmtId="0" fontId="39" fillId="4" borderId="26" xfId="0" applyFont="1" applyFill="1" applyBorder="1" applyAlignment="1"/>
    <xf numFmtId="0" fontId="42" fillId="0" borderId="1" xfId="0" applyFont="1" applyFill="1" applyBorder="1" applyAlignment="1"/>
    <xf numFmtId="0" fontId="42" fillId="0" borderId="1" xfId="0" applyFont="1" applyBorder="1" applyAlignment="1"/>
    <xf numFmtId="0" fontId="30" fillId="5" borderId="16" xfId="81" applyFont="1" applyFill="1" applyBorder="1" applyAlignment="1">
      <alignment horizontal="center" vertical="center"/>
    </xf>
    <xf numFmtId="0" fontId="41" fillId="0" borderId="2" xfId="0" applyFont="1" applyBorder="1" applyAlignment="1">
      <alignment horizontal="center" vertical="center"/>
    </xf>
    <xf numFmtId="0" fontId="31" fillId="2" borderId="40" xfId="81" applyFont="1" applyFill="1" applyBorder="1" applyAlignment="1">
      <alignment horizontal="center"/>
    </xf>
    <xf numFmtId="0" fontId="31" fillId="2" borderId="41" xfId="81" applyFont="1" applyFill="1" applyBorder="1" applyAlignment="1">
      <alignment horizontal="center"/>
    </xf>
    <xf numFmtId="0" fontId="31" fillId="2" borderId="38" xfId="81" applyFont="1" applyFill="1" applyBorder="1" applyAlignment="1">
      <alignment horizontal="center"/>
    </xf>
    <xf numFmtId="0" fontId="31" fillId="2" borderId="58" xfId="81" applyFont="1" applyFill="1" applyBorder="1" applyAlignment="1">
      <alignment horizontal="center"/>
    </xf>
    <xf numFmtId="0" fontId="31" fillId="2" borderId="39" xfId="81" applyFont="1" applyFill="1" applyBorder="1" applyAlignment="1">
      <alignment horizontal="center"/>
    </xf>
    <xf numFmtId="0" fontId="2" fillId="0" borderId="1" xfId="0" applyFont="1" applyFill="1" applyBorder="1" applyAlignment="1"/>
    <xf numFmtId="0" fontId="38" fillId="2" borderId="24" xfId="0" applyFont="1" applyFill="1" applyBorder="1" applyAlignment="1">
      <alignment horizontal="center" vertical="center"/>
    </xf>
    <xf numFmtId="0" fontId="32" fillId="2" borderId="2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10" xfId="0" applyFont="1" applyFill="1" applyBorder="1" applyAlignment="1">
      <alignment horizontal="center" vertical="center"/>
    </xf>
    <xf numFmtId="0" fontId="5" fillId="0" borderId="1" xfId="0" applyFont="1" applyFill="1" applyBorder="1" applyAlignment="1"/>
    <xf numFmtId="0" fontId="32" fillId="2" borderId="8" xfId="0" applyFont="1" applyFill="1" applyBorder="1" applyAlignment="1">
      <alignment horizontal="center" vertical="center"/>
    </xf>
    <xf numFmtId="0" fontId="32" fillId="2" borderId="9" xfId="0" applyFont="1" applyFill="1" applyBorder="1" applyAlignment="1">
      <alignment horizontal="center" vertical="center"/>
    </xf>
    <xf numFmtId="0" fontId="38" fillId="2" borderId="29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0" fontId="32" fillId="2" borderId="23" xfId="0" applyFont="1" applyFill="1" applyBorder="1" applyAlignment="1">
      <alignment horizontal="center" vertical="center" wrapText="1"/>
    </xf>
    <xf numFmtId="0" fontId="36" fillId="2" borderId="9" xfId="0" applyFont="1" applyFill="1" applyBorder="1" applyAlignment="1">
      <alignment horizontal="center" vertical="center" wrapText="1"/>
    </xf>
    <xf numFmtId="0" fontId="36" fillId="2" borderId="10" xfId="0" applyFont="1" applyFill="1" applyBorder="1" applyAlignment="1">
      <alignment horizontal="center" vertical="center" wrapText="1"/>
    </xf>
    <xf numFmtId="0" fontId="32" fillId="2" borderId="22" xfId="0" applyFont="1" applyFill="1" applyBorder="1" applyAlignment="1">
      <alignment horizontal="center" vertical="center" wrapText="1"/>
    </xf>
    <xf numFmtId="0" fontId="31" fillId="2" borderId="93" xfId="81" applyFont="1" applyFill="1" applyBorder="1" applyAlignment="1">
      <alignment horizontal="center"/>
    </xf>
    <xf numFmtId="0" fontId="31" fillId="2" borderId="91" xfId="81" applyFont="1" applyFill="1" applyBorder="1" applyAlignment="1">
      <alignment horizontal="center"/>
    </xf>
    <xf numFmtId="0" fontId="31" fillId="2" borderId="70" xfId="81" applyFont="1" applyFill="1" applyBorder="1" applyAlignment="1">
      <alignment horizontal="center"/>
    </xf>
    <xf numFmtId="0" fontId="31" fillId="2" borderId="92" xfId="81" applyFont="1" applyFill="1" applyBorder="1" applyAlignment="1">
      <alignment horizontal="center"/>
    </xf>
    <xf numFmtId="0" fontId="31" fillId="2" borderId="83" xfId="81" applyFont="1" applyFill="1" applyBorder="1" applyAlignment="1">
      <alignment horizontal="center"/>
    </xf>
    <xf numFmtId="0" fontId="2" fillId="0" borderId="1" xfId="14" applyFont="1" applyFill="1" applyBorder="1" applyAlignment="1"/>
    <xf numFmtId="0" fontId="42" fillId="0" borderId="1" xfId="14" applyFont="1" applyFill="1" applyBorder="1" applyAlignment="1"/>
    <xf numFmtId="0" fontId="0" fillId="0" borderId="1" xfId="0" applyBorder="1" applyAlignment="1"/>
    <xf numFmtId="164" fontId="31" fillId="0" borderId="0" xfId="53" applyNumberFormat="1" applyFont="1" applyFill="1" applyBorder="1" applyAlignment="1">
      <alignment horizontal="center"/>
    </xf>
    <xf numFmtId="164" fontId="29" fillId="0" borderId="0" xfId="79" applyNumberFormat="1" applyFont="1" applyFill="1" applyBorder="1" applyAlignment="1">
      <alignment horizontal="center"/>
    </xf>
    <xf numFmtId="164" fontId="31" fillId="2" borderId="24" xfId="53" applyNumberFormat="1" applyFont="1" applyFill="1" applyBorder="1" applyAlignment="1">
      <alignment horizontal="right"/>
    </xf>
    <xf numFmtId="164" fontId="29" fillId="2" borderId="29" xfId="79" applyNumberFormat="1" applyFont="1" applyFill="1" applyBorder="1" applyAlignment="1">
      <alignment horizontal="right"/>
    </xf>
    <xf numFmtId="164" fontId="43" fillId="0" borderId="1" xfId="14" applyNumberFormat="1" applyFont="1" applyFill="1" applyBorder="1" applyAlignment="1"/>
    <xf numFmtId="0" fontId="5" fillId="0" borderId="1" xfId="14" applyFont="1" applyFill="1" applyBorder="1" applyAlignment="1"/>
    <xf numFmtId="9" fontId="3" fillId="2" borderId="96" xfId="80" applyNumberFormat="1" applyFont="1" applyFill="1" applyBorder="1" applyAlignment="1">
      <alignment horizontal="left"/>
    </xf>
    <xf numFmtId="9" fontId="3" fillId="2" borderId="5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3" fontId="3" fillId="2" borderId="3" xfId="80" applyNumberFormat="1" applyFont="1" applyFill="1" applyBorder="1" applyAlignment="1">
      <alignment horizontal="left"/>
    </xf>
    <xf numFmtId="3" fontId="3" fillId="2" borderId="95" xfId="80" applyNumberFormat="1" applyFont="1" applyFill="1" applyBorder="1" applyAlignment="1">
      <alignment horizontal="left"/>
    </xf>
    <xf numFmtId="3" fontId="3" fillId="2" borderId="85" xfId="80" applyNumberFormat="1" applyFont="1" applyFill="1" applyBorder="1" applyAlignment="1">
      <alignment horizontal="left"/>
    </xf>
    <xf numFmtId="0" fontId="2" fillId="0" borderId="1" xfId="26" applyFont="1" applyFill="1" applyBorder="1" applyAlignment="1"/>
    <xf numFmtId="166" fontId="39" fillId="2" borderId="62" xfId="0" applyNumberFormat="1" applyFont="1" applyFill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0" fontId="2" fillId="0" borderId="1" xfId="0" applyFont="1" applyFill="1" applyBorder="1" applyAlignment="1">
      <alignment wrapText="1"/>
    </xf>
    <xf numFmtId="0" fontId="39" fillId="2" borderId="50" xfId="0" applyFont="1" applyFill="1" applyBorder="1" applyAlignment="1">
      <alignment vertical="center"/>
    </xf>
    <xf numFmtId="3" fontId="31" fillId="2" borderId="52" xfId="26" applyNumberFormat="1" applyFont="1" applyFill="1" applyBorder="1" applyAlignment="1">
      <alignment horizontal="center"/>
    </xf>
    <xf numFmtId="3" fontId="31" fillId="2" borderId="42" xfId="26" applyNumberFormat="1" applyFont="1" applyFill="1" applyBorder="1" applyAlignment="1">
      <alignment horizontal="center"/>
    </xf>
    <xf numFmtId="3" fontId="31" fillId="2" borderId="43" xfId="26" applyNumberFormat="1" applyFont="1" applyFill="1" applyBorder="1" applyAlignment="1">
      <alignment horizontal="center"/>
    </xf>
    <xf numFmtId="3" fontId="31" fillId="2" borderId="94" xfId="26" applyNumberFormat="1" applyFont="1" applyFill="1" applyBorder="1" applyAlignment="1">
      <alignment horizontal="center"/>
    </xf>
    <xf numFmtId="3" fontId="31" fillId="2" borderId="87" xfId="26" applyNumberFormat="1" applyFont="1" applyFill="1" applyBorder="1" applyAlignment="1">
      <alignment horizontal="center"/>
    </xf>
    <xf numFmtId="3" fontId="31" fillId="2" borderId="62" xfId="26" applyNumberFormat="1" applyFont="1" applyFill="1" applyBorder="1" applyAlignment="1">
      <alignment horizontal="center"/>
    </xf>
    <xf numFmtId="3" fontId="31" fillId="2" borderId="43" xfId="0" applyNumberFormat="1" applyFont="1" applyFill="1" applyBorder="1" applyAlignment="1">
      <alignment horizontal="center" vertical="top"/>
    </xf>
    <xf numFmtId="0" fontId="31" fillId="2" borderId="30" xfId="0" applyFont="1" applyFill="1" applyBorder="1" applyAlignment="1">
      <alignment horizontal="center" vertical="top" wrapText="1"/>
    </xf>
    <xf numFmtId="0" fontId="31" fillId="2" borderId="30" xfId="0" applyFont="1" applyFill="1" applyBorder="1" applyAlignment="1">
      <alignment horizontal="center" vertical="top"/>
    </xf>
    <xf numFmtId="0" fontId="31" fillId="2" borderId="30" xfId="0" applyFont="1" applyFill="1" applyBorder="1" applyAlignment="1">
      <alignment horizontal="center" vertical="center"/>
    </xf>
    <xf numFmtId="0" fontId="31" fillId="2" borderId="52" xfId="0" quotePrefix="1" applyFont="1" applyFill="1" applyBorder="1" applyAlignment="1">
      <alignment horizontal="center"/>
    </xf>
    <xf numFmtId="0" fontId="31" fillId="2" borderId="43" xfId="0" applyFont="1" applyFill="1" applyBorder="1" applyAlignment="1">
      <alignment horizontal="center"/>
    </xf>
    <xf numFmtId="9" fontId="44" fillId="2" borderId="43" xfId="0" applyNumberFormat="1" applyFont="1" applyFill="1" applyBorder="1" applyAlignment="1">
      <alignment horizontal="center" vertical="top"/>
    </xf>
    <xf numFmtId="0" fontId="31" fillId="2" borderId="61" xfId="0" applyNumberFormat="1" applyFont="1" applyFill="1" applyBorder="1" applyAlignment="1">
      <alignment horizontal="center" vertical="top"/>
    </xf>
    <xf numFmtId="0" fontId="31" fillId="2" borderId="61" xfId="0" applyFont="1" applyFill="1" applyBorder="1" applyAlignment="1">
      <alignment horizontal="center" vertical="top" wrapText="1"/>
    </xf>
    <xf numFmtId="0" fontId="31" fillId="2" borderId="52" xfId="0" quotePrefix="1" applyNumberFormat="1" applyFont="1" applyFill="1" applyBorder="1" applyAlignment="1">
      <alignment horizontal="center"/>
    </xf>
    <xf numFmtId="0" fontId="31" fillId="2" borderId="43" xfId="0" applyNumberFormat="1" applyFont="1" applyFill="1" applyBorder="1" applyAlignment="1">
      <alignment horizontal="center"/>
    </xf>
    <xf numFmtId="49" fontId="31" fillId="2" borderId="30" xfId="0" applyNumberFormat="1" applyFont="1" applyFill="1" applyBorder="1" applyAlignment="1">
      <alignment horizontal="center" vertical="top"/>
    </xf>
    <xf numFmtId="0" fontId="44" fillId="2" borderId="43" xfId="0" applyNumberFormat="1" applyFont="1" applyFill="1" applyBorder="1" applyAlignment="1">
      <alignment horizontal="center" vertical="top"/>
    </xf>
    <xf numFmtId="3" fontId="33" fillId="9" borderId="98" xfId="0" applyNumberFormat="1" applyFont="1" applyFill="1" applyBorder="1" applyAlignment="1">
      <alignment horizontal="right" vertical="top"/>
    </xf>
    <xf numFmtId="3" fontId="33" fillId="9" borderId="99" xfId="0" applyNumberFormat="1" applyFont="1" applyFill="1" applyBorder="1" applyAlignment="1">
      <alignment horizontal="right" vertical="top"/>
    </xf>
    <xf numFmtId="176" fontId="33" fillId="9" borderId="100" xfId="0" applyNumberFormat="1" applyFont="1" applyFill="1" applyBorder="1" applyAlignment="1">
      <alignment horizontal="right" vertical="top"/>
    </xf>
    <xf numFmtId="3" fontId="33" fillId="0" borderId="98" xfId="0" applyNumberFormat="1" applyFont="1" applyBorder="1" applyAlignment="1">
      <alignment horizontal="right" vertical="top"/>
    </xf>
    <xf numFmtId="176" fontId="33" fillId="9" borderId="101" xfId="0" applyNumberFormat="1" applyFont="1" applyFill="1" applyBorder="1" applyAlignment="1">
      <alignment horizontal="right" vertical="top"/>
    </xf>
    <xf numFmtId="3" fontId="35" fillId="9" borderId="103" xfId="0" applyNumberFormat="1" applyFont="1" applyFill="1" applyBorder="1" applyAlignment="1">
      <alignment horizontal="right" vertical="top"/>
    </xf>
    <xf numFmtId="3" fontId="35" fillId="9" borderId="104" xfId="0" applyNumberFormat="1" applyFont="1" applyFill="1" applyBorder="1" applyAlignment="1">
      <alignment horizontal="right" vertical="top"/>
    </xf>
    <xf numFmtId="176" fontId="35" fillId="9" borderId="105" xfId="0" applyNumberFormat="1" applyFont="1" applyFill="1" applyBorder="1" applyAlignment="1">
      <alignment horizontal="right" vertical="top"/>
    </xf>
    <xf numFmtId="3" fontId="35" fillId="0" borderId="103" xfId="0" applyNumberFormat="1" applyFont="1" applyBorder="1" applyAlignment="1">
      <alignment horizontal="right" vertical="top"/>
    </xf>
    <xf numFmtId="0" fontId="35" fillId="9" borderId="106" xfId="0" applyFont="1" applyFill="1" applyBorder="1" applyAlignment="1">
      <alignment horizontal="right" vertical="top"/>
    </xf>
    <xf numFmtId="0" fontId="33" fillId="9" borderId="101" xfId="0" applyFont="1" applyFill="1" applyBorder="1" applyAlignment="1">
      <alignment horizontal="right" vertical="top"/>
    </xf>
    <xf numFmtId="176" fontId="35" fillId="9" borderId="106" xfId="0" applyNumberFormat="1" applyFont="1" applyFill="1" applyBorder="1" applyAlignment="1">
      <alignment horizontal="right" vertical="top"/>
    </xf>
    <xf numFmtId="0" fontId="33" fillId="9" borderId="100" xfId="0" applyFont="1" applyFill="1" applyBorder="1" applyAlignment="1">
      <alignment horizontal="right" vertical="top"/>
    </xf>
    <xf numFmtId="0" fontId="35" fillId="9" borderId="105" xfId="0" applyFont="1" applyFill="1" applyBorder="1" applyAlignment="1">
      <alignment horizontal="right" vertical="top"/>
    </xf>
    <xf numFmtId="3" fontId="35" fillId="0" borderId="107" xfId="0" applyNumberFormat="1" applyFont="1" applyBorder="1" applyAlignment="1">
      <alignment horizontal="right" vertical="top"/>
    </xf>
    <xf numFmtId="3" fontId="35" fillId="0" borderId="108" xfId="0" applyNumberFormat="1" applyFont="1" applyBorder="1" applyAlignment="1">
      <alignment horizontal="right" vertical="top"/>
    </xf>
    <xf numFmtId="3" fontId="35" fillId="0" borderId="109" xfId="0" applyNumberFormat="1" applyFont="1" applyBorder="1" applyAlignment="1">
      <alignment horizontal="right" vertical="top"/>
    </xf>
    <xf numFmtId="176" fontId="35" fillId="9" borderId="110" xfId="0" applyNumberFormat="1" applyFont="1" applyFill="1" applyBorder="1" applyAlignment="1">
      <alignment horizontal="right" vertical="top"/>
    </xf>
    <xf numFmtId="0" fontId="37" fillId="10" borderId="97" xfId="0" applyFont="1" applyFill="1" applyBorder="1" applyAlignment="1">
      <alignment vertical="top"/>
    </xf>
    <xf numFmtId="0" fontId="37" fillId="10" borderId="97" xfId="0" applyFont="1" applyFill="1" applyBorder="1" applyAlignment="1">
      <alignment vertical="top" indent="2"/>
    </xf>
    <xf numFmtId="0" fontId="37" fillId="10" borderId="97" xfId="0" applyFont="1" applyFill="1" applyBorder="1" applyAlignment="1">
      <alignment vertical="top" indent="4"/>
    </xf>
    <xf numFmtId="0" fontId="38" fillId="10" borderId="102" xfId="0" applyFont="1" applyFill="1" applyBorder="1" applyAlignment="1">
      <alignment vertical="top" indent="6"/>
    </xf>
    <xf numFmtId="0" fontId="37" fillId="10" borderId="97" xfId="0" applyFont="1" applyFill="1" applyBorder="1" applyAlignment="1">
      <alignment vertical="top" indent="8"/>
    </xf>
    <xf numFmtId="0" fontId="38" fillId="10" borderId="102" xfId="0" applyFont="1" applyFill="1" applyBorder="1" applyAlignment="1">
      <alignment vertical="top" indent="2"/>
    </xf>
    <xf numFmtId="0" fontId="37" fillId="10" borderId="97" xfId="0" applyFont="1" applyFill="1" applyBorder="1" applyAlignment="1">
      <alignment vertical="top" indent="6"/>
    </xf>
    <xf numFmtId="0" fontId="38" fillId="10" borderId="102" xfId="0" applyFont="1" applyFill="1" applyBorder="1" applyAlignment="1">
      <alignment vertical="top" indent="4"/>
    </xf>
    <xf numFmtId="0" fontId="32" fillId="10" borderId="97" xfId="0" applyFont="1" applyFill="1" applyBorder="1"/>
    <xf numFmtId="0" fontId="38" fillId="10" borderId="18" xfId="0" applyFont="1" applyFill="1" applyBorder="1" applyAlignment="1">
      <alignment vertical="top"/>
    </xf>
    <xf numFmtId="0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right"/>
    </xf>
    <xf numFmtId="9" fontId="29" fillId="0" borderId="0" xfId="0" applyNumberFormat="1" applyFont="1" applyFill="1" applyBorder="1" applyAlignment="1">
      <alignment horizontal="right"/>
    </xf>
    <xf numFmtId="3" fontId="29" fillId="0" borderId="0" xfId="0" applyNumberFormat="1" applyFont="1" applyFill="1" applyBorder="1"/>
    <xf numFmtId="164" fontId="31" fillId="2" borderId="111" xfId="53" applyNumberFormat="1" applyFont="1" applyFill="1" applyBorder="1" applyAlignment="1">
      <alignment horizontal="left"/>
    </xf>
    <xf numFmtId="164" fontId="31" fillId="2" borderId="112" xfId="53" applyNumberFormat="1" applyFont="1" applyFill="1" applyBorder="1" applyAlignment="1">
      <alignment horizontal="left"/>
    </xf>
    <xf numFmtId="164" fontId="31" fillId="2" borderId="48" xfId="53" applyNumberFormat="1" applyFont="1" applyFill="1" applyBorder="1" applyAlignment="1">
      <alignment horizontal="left"/>
    </xf>
    <xf numFmtId="3" fontId="31" fillId="2" borderId="48" xfId="53" applyNumberFormat="1" applyFont="1" applyFill="1" applyBorder="1" applyAlignment="1">
      <alignment horizontal="left"/>
    </xf>
    <xf numFmtId="3" fontId="31" fillId="2" borderId="53" xfId="53" applyNumberFormat="1" applyFont="1" applyFill="1" applyBorder="1" applyAlignment="1">
      <alignment horizontal="left"/>
    </xf>
    <xf numFmtId="0" fontId="32" fillId="0" borderId="63" xfId="0" applyFont="1" applyFill="1" applyBorder="1"/>
    <xf numFmtId="0" fontId="32" fillId="0" borderId="64" xfId="0" applyFont="1" applyFill="1" applyBorder="1"/>
    <xf numFmtId="164" fontId="32" fillId="0" borderId="64" xfId="0" applyNumberFormat="1" applyFont="1" applyFill="1" applyBorder="1"/>
    <xf numFmtId="164" fontId="32" fillId="0" borderId="64" xfId="0" applyNumberFormat="1" applyFont="1" applyFill="1" applyBorder="1" applyAlignment="1">
      <alignment horizontal="right"/>
    </xf>
    <xf numFmtId="3" fontId="32" fillId="0" borderId="64" xfId="0" applyNumberFormat="1" applyFont="1" applyFill="1" applyBorder="1"/>
    <xf numFmtId="3" fontId="32" fillId="0" borderId="65" xfId="0" applyNumberFormat="1" applyFont="1" applyFill="1" applyBorder="1"/>
    <xf numFmtId="0" fontId="32" fillId="0" borderId="73" xfId="0" applyFont="1" applyFill="1" applyBorder="1"/>
    <xf numFmtId="0" fontId="32" fillId="0" borderId="74" xfId="0" applyFont="1" applyFill="1" applyBorder="1"/>
    <xf numFmtId="164" fontId="32" fillId="0" borderId="74" xfId="0" applyNumberFormat="1" applyFont="1" applyFill="1" applyBorder="1"/>
    <xf numFmtId="164" fontId="32" fillId="0" borderId="74" xfId="0" applyNumberFormat="1" applyFont="1" applyFill="1" applyBorder="1" applyAlignment="1">
      <alignment horizontal="right"/>
    </xf>
    <xf numFmtId="3" fontId="32" fillId="0" borderId="74" xfId="0" applyNumberFormat="1" applyFont="1" applyFill="1" applyBorder="1"/>
    <xf numFmtId="3" fontId="32" fillId="0" borderId="75" xfId="0" applyNumberFormat="1" applyFont="1" applyFill="1" applyBorder="1"/>
    <xf numFmtId="0" fontId="32" fillId="0" borderId="66" xfId="0" applyFont="1" applyFill="1" applyBorder="1"/>
    <xf numFmtId="0" fontId="32" fillId="0" borderId="67" xfId="0" applyFont="1" applyFill="1" applyBorder="1"/>
    <xf numFmtId="164" fontId="32" fillId="0" borderId="67" xfId="0" applyNumberFormat="1" applyFont="1" applyFill="1" applyBorder="1"/>
    <xf numFmtId="164" fontId="32" fillId="0" borderId="67" xfId="0" applyNumberFormat="1" applyFont="1" applyFill="1" applyBorder="1" applyAlignment="1">
      <alignment horizontal="right"/>
    </xf>
    <xf numFmtId="3" fontId="32" fillId="0" borderId="67" xfId="0" applyNumberFormat="1" applyFont="1" applyFill="1" applyBorder="1"/>
    <xf numFmtId="3" fontId="32" fillId="0" borderId="68" xfId="0" applyNumberFormat="1" applyFont="1" applyFill="1" applyBorder="1"/>
    <xf numFmtId="0" fontId="3" fillId="2" borderId="111" xfId="79" applyFont="1" applyFill="1" applyBorder="1" applyAlignment="1">
      <alignment horizontal="left"/>
    </xf>
    <xf numFmtId="3" fontId="3" fillId="2" borderId="80" xfId="80" applyNumberFormat="1" applyFont="1" applyFill="1" applyBorder="1"/>
    <xf numFmtId="3" fontId="3" fillId="2" borderId="81" xfId="80" applyNumberFormat="1" applyFont="1" applyFill="1" applyBorder="1"/>
    <xf numFmtId="9" fontId="3" fillId="2" borderId="79" xfId="80" applyNumberFormat="1" applyFont="1" applyFill="1" applyBorder="1"/>
    <xf numFmtId="9" fontId="3" fillId="2" borderId="80" xfId="80" applyNumberFormat="1" applyFont="1" applyFill="1" applyBorder="1"/>
    <xf numFmtId="9" fontId="3" fillId="2" borderId="81" xfId="80" applyNumberFormat="1" applyFont="1" applyFill="1" applyBorder="1"/>
    <xf numFmtId="0" fontId="39" fillId="0" borderId="63" xfId="0" applyFont="1" applyFill="1" applyBorder="1"/>
    <xf numFmtId="9" fontId="32" fillId="0" borderId="64" xfId="0" applyNumberFormat="1" applyFont="1" applyFill="1" applyBorder="1"/>
    <xf numFmtId="9" fontId="32" fillId="0" borderId="65" xfId="0" applyNumberFormat="1" applyFont="1" applyFill="1" applyBorder="1"/>
    <xf numFmtId="9" fontId="32" fillId="0" borderId="67" xfId="0" applyNumberFormat="1" applyFont="1" applyFill="1" applyBorder="1"/>
    <xf numFmtId="9" fontId="32" fillId="0" borderId="68" xfId="0" applyNumberFormat="1" applyFont="1" applyFill="1" applyBorder="1"/>
    <xf numFmtId="0" fontId="39" fillId="0" borderId="93" xfId="0" applyFont="1" applyFill="1" applyBorder="1"/>
    <xf numFmtId="0" fontId="39" fillId="0" borderId="92" xfId="0" applyFont="1" applyFill="1" applyBorder="1" applyAlignment="1">
      <alignment horizontal="left" indent="1"/>
    </xf>
    <xf numFmtId="9" fontId="32" fillId="0" borderId="86" xfId="0" applyNumberFormat="1" applyFont="1" applyFill="1" applyBorder="1"/>
    <xf numFmtId="9" fontId="32" fillId="0" borderId="84" xfId="0" applyNumberFormat="1" applyFont="1" applyFill="1" applyBorder="1"/>
    <xf numFmtId="3" fontId="32" fillId="0" borderId="63" xfId="0" applyNumberFormat="1" applyFont="1" applyFill="1" applyBorder="1"/>
    <xf numFmtId="3" fontId="32" fillId="0" borderId="66" xfId="0" applyNumberFormat="1" applyFont="1" applyFill="1" applyBorder="1"/>
    <xf numFmtId="9" fontId="32" fillId="0" borderId="90" xfId="0" applyNumberFormat="1" applyFont="1" applyFill="1" applyBorder="1"/>
    <xf numFmtId="9" fontId="32" fillId="0" borderId="89" xfId="0" applyNumberFormat="1" applyFont="1" applyFill="1" applyBorder="1"/>
    <xf numFmtId="173" fontId="39" fillId="4" borderId="113" xfId="0" applyNumberFormat="1" applyFont="1" applyFill="1" applyBorder="1" applyAlignment="1">
      <alignment horizontal="center"/>
    </xf>
    <xf numFmtId="173" fontId="39" fillId="4" borderId="114" xfId="0" applyNumberFormat="1" applyFont="1" applyFill="1" applyBorder="1" applyAlignment="1">
      <alignment horizontal="center"/>
    </xf>
    <xf numFmtId="173" fontId="32" fillId="0" borderId="115" xfId="0" applyNumberFormat="1" applyFont="1" applyBorder="1" applyAlignment="1">
      <alignment horizontal="right"/>
    </xf>
    <xf numFmtId="173" fontId="32" fillId="0" borderId="116" xfId="0" applyNumberFormat="1" applyFont="1" applyBorder="1" applyAlignment="1">
      <alignment horizontal="right"/>
    </xf>
    <xf numFmtId="173" fontId="32" fillId="0" borderId="116" xfId="0" applyNumberFormat="1" applyFont="1" applyBorder="1" applyAlignment="1">
      <alignment horizontal="right" wrapText="1"/>
    </xf>
    <xf numFmtId="175" fontId="32" fillId="0" borderId="115" xfId="0" applyNumberFormat="1" applyFont="1" applyBorder="1" applyAlignment="1">
      <alignment horizontal="right"/>
    </xf>
    <xf numFmtId="175" fontId="32" fillId="0" borderId="116" xfId="0" applyNumberFormat="1" applyFont="1" applyBorder="1" applyAlignment="1">
      <alignment horizontal="right"/>
    </xf>
    <xf numFmtId="173" fontId="32" fillId="0" borderId="117" xfId="0" applyNumberFormat="1" applyFont="1" applyBorder="1" applyAlignment="1">
      <alignment horizontal="right"/>
    </xf>
    <xf numFmtId="173" fontId="32" fillId="0" borderId="118" xfId="0" applyNumberFormat="1" applyFont="1" applyBorder="1" applyAlignment="1">
      <alignment horizontal="right"/>
    </xf>
    <xf numFmtId="0" fontId="39" fillId="2" borderId="90" xfId="0" applyFont="1" applyFill="1" applyBorder="1" applyAlignment="1">
      <alignment horizontal="center" vertical="center"/>
    </xf>
    <xf numFmtId="0" fontId="55" fillId="2" borderId="89" xfId="0" applyFont="1" applyFill="1" applyBorder="1" applyAlignment="1">
      <alignment horizontal="center" vertical="center" wrapText="1"/>
    </xf>
    <xf numFmtId="174" fontId="32" fillId="2" borderId="90" xfId="0" applyNumberFormat="1" applyFont="1" applyFill="1" applyBorder="1" applyAlignment="1"/>
    <xf numFmtId="174" fontId="32" fillId="0" borderId="88" xfId="0" applyNumberFormat="1" applyFont="1" applyBorder="1"/>
    <xf numFmtId="174" fontId="32" fillId="0" borderId="119" xfId="0" applyNumberFormat="1" applyFont="1" applyBorder="1"/>
    <xf numFmtId="173" fontId="39" fillId="4" borderId="90" xfId="0" applyNumberFormat="1" applyFont="1" applyFill="1" applyBorder="1" applyAlignment="1"/>
    <xf numFmtId="173" fontId="32" fillId="0" borderId="88" xfId="0" applyNumberFormat="1" applyFont="1" applyBorder="1"/>
    <xf numFmtId="173" fontId="32" fillId="0" borderId="89" xfId="0" applyNumberFormat="1" applyFont="1" applyBorder="1"/>
    <xf numFmtId="173" fontId="39" fillId="2" borderId="90" xfId="0" applyNumberFormat="1" applyFont="1" applyFill="1" applyBorder="1" applyAlignment="1"/>
    <xf numFmtId="173" fontId="32" fillId="0" borderId="119" xfId="0" applyNumberFormat="1" applyFont="1" applyBorder="1"/>
    <xf numFmtId="173" fontId="32" fillId="0" borderId="90" xfId="0" applyNumberFormat="1" applyFont="1" applyBorder="1"/>
    <xf numFmtId="9" fontId="32" fillId="0" borderId="88" xfId="0" applyNumberFormat="1" applyFont="1" applyBorder="1"/>
    <xf numFmtId="173" fontId="39" fillId="4" borderId="120" xfId="0" applyNumberFormat="1" applyFont="1" applyFill="1" applyBorder="1" applyAlignment="1">
      <alignment horizontal="center"/>
    </xf>
    <xf numFmtId="173" fontId="32" fillId="0" borderId="121" xfId="0" applyNumberFormat="1" applyFont="1" applyBorder="1" applyAlignment="1">
      <alignment horizontal="right"/>
    </xf>
    <xf numFmtId="175" fontId="32" fillId="0" borderId="121" xfId="0" applyNumberFormat="1" applyFont="1" applyBorder="1" applyAlignment="1">
      <alignment horizontal="right"/>
    </xf>
    <xf numFmtId="173" fontId="32" fillId="0" borderId="122" xfId="0" applyNumberFormat="1" applyFont="1" applyBorder="1" applyAlignment="1">
      <alignment horizontal="right"/>
    </xf>
    <xf numFmtId="0" fontId="0" fillId="0" borderId="15" xfId="0" applyBorder="1"/>
    <xf numFmtId="173" fontId="39" fillId="4" borderId="69" xfId="0" applyNumberFormat="1" applyFont="1" applyFill="1" applyBorder="1" applyAlignment="1">
      <alignment horizontal="center"/>
    </xf>
    <xf numFmtId="173" fontId="32" fillId="0" borderId="71" xfId="0" applyNumberFormat="1" applyFont="1" applyBorder="1" applyAlignment="1">
      <alignment horizontal="right"/>
    </xf>
    <xf numFmtId="175" fontId="32" fillId="0" borderId="71" xfId="0" applyNumberFormat="1" applyFont="1" applyBorder="1" applyAlignment="1">
      <alignment horizontal="right"/>
    </xf>
    <xf numFmtId="173" fontId="32" fillId="0" borderId="82" xfId="0" applyNumberFormat="1" applyFont="1" applyBorder="1" applyAlignment="1">
      <alignment horizontal="right"/>
    </xf>
    <xf numFmtId="0" fontId="32" fillId="2" borderId="53" xfId="0" applyFont="1" applyFill="1" applyBorder="1" applyAlignment="1">
      <alignment vertical="center"/>
    </xf>
    <xf numFmtId="0" fontId="31" fillId="2" borderId="15" xfId="26" applyNumberFormat="1" applyFont="1" applyFill="1" applyBorder="1"/>
    <xf numFmtId="0" fontId="31" fillId="2" borderId="0" xfId="26" applyNumberFormat="1" applyFont="1" applyFill="1" applyBorder="1"/>
    <xf numFmtId="0" fontId="31" fillId="2" borderId="16" xfId="26" applyNumberFormat="1" applyFont="1" applyFill="1" applyBorder="1" applyAlignment="1">
      <alignment horizontal="right"/>
    </xf>
    <xf numFmtId="169" fontId="32" fillId="0" borderId="27" xfId="0" applyNumberFormat="1" applyFont="1" applyFill="1" applyBorder="1"/>
    <xf numFmtId="0" fontId="32" fillId="0" borderId="27" xfId="0" applyFont="1" applyFill="1" applyBorder="1"/>
    <xf numFmtId="0" fontId="39" fillId="0" borderId="19" xfId="0" applyFont="1" applyFill="1" applyBorder="1"/>
    <xf numFmtId="0" fontId="59" fillId="0" borderId="0" xfId="0" applyFont="1" applyFill="1"/>
    <xf numFmtId="0" fontId="60" fillId="0" borderId="0" xfId="0" applyFont="1" applyFill="1"/>
    <xf numFmtId="0" fontId="31" fillId="2" borderId="16" xfId="26" applyNumberFormat="1" applyFont="1" applyFill="1" applyBorder="1"/>
    <xf numFmtId="169" fontId="32" fillId="0" borderId="64" xfId="0" applyNumberFormat="1" applyFont="1" applyFill="1" applyBorder="1"/>
    <xf numFmtId="169" fontId="32" fillId="0" borderId="65" xfId="0" applyNumberFormat="1" applyFont="1" applyFill="1" applyBorder="1"/>
    <xf numFmtId="169" fontId="32" fillId="0" borderId="74" xfId="0" applyNumberFormat="1" applyFont="1" applyFill="1" applyBorder="1"/>
    <xf numFmtId="169" fontId="32" fillId="0" borderId="75" xfId="0" applyNumberFormat="1" applyFont="1" applyFill="1" applyBorder="1"/>
    <xf numFmtId="169" fontId="32" fillId="0" borderId="67" xfId="0" applyNumberFormat="1" applyFont="1" applyFill="1" applyBorder="1"/>
    <xf numFmtId="169" fontId="32" fillId="0" borderId="68" xfId="0" applyNumberFormat="1" applyFont="1" applyFill="1" applyBorder="1"/>
    <xf numFmtId="0" fontId="39" fillId="0" borderId="73" xfId="0" applyFont="1" applyFill="1" applyBorder="1"/>
    <xf numFmtId="0" fontId="39" fillId="0" borderId="66" xfId="0" applyFont="1" applyFill="1" applyBorder="1"/>
    <xf numFmtId="0" fontId="32" fillId="2" borderId="31" xfId="0" applyFont="1" applyFill="1" applyBorder="1" applyAlignment="1">
      <alignment horizontal="center" vertical="top" wrapText="1"/>
    </xf>
    <xf numFmtId="0" fontId="31" fillId="2" borderId="31" xfId="0" applyFont="1" applyFill="1" applyBorder="1" applyAlignment="1">
      <alignment horizontal="center" vertical="top" wrapText="1"/>
    </xf>
    <xf numFmtId="0" fontId="31" fillId="2" borderId="31" xfId="0" applyFont="1" applyFill="1" applyBorder="1" applyAlignment="1">
      <alignment horizontal="center" vertical="top"/>
    </xf>
    <xf numFmtId="0" fontId="0" fillId="0" borderId="31" xfId="0" applyNumberFormat="1" applyBorder="1" applyAlignment="1">
      <alignment horizontal="center" vertical="top"/>
    </xf>
    <xf numFmtId="0" fontId="31" fillId="2" borderId="31" xfId="0" applyFont="1" applyFill="1" applyBorder="1" applyAlignment="1">
      <alignment horizontal="center" vertical="center"/>
    </xf>
    <xf numFmtId="3" fontId="31" fillId="2" borderId="15" xfId="0" applyNumberFormat="1" applyFont="1" applyFill="1" applyBorder="1" applyAlignment="1">
      <alignment horizontal="left"/>
    </xf>
    <xf numFmtId="3" fontId="31" fillId="2" borderId="16" xfId="0" applyNumberFormat="1" applyFont="1" applyFill="1" applyBorder="1" applyAlignment="1">
      <alignment horizontal="center"/>
    </xf>
    <xf numFmtId="3" fontId="31" fillId="2" borderId="0" xfId="0" applyNumberFormat="1" applyFont="1" applyFill="1" applyBorder="1" applyAlignment="1">
      <alignment horizontal="center"/>
    </xf>
    <xf numFmtId="9" fontId="44" fillId="2" borderId="16" xfId="0" applyNumberFormat="1" applyFont="1" applyFill="1" applyBorder="1" applyAlignment="1">
      <alignment horizontal="center" vertical="top"/>
    </xf>
    <xf numFmtId="3" fontId="31" fillId="2" borderId="16" xfId="0" applyNumberFormat="1" applyFont="1" applyFill="1" applyBorder="1" applyAlignment="1">
      <alignment horizontal="center" vertical="top"/>
    </xf>
    <xf numFmtId="9" fontId="32" fillId="0" borderId="74" xfId="0" applyNumberFormat="1" applyFont="1" applyFill="1" applyBorder="1"/>
    <xf numFmtId="9" fontId="32" fillId="0" borderId="75" xfId="0" applyNumberFormat="1" applyFont="1" applyFill="1" applyBorder="1"/>
    <xf numFmtId="49" fontId="31" fillId="2" borderId="31" xfId="0" applyNumberFormat="1" applyFont="1" applyFill="1" applyBorder="1" applyAlignment="1">
      <alignment horizontal="center" vertical="top"/>
    </xf>
    <xf numFmtId="0" fontId="31" fillId="2" borderId="15" xfId="0" applyNumberFormat="1" applyFont="1" applyFill="1" applyBorder="1" applyAlignment="1">
      <alignment horizontal="left"/>
    </xf>
    <xf numFmtId="0" fontId="31" fillId="2" borderId="16" xfId="0" applyNumberFormat="1" applyFont="1" applyFill="1" applyBorder="1" applyAlignment="1">
      <alignment horizontal="left"/>
    </xf>
    <xf numFmtId="0" fontId="31" fillId="2" borderId="0" xfId="0" applyNumberFormat="1" applyFont="1" applyFill="1" applyBorder="1" applyAlignment="1">
      <alignment horizontal="left"/>
    </xf>
    <xf numFmtId="0" fontId="44" fillId="2" borderId="16" xfId="0" applyNumberFormat="1" applyFont="1" applyFill="1" applyBorder="1" applyAlignment="1">
      <alignment horizontal="center" vertical="top"/>
    </xf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51"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Graf'!$B$4:$I$4</c:f>
              <c:numCache>
                <c:formatCode>General</c:formatCode>
                <c:ptCount val="8"/>
                <c:pt idx="0">
                  <c:v>0.32498034981432233</c:v>
                </c:pt>
                <c:pt idx="1">
                  <c:v>0.30184141430937139</c:v>
                </c:pt>
                <c:pt idx="2">
                  <c:v>0.29001689192977709</c:v>
                </c:pt>
                <c:pt idx="3">
                  <c:v>0.29230780340304424</c:v>
                </c:pt>
                <c:pt idx="4">
                  <c:v>0.28883195321294552</c:v>
                </c:pt>
                <c:pt idx="5">
                  <c:v>0.23092189190655923</c:v>
                </c:pt>
                <c:pt idx="6">
                  <c:v>0.19203060867758112</c:v>
                </c:pt>
                <c:pt idx="7">
                  <c:v>0.186306290079049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60164048"/>
        <c:axId val="-660164592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0.21257497097138139</c:v>
                </c:pt>
                <c:pt idx="1">
                  <c:v>0.21257497097138139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660169488"/>
        <c:axId val="-660163504"/>
      </c:scatterChart>
      <c:catAx>
        <c:axId val="-6601640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6601645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66016459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660164048"/>
        <c:crosses val="autoZero"/>
        <c:crossBetween val="between"/>
      </c:valAx>
      <c:valAx>
        <c:axId val="-660169488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660163504"/>
        <c:crosses val="max"/>
        <c:crossBetween val="midCat"/>
      </c:valAx>
      <c:valAx>
        <c:axId val="-660163504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660169488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23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05" bestFit="1" customWidth="1"/>
    <col min="2" max="2" width="102.21875" style="105" bestFit="1" customWidth="1"/>
    <col min="3" max="3" width="16.109375" style="42" hidden="1" customWidth="1"/>
    <col min="4" max="16384" width="8.88671875" style="105"/>
  </cols>
  <sheetData>
    <row r="1" spans="1:3" ht="18.600000000000001" customHeight="1" thickBot="1" x14ac:dyDescent="0.4">
      <c r="A1" s="293" t="s">
        <v>94</v>
      </c>
      <c r="B1" s="293"/>
    </row>
    <row r="2" spans="1:3" ht="14.4" customHeight="1" thickBot="1" x14ac:dyDescent="0.35">
      <c r="A2" s="202" t="s">
        <v>247</v>
      </c>
      <c r="B2" s="41"/>
    </row>
    <row r="3" spans="1:3" ht="14.4" customHeight="1" thickBot="1" x14ac:dyDescent="0.35">
      <c r="A3" s="289" t="s">
        <v>117</v>
      </c>
      <c r="B3" s="290"/>
    </row>
    <row r="4" spans="1:3" ht="14.4" customHeight="1" x14ac:dyDescent="0.3">
      <c r="A4" s="118" t="str">
        <f t="shared" ref="A4:A8" si="0">HYPERLINK("#'"&amp;C4&amp;"'!A1",C4)</f>
        <v>Motivace</v>
      </c>
      <c r="B4" s="64" t="s">
        <v>105</v>
      </c>
      <c r="C4" s="42" t="s">
        <v>106</v>
      </c>
    </row>
    <row r="5" spans="1:3" ht="14.4" customHeight="1" x14ac:dyDescent="0.3">
      <c r="A5" s="119" t="str">
        <f t="shared" si="0"/>
        <v>HI</v>
      </c>
      <c r="B5" s="65" t="s">
        <v>114</v>
      </c>
      <c r="C5" s="42" t="s">
        <v>97</v>
      </c>
    </row>
    <row r="6" spans="1:3" ht="14.4" customHeight="1" x14ac:dyDescent="0.3">
      <c r="A6" s="120" t="str">
        <f t="shared" si="0"/>
        <v>HI Graf</v>
      </c>
      <c r="B6" s="66" t="s">
        <v>90</v>
      </c>
      <c r="C6" s="42" t="s">
        <v>98</v>
      </c>
    </row>
    <row r="7" spans="1:3" ht="14.4" customHeight="1" x14ac:dyDescent="0.3">
      <c r="A7" s="120" t="str">
        <f t="shared" si="0"/>
        <v>Man Tab</v>
      </c>
      <c r="B7" s="66" t="s">
        <v>250</v>
      </c>
      <c r="C7" s="42" t="s">
        <v>99</v>
      </c>
    </row>
    <row r="8" spans="1:3" ht="14.4" customHeight="1" thickBot="1" x14ac:dyDescent="0.35">
      <c r="A8" s="121" t="str">
        <f t="shared" si="0"/>
        <v>HV</v>
      </c>
      <c r="B8" s="67" t="s">
        <v>47</v>
      </c>
      <c r="C8" s="42" t="s">
        <v>52</v>
      </c>
    </row>
    <row r="9" spans="1:3" ht="14.4" customHeight="1" thickBot="1" x14ac:dyDescent="0.35">
      <c r="A9" s="68"/>
      <c r="B9" s="68"/>
    </row>
    <row r="10" spans="1:3" ht="14.4" customHeight="1" thickBot="1" x14ac:dyDescent="0.35">
      <c r="A10" s="291" t="s">
        <v>95</v>
      </c>
      <c r="B10" s="290"/>
    </row>
    <row r="11" spans="1:3" ht="14.4" customHeight="1" x14ac:dyDescent="0.3">
      <c r="A11" s="122" t="str">
        <f t="shared" ref="A11" si="1">HYPERLINK("#'"&amp;C11&amp;"'!A1",C11)</f>
        <v>Léky Žádanky</v>
      </c>
      <c r="B11" s="65" t="s">
        <v>115</v>
      </c>
      <c r="C11" s="42" t="s">
        <v>100</v>
      </c>
    </row>
    <row r="12" spans="1:3" ht="14.4" customHeight="1" x14ac:dyDescent="0.3">
      <c r="A12" s="120" t="str">
        <f t="shared" ref="A12:A16" si="2">HYPERLINK("#'"&amp;C12&amp;"'!A1",C12)</f>
        <v>LŽ Detail</v>
      </c>
      <c r="B12" s="66" t="s">
        <v>132</v>
      </c>
      <c r="C12" s="42" t="s">
        <v>101</v>
      </c>
    </row>
    <row r="13" spans="1:3" ht="14.4" customHeight="1" x14ac:dyDescent="0.3">
      <c r="A13" s="120" t="str">
        <f t="shared" si="2"/>
        <v>LŽ Statim</v>
      </c>
      <c r="B13" s="276" t="s">
        <v>210</v>
      </c>
      <c r="C13" s="42" t="s">
        <v>220</v>
      </c>
    </row>
    <row r="14" spans="1:3" ht="14.4" customHeight="1" x14ac:dyDescent="0.3">
      <c r="A14" s="122" t="str">
        <f t="shared" ref="A14" si="3">HYPERLINK("#'"&amp;C14&amp;"'!A1",C14)</f>
        <v>Materiál Žádanky</v>
      </c>
      <c r="B14" s="66" t="s">
        <v>116</v>
      </c>
      <c r="C14" s="42" t="s">
        <v>102</v>
      </c>
    </row>
    <row r="15" spans="1:3" ht="14.4" customHeight="1" x14ac:dyDescent="0.3">
      <c r="A15" s="120" t="str">
        <f t="shared" si="2"/>
        <v>MŽ Detail</v>
      </c>
      <c r="B15" s="66" t="s">
        <v>424</v>
      </c>
      <c r="C15" s="42" t="s">
        <v>103</v>
      </c>
    </row>
    <row r="16" spans="1:3" ht="14.4" customHeight="1" thickBot="1" x14ac:dyDescent="0.35">
      <c r="A16" s="122" t="str">
        <f t="shared" si="2"/>
        <v>Osobní náklady</v>
      </c>
      <c r="B16" s="66" t="s">
        <v>92</v>
      </c>
      <c r="C16" s="42" t="s">
        <v>104</v>
      </c>
    </row>
    <row r="17" spans="1:3" ht="14.4" customHeight="1" thickBot="1" x14ac:dyDescent="0.35">
      <c r="A17" s="69"/>
      <c r="B17" s="69"/>
    </row>
    <row r="18" spans="1:3" ht="14.4" customHeight="1" thickBot="1" x14ac:dyDescent="0.35">
      <c r="A18" s="292" t="s">
        <v>96</v>
      </c>
      <c r="B18" s="290"/>
    </row>
    <row r="19" spans="1:3" ht="14.4" customHeight="1" x14ac:dyDescent="0.3">
      <c r="A19" s="123" t="str">
        <f t="shared" ref="A19:A23" si="4">HYPERLINK("#'"&amp;C19&amp;"'!A1",C19)</f>
        <v>ZV Vykáz.-A</v>
      </c>
      <c r="B19" s="65" t="s">
        <v>427</v>
      </c>
      <c r="C19" s="42" t="s">
        <v>107</v>
      </c>
    </row>
    <row r="20" spans="1:3" ht="14.4" customHeight="1" x14ac:dyDescent="0.3">
      <c r="A20" s="120" t="str">
        <f t="shared" ref="A20" si="5">HYPERLINK("#'"&amp;C20&amp;"'!A1",C20)</f>
        <v>ZV Vykáz.-A Lékaři</v>
      </c>
      <c r="B20" s="66" t="s">
        <v>435</v>
      </c>
      <c r="C20" s="42" t="s">
        <v>223</v>
      </c>
    </row>
    <row r="21" spans="1:3" ht="14.4" customHeight="1" x14ac:dyDescent="0.3">
      <c r="A21" s="120" t="str">
        <f t="shared" si="4"/>
        <v>ZV Vykáz.-A Detail</v>
      </c>
      <c r="B21" s="66" t="s">
        <v>456</v>
      </c>
      <c r="C21" s="42" t="s">
        <v>108</v>
      </c>
    </row>
    <row r="22" spans="1:3" ht="14.4" customHeight="1" x14ac:dyDescent="0.3">
      <c r="A22" s="120" t="str">
        <f t="shared" si="4"/>
        <v>ZV Vykáz.-H</v>
      </c>
      <c r="B22" s="66" t="s">
        <v>111</v>
      </c>
      <c r="C22" s="42" t="s">
        <v>109</v>
      </c>
    </row>
    <row r="23" spans="1:3" ht="14.4" customHeight="1" x14ac:dyDescent="0.3">
      <c r="A23" s="120" t="str">
        <f t="shared" si="4"/>
        <v>ZV Vykáz.-H Detail</v>
      </c>
      <c r="B23" s="66" t="s">
        <v>491</v>
      </c>
      <c r="C23" s="42" t="s">
        <v>110</v>
      </c>
    </row>
  </sheetData>
  <mergeCells count="4">
    <mergeCell ref="A3:B3"/>
    <mergeCell ref="A10:B10"/>
    <mergeCell ref="A18:B18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18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181" customWidth="1"/>
    <col min="2" max="2" width="61.109375" style="181" customWidth="1"/>
    <col min="3" max="3" width="9.5546875" style="105" customWidth="1"/>
    <col min="4" max="4" width="9.5546875" style="182" customWidth="1"/>
    <col min="5" max="5" width="2.21875" style="182" customWidth="1"/>
    <col min="6" max="6" width="9.5546875" style="183" customWidth="1"/>
    <col min="7" max="7" width="9.5546875" style="180" customWidth="1"/>
    <col min="8" max="9" width="9.5546875" style="105" customWidth="1"/>
    <col min="10" max="10" width="0" style="105" hidden="1" customWidth="1"/>
    <col min="11" max="16384" width="8.88671875" style="105"/>
  </cols>
  <sheetData>
    <row r="1" spans="1:10" ht="18.600000000000001" customHeight="1" thickBot="1" x14ac:dyDescent="0.4">
      <c r="A1" s="322" t="s">
        <v>116</v>
      </c>
      <c r="B1" s="323"/>
      <c r="C1" s="323"/>
      <c r="D1" s="323"/>
      <c r="E1" s="323"/>
      <c r="F1" s="323"/>
      <c r="G1" s="294"/>
      <c r="H1" s="324"/>
      <c r="I1" s="324"/>
    </row>
    <row r="2" spans="1:10" ht="14.4" customHeight="1" thickBot="1" x14ac:dyDescent="0.35">
      <c r="A2" s="202" t="s">
        <v>247</v>
      </c>
      <c r="B2" s="179"/>
      <c r="C2" s="179"/>
      <c r="D2" s="179"/>
      <c r="E2" s="179"/>
      <c r="F2" s="179"/>
    </row>
    <row r="3" spans="1:10" ht="14.4" customHeight="1" thickBot="1" x14ac:dyDescent="0.35">
      <c r="A3" s="202"/>
      <c r="B3" s="179"/>
      <c r="C3" s="260">
        <v>2013</v>
      </c>
      <c r="D3" s="261">
        <v>2014</v>
      </c>
      <c r="E3" s="7"/>
      <c r="F3" s="317">
        <v>2015</v>
      </c>
      <c r="G3" s="318"/>
      <c r="H3" s="318"/>
      <c r="I3" s="319"/>
    </row>
    <row r="4" spans="1:10" ht="14.4" customHeight="1" thickBot="1" x14ac:dyDescent="0.35">
      <c r="A4" s="265" t="s">
        <v>0</v>
      </c>
      <c r="B4" s="266" t="s">
        <v>209</v>
      </c>
      <c r="C4" s="320" t="s">
        <v>59</v>
      </c>
      <c r="D4" s="321"/>
      <c r="E4" s="267"/>
      <c r="F4" s="262" t="s">
        <v>59</v>
      </c>
      <c r="G4" s="263" t="s">
        <v>60</v>
      </c>
      <c r="H4" s="263" t="s">
        <v>54</v>
      </c>
      <c r="I4" s="264" t="s">
        <v>61</v>
      </c>
    </row>
    <row r="5" spans="1:10" ht="14.4" customHeight="1" x14ac:dyDescent="0.3">
      <c r="A5" s="389" t="s">
        <v>359</v>
      </c>
      <c r="B5" s="390" t="s">
        <v>360</v>
      </c>
      <c r="C5" s="391" t="s">
        <v>361</v>
      </c>
      <c r="D5" s="391" t="s">
        <v>361</v>
      </c>
      <c r="E5" s="391"/>
      <c r="F5" s="391" t="s">
        <v>361</v>
      </c>
      <c r="G5" s="391" t="s">
        <v>361</v>
      </c>
      <c r="H5" s="391" t="s">
        <v>361</v>
      </c>
      <c r="I5" s="392" t="s">
        <v>361</v>
      </c>
      <c r="J5" s="393" t="s">
        <v>55</v>
      </c>
    </row>
    <row r="6" spans="1:10" ht="14.4" customHeight="1" x14ac:dyDescent="0.3">
      <c r="A6" s="389" t="s">
        <v>359</v>
      </c>
      <c r="B6" s="390" t="s">
        <v>385</v>
      </c>
      <c r="C6" s="391">
        <v>0</v>
      </c>
      <c r="D6" s="391" t="s">
        <v>361</v>
      </c>
      <c r="E6" s="391"/>
      <c r="F6" s="391" t="s">
        <v>361</v>
      </c>
      <c r="G6" s="391" t="s">
        <v>361</v>
      </c>
      <c r="H6" s="391" t="s">
        <v>361</v>
      </c>
      <c r="I6" s="392" t="s">
        <v>361</v>
      </c>
      <c r="J6" s="393" t="s">
        <v>1</v>
      </c>
    </row>
    <row r="7" spans="1:10" ht="14.4" customHeight="1" x14ac:dyDescent="0.3">
      <c r="A7" s="389" t="s">
        <v>359</v>
      </c>
      <c r="B7" s="390" t="s">
        <v>257</v>
      </c>
      <c r="C7" s="391" t="s">
        <v>361</v>
      </c>
      <c r="D7" s="391" t="s">
        <v>361</v>
      </c>
      <c r="E7" s="391"/>
      <c r="F7" s="391">
        <v>0.28936000000000001</v>
      </c>
      <c r="G7" s="391">
        <v>0</v>
      </c>
      <c r="H7" s="391">
        <v>0.28936000000000001</v>
      </c>
      <c r="I7" s="392" t="s">
        <v>361</v>
      </c>
      <c r="J7" s="393" t="s">
        <v>1</v>
      </c>
    </row>
    <row r="8" spans="1:10" ht="14.4" customHeight="1" x14ac:dyDescent="0.3">
      <c r="A8" s="389" t="s">
        <v>359</v>
      </c>
      <c r="B8" s="390" t="s">
        <v>258</v>
      </c>
      <c r="C8" s="391">
        <v>0.04</v>
      </c>
      <c r="D8" s="391">
        <v>0</v>
      </c>
      <c r="E8" s="391"/>
      <c r="F8" s="391">
        <v>0.72186000000000006</v>
      </c>
      <c r="G8" s="391">
        <v>0</v>
      </c>
      <c r="H8" s="391">
        <v>0.72186000000000006</v>
      </c>
      <c r="I8" s="392" t="s">
        <v>361</v>
      </c>
      <c r="J8" s="393" t="s">
        <v>1</v>
      </c>
    </row>
    <row r="9" spans="1:10" ht="14.4" customHeight="1" x14ac:dyDescent="0.3">
      <c r="A9" s="389" t="s">
        <v>359</v>
      </c>
      <c r="B9" s="390" t="s">
        <v>362</v>
      </c>
      <c r="C9" s="391">
        <v>0.04</v>
      </c>
      <c r="D9" s="391">
        <v>0</v>
      </c>
      <c r="E9" s="391"/>
      <c r="F9" s="391">
        <v>1.01122</v>
      </c>
      <c r="G9" s="391">
        <v>0</v>
      </c>
      <c r="H9" s="391">
        <v>1.01122</v>
      </c>
      <c r="I9" s="392" t="s">
        <v>361</v>
      </c>
      <c r="J9" s="393" t="s">
        <v>363</v>
      </c>
    </row>
    <row r="11" spans="1:10" ht="14.4" customHeight="1" x14ac:dyDescent="0.3">
      <c r="A11" s="389" t="s">
        <v>359</v>
      </c>
      <c r="B11" s="390" t="s">
        <v>360</v>
      </c>
      <c r="C11" s="391" t="s">
        <v>361</v>
      </c>
      <c r="D11" s="391" t="s">
        <v>361</v>
      </c>
      <c r="E11" s="391"/>
      <c r="F11" s="391" t="s">
        <v>361</v>
      </c>
      <c r="G11" s="391" t="s">
        <v>361</v>
      </c>
      <c r="H11" s="391" t="s">
        <v>361</v>
      </c>
      <c r="I11" s="392" t="s">
        <v>361</v>
      </c>
      <c r="J11" s="393" t="s">
        <v>55</v>
      </c>
    </row>
    <row r="12" spans="1:10" ht="14.4" customHeight="1" x14ac:dyDescent="0.3">
      <c r="A12" s="389" t="s">
        <v>364</v>
      </c>
      <c r="B12" s="390" t="s">
        <v>365</v>
      </c>
      <c r="C12" s="391" t="s">
        <v>361</v>
      </c>
      <c r="D12" s="391" t="s">
        <v>361</v>
      </c>
      <c r="E12" s="391"/>
      <c r="F12" s="391" t="s">
        <v>361</v>
      </c>
      <c r="G12" s="391" t="s">
        <v>361</v>
      </c>
      <c r="H12" s="391" t="s">
        <v>361</v>
      </c>
      <c r="I12" s="392" t="s">
        <v>361</v>
      </c>
      <c r="J12" s="393" t="s">
        <v>0</v>
      </c>
    </row>
    <row r="13" spans="1:10" ht="14.4" customHeight="1" x14ac:dyDescent="0.3">
      <c r="A13" s="389" t="s">
        <v>364</v>
      </c>
      <c r="B13" s="390" t="s">
        <v>385</v>
      </c>
      <c r="C13" s="391">
        <v>0</v>
      </c>
      <c r="D13" s="391" t="s">
        <v>361</v>
      </c>
      <c r="E13" s="391"/>
      <c r="F13" s="391" t="s">
        <v>361</v>
      </c>
      <c r="G13" s="391" t="s">
        <v>361</v>
      </c>
      <c r="H13" s="391" t="s">
        <v>361</v>
      </c>
      <c r="I13" s="392" t="s">
        <v>361</v>
      </c>
      <c r="J13" s="393" t="s">
        <v>1</v>
      </c>
    </row>
    <row r="14" spans="1:10" ht="14.4" customHeight="1" x14ac:dyDescent="0.3">
      <c r="A14" s="389" t="s">
        <v>364</v>
      </c>
      <c r="B14" s="390" t="s">
        <v>257</v>
      </c>
      <c r="C14" s="391" t="s">
        <v>361</v>
      </c>
      <c r="D14" s="391" t="s">
        <v>361</v>
      </c>
      <c r="E14" s="391"/>
      <c r="F14" s="391">
        <v>0.28936000000000001</v>
      </c>
      <c r="G14" s="391">
        <v>0</v>
      </c>
      <c r="H14" s="391">
        <v>0.28936000000000001</v>
      </c>
      <c r="I14" s="392" t="s">
        <v>361</v>
      </c>
      <c r="J14" s="393" t="s">
        <v>1</v>
      </c>
    </row>
    <row r="15" spans="1:10" ht="14.4" customHeight="1" x14ac:dyDescent="0.3">
      <c r="A15" s="389" t="s">
        <v>364</v>
      </c>
      <c r="B15" s="390" t="s">
        <v>258</v>
      </c>
      <c r="C15" s="391">
        <v>0.04</v>
      </c>
      <c r="D15" s="391">
        <v>0</v>
      </c>
      <c r="E15" s="391"/>
      <c r="F15" s="391">
        <v>0.72186000000000006</v>
      </c>
      <c r="G15" s="391">
        <v>0</v>
      </c>
      <c r="H15" s="391">
        <v>0.72186000000000006</v>
      </c>
      <c r="I15" s="392" t="s">
        <v>361</v>
      </c>
      <c r="J15" s="393" t="s">
        <v>1</v>
      </c>
    </row>
    <row r="16" spans="1:10" ht="14.4" customHeight="1" x14ac:dyDescent="0.3">
      <c r="A16" s="389" t="s">
        <v>364</v>
      </c>
      <c r="B16" s="390" t="s">
        <v>366</v>
      </c>
      <c r="C16" s="391">
        <v>0.04</v>
      </c>
      <c r="D16" s="391">
        <v>0</v>
      </c>
      <c r="E16" s="391"/>
      <c r="F16" s="391">
        <v>1.01122</v>
      </c>
      <c r="G16" s="391">
        <v>0</v>
      </c>
      <c r="H16" s="391">
        <v>1.01122</v>
      </c>
      <c r="I16" s="392" t="s">
        <v>361</v>
      </c>
      <c r="J16" s="393" t="s">
        <v>367</v>
      </c>
    </row>
    <row r="17" spans="1:10" ht="14.4" customHeight="1" x14ac:dyDescent="0.3">
      <c r="A17" s="389" t="s">
        <v>361</v>
      </c>
      <c r="B17" s="390" t="s">
        <v>361</v>
      </c>
      <c r="C17" s="391" t="s">
        <v>361</v>
      </c>
      <c r="D17" s="391" t="s">
        <v>361</v>
      </c>
      <c r="E17" s="391"/>
      <c r="F17" s="391" t="s">
        <v>361</v>
      </c>
      <c r="G17" s="391" t="s">
        <v>361</v>
      </c>
      <c r="H17" s="391" t="s">
        <v>361</v>
      </c>
      <c r="I17" s="392" t="s">
        <v>361</v>
      </c>
      <c r="J17" s="393" t="s">
        <v>368</v>
      </c>
    </row>
    <row r="18" spans="1:10" ht="14.4" customHeight="1" x14ac:dyDescent="0.3">
      <c r="A18" s="389" t="s">
        <v>359</v>
      </c>
      <c r="B18" s="390" t="s">
        <v>362</v>
      </c>
      <c r="C18" s="391">
        <v>0.04</v>
      </c>
      <c r="D18" s="391">
        <v>0</v>
      </c>
      <c r="E18" s="391"/>
      <c r="F18" s="391">
        <v>1.01122</v>
      </c>
      <c r="G18" s="391">
        <v>0</v>
      </c>
      <c r="H18" s="391">
        <v>1.01122</v>
      </c>
      <c r="I18" s="392" t="s">
        <v>361</v>
      </c>
      <c r="J18" s="393" t="s">
        <v>363</v>
      </c>
    </row>
  </sheetData>
  <mergeCells count="3">
    <mergeCell ref="A1:I1"/>
    <mergeCell ref="F3:I3"/>
    <mergeCell ref="C4:D4"/>
  </mergeCells>
  <conditionalFormatting sqref="F10 F19:F65537">
    <cfRule type="cellIs" dxfId="20" priority="18" stopIfTrue="1" operator="greaterThan">
      <formula>1</formula>
    </cfRule>
  </conditionalFormatting>
  <conditionalFormatting sqref="H5:H9">
    <cfRule type="expression" dxfId="19" priority="14">
      <formula>$H5&gt;0</formula>
    </cfRule>
  </conditionalFormatting>
  <conditionalFormatting sqref="I5:I9">
    <cfRule type="expression" dxfId="18" priority="15">
      <formula>$I5&gt;1</formula>
    </cfRule>
  </conditionalFormatting>
  <conditionalFormatting sqref="B5:B9">
    <cfRule type="expression" dxfId="17" priority="11">
      <formula>OR($J5="NS",$J5="SumaNS",$J5="Účet")</formula>
    </cfRule>
  </conditionalFormatting>
  <conditionalFormatting sqref="F5:I9 B5:D9">
    <cfRule type="expression" dxfId="16" priority="17">
      <formula>AND($J5&lt;&gt;"",$J5&lt;&gt;"mezeraKL")</formula>
    </cfRule>
  </conditionalFormatting>
  <conditionalFormatting sqref="B5:D9 F5:I9">
    <cfRule type="expression" dxfId="15" priority="12">
      <formula>OR($J5="KL",$J5="SumaKL")</formula>
    </cfRule>
    <cfRule type="expression" priority="16" stopIfTrue="1">
      <formula>OR($J5="mezeraNS",$J5="mezeraKL")</formula>
    </cfRule>
  </conditionalFormatting>
  <conditionalFormatting sqref="B5:D9 F5:I9">
    <cfRule type="expression" dxfId="14" priority="13">
      <formula>OR($J5="SumaNS",$J5="NS")</formula>
    </cfRule>
  </conditionalFormatting>
  <conditionalFormatting sqref="A5:A9">
    <cfRule type="expression" dxfId="13" priority="9">
      <formula>AND($J5&lt;&gt;"mezeraKL",$J5&lt;&gt;"")</formula>
    </cfRule>
  </conditionalFormatting>
  <conditionalFormatting sqref="A5:A9">
    <cfRule type="expression" dxfId="12" priority="10">
      <formula>AND($J5&lt;&gt;"",$J5&lt;&gt;"mezeraKL")</formula>
    </cfRule>
  </conditionalFormatting>
  <conditionalFormatting sqref="H11:H18">
    <cfRule type="expression" dxfId="11" priority="5">
      <formula>$H11&gt;0</formula>
    </cfRule>
  </conditionalFormatting>
  <conditionalFormatting sqref="A11:A18">
    <cfRule type="expression" dxfId="10" priority="2">
      <formula>AND($J11&lt;&gt;"mezeraKL",$J11&lt;&gt;"")</formula>
    </cfRule>
  </conditionalFormatting>
  <conditionalFormatting sqref="I11:I18">
    <cfRule type="expression" dxfId="9" priority="6">
      <formula>$I11&gt;1</formula>
    </cfRule>
  </conditionalFormatting>
  <conditionalFormatting sqref="B11:B18">
    <cfRule type="expression" dxfId="8" priority="1">
      <formula>OR($J11="NS",$J11="SumaNS",$J11="Účet")</formula>
    </cfRule>
  </conditionalFormatting>
  <conditionalFormatting sqref="A11:D18 F11:I18">
    <cfRule type="expression" dxfId="7" priority="8">
      <formula>AND($J11&lt;&gt;"",$J11&lt;&gt;"mezeraKL")</formula>
    </cfRule>
  </conditionalFormatting>
  <conditionalFormatting sqref="B11:D18 F11:I18">
    <cfRule type="expression" dxfId="6" priority="3">
      <formula>OR($J11="KL",$J11="SumaKL")</formula>
    </cfRule>
    <cfRule type="expression" priority="7" stopIfTrue="1">
      <formula>OR($J11="mezeraNS",$J11="mezeraKL")</formula>
    </cfRule>
  </conditionalFormatting>
  <conditionalFormatting sqref="B11:D18 F11:I18">
    <cfRule type="expression" dxfId="5" priority="4">
      <formula>OR($J11="SumaNS",$J11="NS")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21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105" hidden="1" customWidth="1" outlineLevel="1"/>
    <col min="2" max="2" width="28.33203125" style="105" hidden="1" customWidth="1" outlineLevel="1"/>
    <col min="3" max="3" width="5.33203125" style="182" bestFit="1" customWidth="1" collapsed="1"/>
    <col min="4" max="4" width="18.77734375" style="186" customWidth="1"/>
    <col min="5" max="5" width="9" style="182" bestFit="1" customWidth="1"/>
    <col min="6" max="6" width="18.77734375" style="186" customWidth="1"/>
    <col min="7" max="7" width="12.44140625" style="182" hidden="1" customWidth="1" outlineLevel="1"/>
    <col min="8" max="8" width="25.77734375" style="182" customWidth="1" collapsed="1"/>
    <col min="9" max="9" width="7.77734375" style="180" customWidth="1"/>
    <col min="10" max="10" width="10" style="180" customWidth="1"/>
    <col min="11" max="11" width="11.109375" style="180" customWidth="1"/>
    <col min="12" max="16384" width="8.88671875" style="105"/>
  </cols>
  <sheetData>
    <row r="1" spans="1:11" ht="18.600000000000001" customHeight="1" thickBot="1" x14ac:dyDescent="0.4">
      <c r="A1" s="329" t="s">
        <v>424</v>
      </c>
      <c r="B1" s="294"/>
      <c r="C1" s="294"/>
      <c r="D1" s="294"/>
      <c r="E1" s="294"/>
      <c r="F1" s="294"/>
      <c r="G1" s="294"/>
      <c r="H1" s="294"/>
      <c r="I1" s="294"/>
      <c r="J1" s="294"/>
      <c r="K1" s="294"/>
    </row>
    <row r="2" spans="1:11" ht="14.4" customHeight="1" thickBot="1" x14ac:dyDescent="0.35">
      <c r="A2" s="202" t="s">
        <v>247</v>
      </c>
      <c r="B2" s="57"/>
      <c r="C2" s="184"/>
      <c r="D2" s="184"/>
      <c r="E2" s="184"/>
      <c r="F2" s="184"/>
      <c r="G2" s="184"/>
      <c r="H2" s="184"/>
      <c r="I2" s="185"/>
      <c r="J2" s="185"/>
      <c r="K2" s="185"/>
    </row>
    <row r="3" spans="1:11" ht="14.4" customHeight="1" thickBot="1" x14ac:dyDescent="0.35">
      <c r="A3" s="57"/>
      <c r="B3" s="57"/>
      <c r="C3" s="325"/>
      <c r="D3" s="326"/>
      <c r="E3" s="326"/>
      <c r="F3" s="326"/>
      <c r="G3" s="326"/>
      <c r="H3" s="117" t="s">
        <v>112</v>
      </c>
      <c r="I3" s="74">
        <f>IF(J3&lt;&gt;0,K3/J3,0)</f>
        <v>16.853666666666665</v>
      </c>
      <c r="J3" s="74">
        <f>SUBTOTAL(9,J5:J1048576)</f>
        <v>60</v>
      </c>
      <c r="K3" s="75">
        <f>SUBTOTAL(9,K5:K1048576)</f>
        <v>1011.22</v>
      </c>
    </row>
    <row r="4" spans="1:11" s="181" customFormat="1" ht="14.4" customHeight="1" thickBot="1" x14ac:dyDescent="0.35">
      <c r="A4" s="394" t="s">
        <v>4</v>
      </c>
      <c r="B4" s="395" t="s">
        <v>5</v>
      </c>
      <c r="C4" s="395" t="s">
        <v>0</v>
      </c>
      <c r="D4" s="395" t="s">
        <v>6</v>
      </c>
      <c r="E4" s="395" t="s">
        <v>7</v>
      </c>
      <c r="F4" s="395" t="s">
        <v>1</v>
      </c>
      <c r="G4" s="395" t="s">
        <v>57</v>
      </c>
      <c r="H4" s="396" t="s">
        <v>11</v>
      </c>
      <c r="I4" s="397" t="s">
        <v>119</v>
      </c>
      <c r="J4" s="397" t="s">
        <v>13</v>
      </c>
      <c r="K4" s="398" t="s">
        <v>127</v>
      </c>
    </row>
    <row r="5" spans="1:11" ht="14.4" customHeight="1" x14ac:dyDescent="0.3">
      <c r="A5" s="399" t="s">
        <v>359</v>
      </c>
      <c r="B5" s="400" t="s">
        <v>360</v>
      </c>
      <c r="C5" s="401" t="s">
        <v>364</v>
      </c>
      <c r="D5" s="402" t="s">
        <v>381</v>
      </c>
      <c r="E5" s="401" t="s">
        <v>420</v>
      </c>
      <c r="F5" s="402" t="s">
        <v>421</v>
      </c>
      <c r="G5" s="401" t="s">
        <v>386</v>
      </c>
      <c r="H5" s="401" t="s">
        <v>387</v>
      </c>
      <c r="I5" s="403">
        <v>11.41</v>
      </c>
      <c r="J5" s="403">
        <v>2</v>
      </c>
      <c r="K5" s="404">
        <v>22.82</v>
      </c>
    </row>
    <row r="6" spans="1:11" ht="14.4" customHeight="1" x14ac:dyDescent="0.3">
      <c r="A6" s="405" t="s">
        <v>359</v>
      </c>
      <c r="B6" s="406" t="s">
        <v>360</v>
      </c>
      <c r="C6" s="407" t="s">
        <v>364</v>
      </c>
      <c r="D6" s="408" t="s">
        <v>381</v>
      </c>
      <c r="E6" s="407" t="s">
        <v>420</v>
      </c>
      <c r="F6" s="408" t="s">
        <v>421</v>
      </c>
      <c r="G6" s="407" t="s">
        <v>388</v>
      </c>
      <c r="H6" s="407" t="s">
        <v>389</v>
      </c>
      <c r="I6" s="409">
        <v>9.76</v>
      </c>
      <c r="J6" s="409">
        <v>2</v>
      </c>
      <c r="K6" s="410">
        <v>19.52</v>
      </c>
    </row>
    <row r="7" spans="1:11" ht="14.4" customHeight="1" x14ac:dyDescent="0.3">
      <c r="A7" s="405" t="s">
        <v>359</v>
      </c>
      <c r="B7" s="406" t="s">
        <v>360</v>
      </c>
      <c r="C7" s="407" t="s">
        <v>364</v>
      </c>
      <c r="D7" s="408" t="s">
        <v>381</v>
      </c>
      <c r="E7" s="407" t="s">
        <v>420</v>
      </c>
      <c r="F7" s="408" t="s">
        <v>421</v>
      </c>
      <c r="G7" s="407" t="s">
        <v>390</v>
      </c>
      <c r="H7" s="407" t="s">
        <v>391</v>
      </c>
      <c r="I7" s="409">
        <v>14.8</v>
      </c>
      <c r="J7" s="409">
        <v>2</v>
      </c>
      <c r="K7" s="410">
        <v>29.6</v>
      </c>
    </row>
    <row r="8" spans="1:11" ht="14.4" customHeight="1" x14ac:dyDescent="0.3">
      <c r="A8" s="405" t="s">
        <v>359</v>
      </c>
      <c r="B8" s="406" t="s">
        <v>360</v>
      </c>
      <c r="C8" s="407" t="s">
        <v>364</v>
      </c>
      <c r="D8" s="408" t="s">
        <v>381</v>
      </c>
      <c r="E8" s="407" t="s">
        <v>420</v>
      </c>
      <c r="F8" s="408" t="s">
        <v>421</v>
      </c>
      <c r="G8" s="407" t="s">
        <v>392</v>
      </c>
      <c r="H8" s="407" t="s">
        <v>393</v>
      </c>
      <c r="I8" s="409">
        <v>13.02</v>
      </c>
      <c r="J8" s="409">
        <v>2</v>
      </c>
      <c r="K8" s="410">
        <v>26.04</v>
      </c>
    </row>
    <row r="9" spans="1:11" ht="14.4" customHeight="1" x14ac:dyDescent="0.3">
      <c r="A9" s="405" t="s">
        <v>359</v>
      </c>
      <c r="B9" s="406" t="s">
        <v>360</v>
      </c>
      <c r="C9" s="407" t="s">
        <v>364</v>
      </c>
      <c r="D9" s="408" t="s">
        <v>381</v>
      </c>
      <c r="E9" s="407" t="s">
        <v>420</v>
      </c>
      <c r="F9" s="408" t="s">
        <v>421</v>
      </c>
      <c r="G9" s="407" t="s">
        <v>394</v>
      </c>
      <c r="H9" s="407" t="s">
        <v>395</v>
      </c>
      <c r="I9" s="409">
        <v>1.17</v>
      </c>
      <c r="J9" s="409">
        <v>4</v>
      </c>
      <c r="K9" s="410">
        <v>4.68</v>
      </c>
    </row>
    <row r="10" spans="1:11" ht="14.4" customHeight="1" x14ac:dyDescent="0.3">
      <c r="A10" s="405" t="s">
        <v>359</v>
      </c>
      <c r="B10" s="406" t="s">
        <v>360</v>
      </c>
      <c r="C10" s="407" t="s">
        <v>364</v>
      </c>
      <c r="D10" s="408" t="s">
        <v>381</v>
      </c>
      <c r="E10" s="407" t="s">
        <v>420</v>
      </c>
      <c r="F10" s="408" t="s">
        <v>421</v>
      </c>
      <c r="G10" s="407" t="s">
        <v>396</v>
      </c>
      <c r="H10" s="407" t="s">
        <v>397</v>
      </c>
      <c r="I10" s="409">
        <v>0.31</v>
      </c>
      <c r="J10" s="409">
        <v>6</v>
      </c>
      <c r="K10" s="410">
        <v>1.86</v>
      </c>
    </row>
    <row r="11" spans="1:11" ht="14.4" customHeight="1" x14ac:dyDescent="0.3">
      <c r="A11" s="405" t="s">
        <v>359</v>
      </c>
      <c r="B11" s="406" t="s">
        <v>360</v>
      </c>
      <c r="C11" s="407" t="s">
        <v>364</v>
      </c>
      <c r="D11" s="408" t="s">
        <v>381</v>
      </c>
      <c r="E11" s="407" t="s">
        <v>420</v>
      </c>
      <c r="F11" s="408" t="s">
        <v>421</v>
      </c>
      <c r="G11" s="407" t="s">
        <v>398</v>
      </c>
      <c r="H11" s="407" t="s">
        <v>399</v>
      </c>
      <c r="I11" s="409">
        <v>11.74</v>
      </c>
      <c r="J11" s="409">
        <v>2</v>
      </c>
      <c r="K11" s="410">
        <v>23.48</v>
      </c>
    </row>
    <row r="12" spans="1:11" ht="14.4" customHeight="1" x14ac:dyDescent="0.3">
      <c r="A12" s="405" t="s">
        <v>359</v>
      </c>
      <c r="B12" s="406" t="s">
        <v>360</v>
      </c>
      <c r="C12" s="407" t="s">
        <v>364</v>
      </c>
      <c r="D12" s="408" t="s">
        <v>381</v>
      </c>
      <c r="E12" s="407" t="s">
        <v>420</v>
      </c>
      <c r="F12" s="408" t="s">
        <v>421</v>
      </c>
      <c r="G12" s="407" t="s">
        <v>400</v>
      </c>
      <c r="H12" s="407" t="s">
        <v>401</v>
      </c>
      <c r="I12" s="409">
        <v>14.09</v>
      </c>
      <c r="J12" s="409">
        <v>2</v>
      </c>
      <c r="K12" s="410">
        <v>28.18</v>
      </c>
    </row>
    <row r="13" spans="1:11" ht="14.4" customHeight="1" x14ac:dyDescent="0.3">
      <c r="A13" s="405" t="s">
        <v>359</v>
      </c>
      <c r="B13" s="406" t="s">
        <v>360</v>
      </c>
      <c r="C13" s="407" t="s">
        <v>364</v>
      </c>
      <c r="D13" s="408" t="s">
        <v>381</v>
      </c>
      <c r="E13" s="407" t="s">
        <v>420</v>
      </c>
      <c r="F13" s="408" t="s">
        <v>421</v>
      </c>
      <c r="G13" s="407" t="s">
        <v>402</v>
      </c>
      <c r="H13" s="407" t="s">
        <v>403</v>
      </c>
      <c r="I13" s="409">
        <v>7.1</v>
      </c>
      <c r="J13" s="409">
        <v>4</v>
      </c>
      <c r="K13" s="410">
        <v>28.4</v>
      </c>
    </row>
    <row r="14" spans="1:11" ht="14.4" customHeight="1" x14ac:dyDescent="0.3">
      <c r="A14" s="405" t="s">
        <v>359</v>
      </c>
      <c r="B14" s="406" t="s">
        <v>360</v>
      </c>
      <c r="C14" s="407" t="s">
        <v>364</v>
      </c>
      <c r="D14" s="408" t="s">
        <v>381</v>
      </c>
      <c r="E14" s="407" t="s">
        <v>420</v>
      </c>
      <c r="F14" s="408" t="s">
        <v>421</v>
      </c>
      <c r="G14" s="407" t="s">
        <v>404</v>
      </c>
      <c r="H14" s="407" t="s">
        <v>405</v>
      </c>
      <c r="I14" s="409">
        <v>9.41</v>
      </c>
      <c r="J14" s="409">
        <v>2</v>
      </c>
      <c r="K14" s="410">
        <v>18.82</v>
      </c>
    </row>
    <row r="15" spans="1:11" ht="14.4" customHeight="1" x14ac:dyDescent="0.3">
      <c r="A15" s="405" t="s">
        <v>359</v>
      </c>
      <c r="B15" s="406" t="s">
        <v>360</v>
      </c>
      <c r="C15" s="407" t="s">
        <v>364</v>
      </c>
      <c r="D15" s="408" t="s">
        <v>381</v>
      </c>
      <c r="E15" s="407" t="s">
        <v>420</v>
      </c>
      <c r="F15" s="408" t="s">
        <v>421</v>
      </c>
      <c r="G15" s="407" t="s">
        <v>406</v>
      </c>
      <c r="H15" s="407" t="s">
        <v>407</v>
      </c>
      <c r="I15" s="409">
        <v>8.2799999999999994</v>
      </c>
      <c r="J15" s="409">
        <v>2</v>
      </c>
      <c r="K15" s="410">
        <v>16.559999999999999</v>
      </c>
    </row>
    <row r="16" spans="1:11" ht="14.4" customHeight="1" x14ac:dyDescent="0.3">
      <c r="A16" s="405" t="s">
        <v>359</v>
      </c>
      <c r="B16" s="406" t="s">
        <v>360</v>
      </c>
      <c r="C16" s="407" t="s">
        <v>364</v>
      </c>
      <c r="D16" s="408" t="s">
        <v>381</v>
      </c>
      <c r="E16" s="407" t="s">
        <v>420</v>
      </c>
      <c r="F16" s="408" t="s">
        <v>421</v>
      </c>
      <c r="G16" s="407" t="s">
        <v>408</v>
      </c>
      <c r="H16" s="407" t="s">
        <v>409</v>
      </c>
      <c r="I16" s="409">
        <v>5.92</v>
      </c>
      <c r="J16" s="409">
        <v>4</v>
      </c>
      <c r="K16" s="410">
        <v>23.68</v>
      </c>
    </row>
    <row r="17" spans="1:11" ht="14.4" customHeight="1" x14ac:dyDescent="0.3">
      <c r="A17" s="405" t="s">
        <v>359</v>
      </c>
      <c r="B17" s="406" t="s">
        <v>360</v>
      </c>
      <c r="C17" s="407" t="s">
        <v>364</v>
      </c>
      <c r="D17" s="408" t="s">
        <v>381</v>
      </c>
      <c r="E17" s="407" t="s">
        <v>420</v>
      </c>
      <c r="F17" s="408" t="s">
        <v>421</v>
      </c>
      <c r="G17" s="407" t="s">
        <v>410</v>
      </c>
      <c r="H17" s="407" t="s">
        <v>411</v>
      </c>
      <c r="I17" s="409">
        <v>2.54</v>
      </c>
      <c r="J17" s="409">
        <v>18</v>
      </c>
      <c r="K17" s="410">
        <v>45.72</v>
      </c>
    </row>
    <row r="18" spans="1:11" ht="14.4" customHeight="1" x14ac:dyDescent="0.3">
      <c r="A18" s="405" t="s">
        <v>359</v>
      </c>
      <c r="B18" s="406" t="s">
        <v>360</v>
      </c>
      <c r="C18" s="407" t="s">
        <v>364</v>
      </c>
      <c r="D18" s="408" t="s">
        <v>381</v>
      </c>
      <c r="E18" s="407" t="s">
        <v>422</v>
      </c>
      <c r="F18" s="408" t="s">
        <v>423</v>
      </c>
      <c r="G18" s="407" t="s">
        <v>412</v>
      </c>
      <c r="H18" s="407" t="s">
        <v>413</v>
      </c>
      <c r="I18" s="409">
        <v>68.53</v>
      </c>
      <c r="J18" s="409">
        <v>2</v>
      </c>
      <c r="K18" s="410">
        <v>137.06</v>
      </c>
    </row>
    <row r="19" spans="1:11" ht="14.4" customHeight="1" x14ac:dyDescent="0.3">
      <c r="A19" s="405" t="s">
        <v>359</v>
      </c>
      <c r="B19" s="406" t="s">
        <v>360</v>
      </c>
      <c r="C19" s="407" t="s">
        <v>364</v>
      </c>
      <c r="D19" s="408" t="s">
        <v>381</v>
      </c>
      <c r="E19" s="407" t="s">
        <v>422</v>
      </c>
      <c r="F19" s="408" t="s">
        <v>423</v>
      </c>
      <c r="G19" s="407" t="s">
        <v>414</v>
      </c>
      <c r="H19" s="407" t="s">
        <v>415</v>
      </c>
      <c r="I19" s="409">
        <v>94.38</v>
      </c>
      <c r="J19" s="409">
        <v>2</v>
      </c>
      <c r="K19" s="410">
        <v>188.76</v>
      </c>
    </row>
    <row r="20" spans="1:11" ht="14.4" customHeight="1" x14ac:dyDescent="0.3">
      <c r="A20" s="405" t="s">
        <v>359</v>
      </c>
      <c r="B20" s="406" t="s">
        <v>360</v>
      </c>
      <c r="C20" s="407" t="s">
        <v>364</v>
      </c>
      <c r="D20" s="408" t="s">
        <v>381</v>
      </c>
      <c r="E20" s="407" t="s">
        <v>422</v>
      </c>
      <c r="F20" s="408" t="s">
        <v>423</v>
      </c>
      <c r="G20" s="407" t="s">
        <v>416</v>
      </c>
      <c r="H20" s="407" t="s">
        <v>417</v>
      </c>
      <c r="I20" s="409">
        <v>33.880000000000003</v>
      </c>
      <c r="J20" s="409">
        <v>2</v>
      </c>
      <c r="K20" s="410">
        <v>67.760000000000005</v>
      </c>
    </row>
    <row r="21" spans="1:11" ht="14.4" customHeight="1" thickBot="1" x14ac:dyDescent="0.35">
      <c r="A21" s="411" t="s">
        <v>359</v>
      </c>
      <c r="B21" s="412" t="s">
        <v>360</v>
      </c>
      <c r="C21" s="413" t="s">
        <v>364</v>
      </c>
      <c r="D21" s="414" t="s">
        <v>381</v>
      </c>
      <c r="E21" s="413" t="s">
        <v>422</v>
      </c>
      <c r="F21" s="414" t="s">
        <v>423</v>
      </c>
      <c r="G21" s="413" t="s">
        <v>418</v>
      </c>
      <c r="H21" s="413" t="s">
        <v>419</v>
      </c>
      <c r="I21" s="415">
        <v>164.14</v>
      </c>
      <c r="J21" s="415">
        <v>2</v>
      </c>
      <c r="K21" s="416">
        <v>328.28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AI36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AH1"/>
    </sheetView>
  </sheetViews>
  <sheetFormatPr defaultRowHeight="14.4" outlineLevelRow="1" x14ac:dyDescent="0.3"/>
  <cols>
    <col min="1" max="1" width="37.21875" customWidth="1"/>
    <col min="2" max="2" width="13.109375" customWidth="1"/>
    <col min="3" max="18" width="13.109375" hidden="1" customWidth="1"/>
    <col min="19" max="19" width="13.109375" customWidth="1"/>
    <col min="20" max="33" width="13.109375" hidden="1" customWidth="1"/>
    <col min="34" max="34" width="13.109375" customWidth="1"/>
  </cols>
  <sheetData>
    <row r="1" spans="1:35" ht="18.600000000000001" thickBot="1" x14ac:dyDescent="0.4">
      <c r="A1" s="337" t="s">
        <v>92</v>
      </c>
      <c r="B1" s="324"/>
      <c r="C1" s="324"/>
      <c r="D1" s="324"/>
      <c r="E1" s="324"/>
      <c r="F1" s="324"/>
      <c r="G1" s="324"/>
      <c r="H1" s="324"/>
      <c r="I1" s="324"/>
      <c r="J1" s="324"/>
      <c r="K1" s="324"/>
      <c r="L1" s="324"/>
      <c r="M1" s="324"/>
      <c r="N1" s="324"/>
      <c r="O1" s="324"/>
      <c r="P1" s="324"/>
      <c r="Q1" s="324"/>
      <c r="R1" s="324"/>
      <c r="S1" s="324"/>
      <c r="T1" s="324"/>
      <c r="U1" s="324"/>
      <c r="V1" s="324"/>
      <c r="W1" s="324"/>
      <c r="X1" s="324"/>
      <c r="Y1" s="324"/>
      <c r="Z1" s="324"/>
      <c r="AA1" s="324"/>
      <c r="AB1" s="324"/>
      <c r="AC1" s="324"/>
      <c r="AD1" s="324"/>
      <c r="AE1" s="324"/>
      <c r="AF1" s="324"/>
      <c r="AG1" s="324"/>
      <c r="AH1" s="324"/>
    </row>
    <row r="2" spans="1:35" ht="15" thickBot="1" x14ac:dyDescent="0.35">
      <c r="A2" s="202" t="s">
        <v>247</v>
      </c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  <c r="Q2" s="203"/>
      <c r="R2" s="203"/>
      <c r="S2" s="203"/>
      <c r="T2" s="203"/>
      <c r="U2" s="203"/>
      <c r="V2" s="203"/>
      <c r="W2" s="203"/>
      <c r="X2" s="203"/>
      <c r="Y2" s="203"/>
      <c r="Z2" s="203"/>
      <c r="AA2" s="203"/>
      <c r="AB2" s="203"/>
      <c r="AC2" s="203"/>
      <c r="AD2" s="203"/>
      <c r="AE2" s="203"/>
      <c r="AF2" s="203"/>
      <c r="AG2" s="203"/>
      <c r="AH2" s="203"/>
    </row>
    <row r="3" spans="1:35" x14ac:dyDescent="0.3">
      <c r="A3" s="221" t="s">
        <v>170</v>
      </c>
      <c r="B3" s="338" t="s">
        <v>151</v>
      </c>
      <c r="C3" s="204">
        <v>0</v>
      </c>
      <c r="D3" s="205">
        <v>101</v>
      </c>
      <c r="E3" s="205">
        <v>102</v>
      </c>
      <c r="F3" s="224">
        <v>305</v>
      </c>
      <c r="G3" s="224">
        <v>306</v>
      </c>
      <c r="H3" s="224">
        <v>407</v>
      </c>
      <c r="I3" s="224">
        <v>408</v>
      </c>
      <c r="J3" s="224">
        <v>409</v>
      </c>
      <c r="K3" s="224">
        <v>410</v>
      </c>
      <c r="L3" s="224">
        <v>415</v>
      </c>
      <c r="M3" s="224">
        <v>416</v>
      </c>
      <c r="N3" s="224">
        <v>418</v>
      </c>
      <c r="O3" s="224">
        <v>419</v>
      </c>
      <c r="P3" s="224">
        <v>420</v>
      </c>
      <c r="Q3" s="224">
        <v>421</v>
      </c>
      <c r="R3" s="224">
        <v>522</v>
      </c>
      <c r="S3" s="224">
        <v>523</v>
      </c>
      <c r="T3" s="224">
        <v>524</v>
      </c>
      <c r="U3" s="224">
        <v>525</v>
      </c>
      <c r="V3" s="224">
        <v>526</v>
      </c>
      <c r="W3" s="224">
        <v>527</v>
      </c>
      <c r="X3" s="224">
        <v>528</v>
      </c>
      <c r="Y3" s="224">
        <v>629</v>
      </c>
      <c r="Z3" s="224">
        <v>630</v>
      </c>
      <c r="AA3" s="224">
        <v>636</v>
      </c>
      <c r="AB3" s="224">
        <v>637</v>
      </c>
      <c r="AC3" s="224">
        <v>640</v>
      </c>
      <c r="AD3" s="224">
        <v>642</v>
      </c>
      <c r="AE3" s="224">
        <v>743</v>
      </c>
      <c r="AF3" s="205">
        <v>745</v>
      </c>
      <c r="AG3" s="205">
        <v>746</v>
      </c>
      <c r="AH3" s="445">
        <v>930</v>
      </c>
      <c r="AI3" s="461"/>
    </row>
    <row r="4" spans="1:35" ht="36.6" outlineLevel="1" thickBot="1" x14ac:dyDescent="0.35">
      <c r="A4" s="222">
        <v>2015</v>
      </c>
      <c r="B4" s="339"/>
      <c r="C4" s="206" t="s">
        <v>152</v>
      </c>
      <c r="D4" s="207" t="s">
        <v>153</v>
      </c>
      <c r="E4" s="207" t="s">
        <v>154</v>
      </c>
      <c r="F4" s="225" t="s">
        <v>182</v>
      </c>
      <c r="G4" s="225" t="s">
        <v>183</v>
      </c>
      <c r="H4" s="225" t="s">
        <v>245</v>
      </c>
      <c r="I4" s="225" t="s">
        <v>184</v>
      </c>
      <c r="J4" s="225" t="s">
        <v>185</v>
      </c>
      <c r="K4" s="225" t="s">
        <v>186</v>
      </c>
      <c r="L4" s="225" t="s">
        <v>187</v>
      </c>
      <c r="M4" s="225" t="s">
        <v>188</v>
      </c>
      <c r="N4" s="225" t="s">
        <v>189</v>
      </c>
      <c r="O4" s="225" t="s">
        <v>190</v>
      </c>
      <c r="P4" s="225" t="s">
        <v>191</v>
      </c>
      <c r="Q4" s="225" t="s">
        <v>192</v>
      </c>
      <c r="R4" s="225" t="s">
        <v>193</v>
      </c>
      <c r="S4" s="225" t="s">
        <v>194</v>
      </c>
      <c r="T4" s="225" t="s">
        <v>195</v>
      </c>
      <c r="U4" s="225" t="s">
        <v>196</v>
      </c>
      <c r="V4" s="225" t="s">
        <v>197</v>
      </c>
      <c r="W4" s="225" t="s">
        <v>198</v>
      </c>
      <c r="X4" s="225" t="s">
        <v>207</v>
      </c>
      <c r="Y4" s="225" t="s">
        <v>199</v>
      </c>
      <c r="Z4" s="225" t="s">
        <v>208</v>
      </c>
      <c r="AA4" s="225" t="s">
        <v>200</v>
      </c>
      <c r="AB4" s="225" t="s">
        <v>201</v>
      </c>
      <c r="AC4" s="225" t="s">
        <v>202</v>
      </c>
      <c r="AD4" s="225" t="s">
        <v>203</v>
      </c>
      <c r="AE4" s="225" t="s">
        <v>204</v>
      </c>
      <c r="AF4" s="207" t="s">
        <v>205</v>
      </c>
      <c r="AG4" s="207" t="s">
        <v>206</v>
      </c>
      <c r="AH4" s="446" t="s">
        <v>172</v>
      </c>
      <c r="AI4" s="461"/>
    </row>
    <row r="5" spans="1:35" x14ac:dyDescent="0.3">
      <c r="A5" s="208" t="s">
        <v>155</v>
      </c>
      <c r="B5" s="244"/>
      <c r="C5" s="245"/>
      <c r="D5" s="246"/>
      <c r="E5" s="246"/>
      <c r="F5" s="246"/>
      <c r="G5" s="246"/>
      <c r="H5" s="246"/>
      <c r="I5" s="246"/>
      <c r="J5" s="246"/>
      <c r="K5" s="246"/>
      <c r="L5" s="246"/>
      <c r="M5" s="246"/>
      <c r="N5" s="246"/>
      <c r="O5" s="246"/>
      <c r="P5" s="246"/>
      <c r="Q5" s="246"/>
      <c r="R5" s="246"/>
      <c r="S5" s="246"/>
      <c r="T5" s="246"/>
      <c r="U5" s="246"/>
      <c r="V5" s="246"/>
      <c r="W5" s="246"/>
      <c r="X5" s="246"/>
      <c r="Y5" s="246"/>
      <c r="Z5" s="246"/>
      <c r="AA5" s="246"/>
      <c r="AB5" s="246"/>
      <c r="AC5" s="246"/>
      <c r="AD5" s="246"/>
      <c r="AE5" s="246"/>
      <c r="AF5" s="246"/>
      <c r="AG5" s="246"/>
      <c r="AH5" s="447"/>
      <c r="AI5" s="461"/>
    </row>
    <row r="6" spans="1:35" ht="15" collapsed="1" thickBot="1" x14ac:dyDescent="0.35">
      <c r="A6" s="209" t="s">
        <v>59</v>
      </c>
      <c r="B6" s="247">
        <f xml:space="preserve">
TRUNC(IF($A$4&lt;=12,SUMIFS('ON Data'!F:F,'ON Data'!$D:$D,$A$4,'ON Data'!$E:$E,1),SUMIFS('ON Data'!F:F,'ON Data'!$E:$E,1)/'ON Data'!$D$3),1)</f>
        <v>5</v>
      </c>
      <c r="C6" s="248">
        <f xml:space="preserve">
TRUNC(IF($A$4&lt;=12,SUMIFS('ON Data'!G:G,'ON Data'!$D:$D,$A$4,'ON Data'!$E:$E,1),SUMIFS('ON Data'!G:G,'ON Data'!$E:$E,1)/'ON Data'!$D$3),1)</f>
        <v>0</v>
      </c>
      <c r="D6" s="249">
        <f xml:space="preserve">
TRUNC(IF($A$4&lt;=12,SUMIFS('ON Data'!H:H,'ON Data'!$D:$D,$A$4,'ON Data'!$E:$E,1),SUMIFS('ON Data'!H:H,'ON Data'!$E:$E,1)/'ON Data'!$D$3),1)</f>
        <v>0</v>
      </c>
      <c r="E6" s="249">
        <f xml:space="preserve">
TRUNC(IF($A$4&lt;=12,SUMIFS('ON Data'!I:I,'ON Data'!$D:$D,$A$4,'ON Data'!$E:$E,1),SUMIFS('ON Data'!I:I,'ON Data'!$E:$E,1)/'ON Data'!$D$3),1)</f>
        <v>0</v>
      </c>
      <c r="F6" s="249">
        <f xml:space="preserve">
TRUNC(IF($A$4&lt;=12,SUMIFS('ON Data'!K:K,'ON Data'!$D:$D,$A$4,'ON Data'!$E:$E,1),SUMIFS('ON Data'!K:K,'ON Data'!$E:$E,1)/'ON Data'!$D$3),1)</f>
        <v>0</v>
      </c>
      <c r="G6" s="249">
        <f xml:space="preserve">
TRUNC(IF($A$4&lt;=12,SUMIFS('ON Data'!L:L,'ON Data'!$D:$D,$A$4,'ON Data'!$E:$E,1),SUMIFS('ON Data'!L:L,'ON Data'!$E:$E,1)/'ON Data'!$D$3),1)</f>
        <v>0</v>
      </c>
      <c r="H6" s="249">
        <f xml:space="preserve">
TRUNC(IF($A$4&lt;=12,SUMIFS('ON Data'!M:M,'ON Data'!$D:$D,$A$4,'ON Data'!$E:$E,1),SUMIFS('ON Data'!M:M,'ON Data'!$E:$E,1)/'ON Data'!$D$3),1)</f>
        <v>0</v>
      </c>
      <c r="I6" s="249">
        <f xml:space="preserve">
TRUNC(IF($A$4&lt;=12,SUMIFS('ON Data'!N:N,'ON Data'!$D:$D,$A$4,'ON Data'!$E:$E,1),SUMIFS('ON Data'!N:N,'ON Data'!$E:$E,1)/'ON Data'!$D$3),1)</f>
        <v>0</v>
      </c>
      <c r="J6" s="249">
        <f xml:space="preserve">
TRUNC(IF($A$4&lt;=12,SUMIFS('ON Data'!O:O,'ON Data'!$D:$D,$A$4,'ON Data'!$E:$E,1),SUMIFS('ON Data'!O:O,'ON Data'!$E:$E,1)/'ON Data'!$D$3),1)</f>
        <v>0</v>
      </c>
      <c r="K6" s="249">
        <f xml:space="preserve">
TRUNC(IF($A$4&lt;=12,SUMIFS('ON Data'!P:P,'ON Data'!$D:$D,$A$4,'ON Data'!$E:$E,1),SUMIFS('ON Data'!P:P,'ON Data'!$E:$E,1)/'ON Data'!$D$3),1)</f>
        <v>0</v>
      </c>
      <c r="L6" s="249">
        <f xml:space="preserve">
TRUNC(IF($A$4&lt;=12,SUMIFS('ON Data'!Q:Q,'ON Data'!$D:$D,$A$4,'ON Data'!$E:$E,1),SUMIFS('ON Data'!Q:Q,'ON Data'!$E:$E,1)/'ON Data'!$D$3),1)</f>
        <v>0</v>
      </c>
      <c r="M6" s="249">
        <f xml:space="preserve">
TRUNC(IF($A$4&lt;=12,SUMIFS('ON Data'!R:R,'ON Data'!$D:$D,$A$4,'ON Data'!$E:$E,1),SUMIFS('ON Data'!R:R,'ON Data'!$E:$E,1)/'ON Data'!$D$3),1)</f>
        <v>0</v>
      </c>
      <c r="N6" s="249">
        <f xml:space="preserve">
TRUNC(IF($A$4&lt;=12,SUMIFS('ON Data'!S:S,'ON Data'!$D:$D,$A$4,'ON Data'!$E:$E,1),SUMIFS('ON Data'!S:S,'ON Data'!$E:$E,1)/'ON Data'!$D$3),1)</f>
        <v>0</v>
      </c>
      <c r="O6" s="249">
        <f xml:space="preserve">
TRUNC(IF($A$4&lt;=12,SUMIFS('ON Data'!T:T,'ON Data'!$D:$D,$A$4,'ON Data'!$E:$E,1),SUMIFS('ON Data'!T:T,'ON Data'!$E:$E,1)/'ON Data'!$D$3),1)</f>
        <v>0</v>
      </c>
      <c r="P6" s="249">
        <f xml:space="preserve">
TRUNC(IF($A$4&lt;=12,SUMIFS('ON Data'!U:U,'ON Data'!$D:$D,$A$4,'ON Data'!$E:$E,1),SUMIFS('ON Data'!U:U,'ON Data'!$E:$E,1)/'ON Data'!$D$3),1)</f>
        <v>0</v>
      </c>
      <c r="Q6" s="249">
        <f xml:space="preserve">
TRUNC(IF($A$4&lt;=12,SUMIFS('ON Data'!V:V,'ON Data'!$D:$D,$A$4,'ON Data'!$E:$E,1),SUMIFS('ON Data'!V:V,'ON Data'!$E:$E,1)/'ON Data'!$D$3),1)</f>
        <v>0</v>
      </c>
      <c r="R6" s="249">
        <f xml:space="preserve">
TRUNC(IF($A$4&lt;=12,SUMIFS('ON Data'!W:W,'ON Data'!$D:$D,$A$4,'ON Data'!$E:$E,1),SUMIFS('ON Data'!W:W,'ON Data'!$E:$E,1)/'ON Data'!$D$3),1)</f>
        <v>0</v>
      </c>
      <c r="S6" s="249">
        <f xml:space="preserve">
TRUNC(IF($A$4&lt;=12,SUMIFS('ON Data'!X:X,'ON Data'!$D:$D,$A$4,'ON Data'!$E:$E,1),SUMIFS('ON Data'!X:X,'ON Data'!$E:$E,1)/'ON Data'!$D$3),1)</f>
        <v>5</v>
      </c>
      <c r="T6" s="249">
        <f xml:space="preserve">
TRUNC(IF($A$4&lt;=12,SUMIFS('ON Data'!Y:Y,'ON Data'!$D:$D,$A$4,'ON Data'!$E:$E,1),SUMIFS('ON Data'!Y:Y,'ON Data'!$E:$E,1)/'ON Data'!$D$3),1)</f>
        <v>0</v>
      </c>
      <c r="U6" s="249">
        <f xml:space="preserve">
TRUNC(IF($A$4&lt;=12,SUMIFS('ON Data'!Z:Z,'ON Data'!$D:$D,$A$4,'ON Data'!$E:$E,1),SUMIFS('ON Data'!Z:Z,'ON Data'!$E:$E,1)/'ON Data'!$D$3),1)</f>
        <v>0</v>
      </c>
      <c r="V6" s="249">
        <f xml:space="preserve">
TRUNC(IF($A$4&lt;=12,SUMIFS('ON Data'!AA:AA,'ON Data'!$D:$D,$A$4,'ON Data'!$E:$E,1),SUMIFS('ON Data'!AA:AA,'ON Data'!$E:$E,1)/'ON Data'!$D$3),1)</f>
        <v>0</v>
      </c>
      <c r="W6" s="249">
        <f xml:space="preserve">
TRUNC(IF($A$4&lt;=12,SUMIFS('ON Data'!AB:AB,'ON Data'!$D:$D,$A$4,'ON Data'!$E:$E,1),SUMIFS('ON Data'!AB:AB,'ON Data'!$E:$E,1)/'ON Data'!$D$3),1)</f>
        <v>0</v>
      </c>
      <c r="X6" s="249">
        <f xml:space="preserve">
TRUNC(IF($A$4&lt;=12,SUMIFS('ON Data'!AC:AC,'ON Data'!$D:$D,$A$4,'ON Data'!$E:$E,1),SUMIFS('ON Data'!AC:AC,'ON Data'!$E:$E,1)/'ON Data'!$D$3),1)</f>
        <v>0</v>
      </c>
      <c r="Y6" s="249">
        <f xml:space="preserve">
TRUNC(IF($A$4&lt;=12,SUMIFS('ON Data'!AD:AD,'ON Data'!$D:$D,$A$4,'ON Data'!$E:$E,1),SUMIFS('ON Data'!AD:AD,'ON Data'!$E:$E,1)/'ON Data'!$D$3),1)</f>
        <v>0</v>
      </c>
      <c r="Z6" s="249">
        <f xml:space="preserve">
TRUNC(IF($A$4&lt;=12,SUMIFS('ON Data'!AE:AE,'ON Data'!$D:$D,$A$4,'ON Data'!$E:$E,1),SUMIFS('ON Data'!AE:AE,'ON Data'!$E:$E,1)/'ON Data'!$D$3),1)</f>
        <v>0</v>
      </c>
      <c r="AA6" s="249">
        <f xml:space="preserve">
TRUNC(IF($A$4&lt;=12,SUMIFS('ON Data'!AF:AF,'ON Data'!$D:$D,$A$4,'ON Data'!$E:$E,1),SUMIFS('ON Data'!AF:AF,'ON Data'!$E:$E,1)/'ON Data'!$D$3),1)</f>
        <v>0</v>
      </c>
      <c r="AB6" s="249">
        <f xml:space="preserve">
TRUNC(IF($A$4&lt;=12,SUMIFS('ON Data'!AG:AG,'ON Data'!$D:$D,$A$4,'ON Data'!$E:$E,1),SUMIFS('ON Data'!AG:AG,'ON Data'!$E:$E,1)/'ON Data'!$D$3),1)</f>
        <v>0</v>
      </c>
      <c r="AC6" s="249">
        <f xml:space="preserve">
TRUNC(IF($A$4&lt;=12,SUMIFS('ON Data'!AH:AH,'ON Data'!$D:$D,$A$4,'ON Data'!$E:$E,1),SUMIFS('ON Data'!AH:AH,'ON Data'!$E:$E,1)/'ON Data'!$D$3),1)</f>
        <v>0</v>
      </c>
      <c r="AD6" s="249">
        <f xml:space="preserve">
TRUNC(IF($A$4&lt;=12,SUMIFS('ON Data'!AI:AI,'ON Data'!$D:$D,$A$4,'ON Data'!$E:$E,1),SUMIFS('ON Data'!AI:AI,'ON Data'!$E:$E,1)/'ON Data'!$D$3),1)</f>
        <v>0</v>
      </c>
      <c r="AE6" s="249">
        <f xml:space="preserve">
TRUNC(IF($A$4&lt;=12,SUMIFS('ON Data'!AJ:AJ,'ON Data'!$D:$D,$A$4,'ON Data'!$E:$E,1),SUMIFS('ON Data'!AJ:AJ,'ON Data'!$E:$E,1)/'ON Data'!$D$3),1)</f>
        <v>0</v>
      </c>
      <c r="AF6" s="249">
        <f xml:space="preserve">
TRUNC(IF($A$4&lt;=12,SUMIFS('ON Data'!AK:AK,'ON Data'!$D:$D,$A$4,'ON Data'!$E:$E,1),SUMIFS('ON Data'!AK:AK,'ON Data'!$E:$E,1)/'ON Data'!$D$3),1)</f>
        <v>0</v>
      </c>
      <c r="AG6" s="249">
        <f xml:space="preserve">
TRUNC(IF($A$4&lt;=12,SUMIFS('ON Data'!AL:AL,'ON Data'!$D:$D,$A$4,'ON Data'!$E:$E,1),SUMIFS('ON Data'!AL:AL,'ON Data'!$E:$E,1)/'ON Data'!$D$3),1)</f>
        <v>0</v>
      </c>
      <c r="AH6" s="448">
        <f xml:space="preserve">
TRUNC(IF($A$4&lt;=12,SUMIFS('ON Data'!AN:AN,'ON Data'!$D:$D,$A$4,'ON Data'!$E:$E,1),SUMIFS('ON Data'!AN:AN,'ON Data'!$E:$E,1)/'ON Data'!$D$3),1)</f>
        <v>0</v>
      </c>
      <c r="AI6" s="461"/>
    </row>
    <row r="7" spans="1:35" ht="15" hidden="1" outlineLevel="1" thickBot="1" x14ac:dyDescent="0.35">
      <c r="A7" s="209" t="s">
        <v>93</v>
      </c>
      <c r="B7" s="247"/>
      <c r="C7" s="250"/>
      <c r="D7" s="249"/>
      <c r="E7" s="249"/>
      <c r="F7" s="249"/>
      <c r="G7" s="249"/>
      <c r="H7" s="249"/>
      <c r="I7" s="249"/>
      <c r="J7" s="249"/>
      <c r="K7" s="249"/>
      <c r="L7" s="249"/>
      <c r="M7" s="249"/>
      <c r="N7" s="249"/>
      <c r="O7" s="249"/>
      <c r="P7" s="249"/>
      <c r="Q7" s="249"/>
      <c r="R7" s="249"/>
      <c r="S7" s="249"/>
      <c r="T7" s="249"/>
      <c r="U7" s="249"/>
      <c r="V7" s="249"/>
      <c r="W7" s="249"/>
      <c r="X7" s="249"/>
      <c r="Y7" s="249"/>
      <c r="Z7" s="249"/>
      <c r="AA7" s="249"/>
      <c r="AB7" s="249"/>
      <c r="AC7" s="249"/>
      <c r="AD7" s="249"/>
      <c r="AE7" s="249"/>
      <c r="AF7" s="249"/>
      <c r="AG7" s="249"/>
      <c r="AH7" s="448"/>
      <c r="AI7" s="461"/>
    </row>
    <row r="8" spans="1:35" ht="15" hidden="1" outlineLevel="1" thickBot="1" x14ac:dyDescent="0.35">
      <c r="A8" s="209" t="s">
        <v>61</v>
      </c>
      <c r="B8" s="247"/>
      <c r="C8" s="250"/>
      <c r="D8" s="249"/>
      <c r="E8" s="249"/>
      <c r="F8" s="249"/>
      <c r="G8" s="249"/>
      <c r="H8" s="249"/>
      <c r="I8" s="249"/>
      <c r="J8" s="249"/>
      <c r="K8" s="249"/>
      <c r="L8" s="249"/>
      <c r="M8" s="249"/>
      <c r="N8" s="249"/>
      <c r="O8" s="249"/>
      <c r="P8" s="249"/>
      <c r="Q8" s="249"/>
      <c r="R8" s="249"/>
      <c r="S8" s="249"/>
      <c r="T8" s="249"/>
      <c r="U8" s="249"/>
      <c r="V8" s="249"/>
      <c r="W8" s="249"/>
      <c r="X8" s="249"/>
      <c r="Y8" s="249"/>
      <c r="Z8" s="249"/>
      <c r="AA8" s="249"/>
      <c r="AB8" s="249"/>
      <c r="AC8" s="249"/>
      <c r="AD8" s="249"/>
      <c r="AE8" s="249"/>
      <c r="AF8" s="249"/>
      <c r="AG8" s="249"/>
      <c r="AH8" s="448"/>
      <c r="AI8" s="461"/>
    </row>
    <row r="9" spans="1:35" ht="15" hidden="1" outlineLevel="1" thickBot="1" x14ac:dyDescent="0.35">
      <c r="A9" s="210" t="s">
        <v>54</v>
      </c>
      <c r="B9" s="251"/>
      <c r="C9" s="252"/>
      <c r="D9" s="253"/>
      <c r="E9" s="253"/>
      <c r="F9" s="253"/>
      <c r="G9" s="253"/>
      <c r="H9" s="253"/>
      <c r="I9" s="253"/>
      <c r="J9" s="253"/>
      <c r="K9" s="253"/>
      <c r="L9" s="253"/>
      <c r="M9" s="253"/>
      <c r="N9" s="253"/>
      <c r="O9" s="253"/>
      <c r="P9" s="253"/>
      <c r="Q9" s="253"/>
      <c r="R9" s="253"/>
      <c r="S9" s="253"/>
      <c r="T9" s="253"/>
      <c r="U9" s="253"/>
      <c r="V9" s="253"/>
      <c r="W9" s="253"/>
      <c r="X9" s="253"/>
      <c r="Y9" s="253"/>
      <c r="Z9" s="253"/>
      <c r="AA9" s="253"/>
      <c r="AB9" s="253"/>
      <c r="AC9" s="253"/>
      <c r="AD9" s="253"/>
      <c r="AE9" s="253"/>
      <c r="AF9" s="253"/>
      <c r="AG9" s="253"/>
      <c r="AH9" s="449"/>
      <c r="AI9" s="461"/>
    </row>
    <row r="10" spans="1:35" x14ac:dyDescent="0.3">
      <c r="A10" s="211" t="s">
        <v>156</v>
      </c>
      <c r="B10" s="226"/>
      <c r="C10" s="227"/>
      <c r="D10" s="228"/>
      <c r="E10" s="228"/>
      <c r="F10" s="228"/>
      <c r="G10" s="228"/>
      <c r="H10" s="228"/>
      <c r="I10" s="228"/>
      <c r="J10" s="228"/>
      <c r="K10" s="228"/>
      <c r="L10" s="228"/>
      <c r="M10" s="228"/>
      <c r="N10" s="228"/>
      <c r="O10" s="228"/>
      <c r="P10" s="228"/>
      <c r="Q10" s="228"/>
      <c r="R10" s="228"/>
      <c r="S10" s="228"/>
      <c r="T10" s="228"/>
      <c r="U10" s="228"/>
      <c r="V10" s="228"/>
      <c r="W10" s="228"/>
      <c r="X10" s="228"/>
      <c r="Y10" s="228"/>
      <c r="Z10" s="228"/>
      <c r="AA10" s="228"/>
      <c r="AB10" s="228"/>
      <c r="AC10" s="228"/>
      <c r="AD10" s="228"/>
      <c r="AE10" s="228"/>
      <c r="AF10" s="228"/>
      <c r="AG10" s="228"/>
      <c r="AH10" s="450"/>
      <c r="AI10" s="461"/>
    </row>
    <row r="11" spans="1:35" x14ac:dyDescent="0.3">
      <c r="A11" s="212" t="s">
        <v>157</v>
      </c>
      <c r="B11" s="229">
        <f xml:space="preserve">
IF($A$4&lt;=12,SUMIFS('ON Data'!F:F,'ON Data'!$D:$D,$A$4,'ON Data'!$E:$E,2),SUMIFS('ON Data'!F:F,'ON Data'!$E:$E,2))</f>
        <v>6072</v>
      </c>
      <c r="C11" s="230">
        <f xml:space="preserve">
IF($A$4&lt;=12,SUMIFS('ON Data'!G:G,'ON Data'!$D:$D,$A$4,'ON Data'!$E:$E,2),SUMIFS('ON Data'!G:G,'ON Data'!$E:$E,2))</f>
        <v>0</v>
      </c>
      <c r="D11" s="231">
        <f xml:space="preserve">
IF($A$4&lt;=12,SUMIFS('ON Data'!H:H,'ON Data'!$D:$D,$A$4,'ON Data'!$E:$E,2),SUMIFS('ON Data'!H:H,'ON Data'!$E:$E,2))</f>
        <v>0</v>
      </c>
      <c r="E11" s="231">
        <f xml:space="preserve">
IF($A$4&lt;=12,SUMIFS('ON Data'!I:I,'ON Data'!$D:$D,$A$4,'ON Data'!$E:$E,2),SUMIFS('ON Data'!I:I,'ON Data'!$E:$E,2))</f>
        <v>0</v>
      </c>
      <c r="F11" s="231">
        <f xml:space="preserve">
IF($A$4&lt;=12,SUMIFS('ON Data'!K:K,'ON Data'!$D:$D,$A$4,'ON Data'!$E:$E,2),SUMIFS('ON Data'!K:K,'ON Data'!$E:$E,2))</f>
        <v>0</v>
      </c>
      <c r="G11" s="231">
        <f xml:space="preserve">
IF($A$4&lt;=12,SUMIFS('ON Data'!L:L,'ON Data'!$D:$D,$A$4,'ON Data'!$E:$E,2),SUMIFS('ON Data'!L:L,'ON Data'!$E:$E,2))</f>
        <v>0</v>
      </c>
      <c r="H11" s="231">
        <f xml:space="preserve">
IF($A$4&lt;=12,SUMIFS('ON Data'!M:M,'ON Data'!$D:$D,$A$4,'ON Data'!$E:$E,2),SUMIFS('ON Data'!M:M,'ON Data'!$E:$E,2))</f>
        <v>0</v>
      </c>
      <c r="I11" s="231">
        <f xml:space="preserve">
IF($A$4&lt;=12,SUMIFS('ON Data'!N:N,'ON Data'!$D:$D,$A$4,'ON Data'!$E:$E,2),SUMIFS('ON Data'!N:N,'ON Data'!$E:$E,2))</f>
        <v>0</v>
      </c>
      <c r="J11" s="231">
        <f xml:space="preserve">
IF($A$4&lt;=12,SUMIFS('ON Data'!O:O,'ON Data'!$D:$D,$A$4,'ON Data'!$E:$E,2),SUMIFS('ON Data'!O:O,'ON Data'!$E:$E,2))</f>
        <v>0</v>
      </c>
      <c r="K11" s="231">
        <f xml:space="preserve">
IF($A$4&lt;=12,SUMIFS('ON Data'!P:P,'ON Data'!$D:$D,$A$4,'ON Data'!$E:$E,2),SUMIFS('ON Data'!P:P,'ON Data'!$E:$E,2))</f>
        <v>0</v>
      </c>
      <c r="L11" s="231">
        <f xml:space="preserve">
IF($A$4&lt;=12,SUMIFS('ON Data'!Q:Q,'ON Data'!$D:$D,$A$4,'ON Data'!$E:$E,2),SUMIFS('ON Data'!Q:Q,'ON Data'!$E:$E,2))</f>
        <v>0</v>
      </c>
      <c r="M11" s="231">
        <f xml:space="preserve">
IF($A$4&lt;=12,SUMIFS('ON Data'!R:R,'ON Data'!$D:$D,$A$4,'ON Data'!$E:$E,2),SUMIFS('ON Data'!R:R,'ON Data'!$E:$E,2))</f>
        <v>0</v>
      </c>
      <c r="N11" s="231">
        <f xml:space="preserve">
IF($A$4&lt;=12,SUMIFS('ON Data'!S:S,'ON Data'!$D:$D,$A$4,'ON Data'!$E:$E,2),SUMIFS('ON Data'!S:S,'ON Data'!$E:$E,2))</f>
        <v>0</v>
      </c>
      <c r="O11" s="231">
        <f xml:space="preserve">
IF($A$4&lt;=12,SUMIFS('ON Data'!T:T,'ON Data'!$D:$D,$A$4,'ON Data'!$E:$E,2),SUMIFS('ON Data'!T:T,'ON Data'!$E:$E,2))</f>
        <v>0</v>
      </c>
      <c r="P11" s="231">
        <f xml:space="preserve">
IF($A$4&lt;=12,SUMIFS('ON Data'!U:U,'ON Data'!$D:$D,$A$4,'ON Data'!$E:$E,2),SUMIFS('ON Data'!U:U,'ON Data'!$E:$E,2))</f>
        <v>0</v>
      </c>
      <c r="Q11" s="231">
        <f xml:space="preserve">
IF($A$4&lt;=12,SUMIFS('ON Data'!V:V,'ON Data'!$D:$D,$A$4,'ON Data'!$E:$E,2),SUMIFS('ON Data'!V:V,'ON Data'!$E:$E,2))</f>
        <v>0</v>
      </c>
      <c r="R11" s="231">
        <f xml:space="preserve">
IF($A$4&lt;=12,SUMIFS('ON Data'!W:W,'ON Data'!$D:$D,$A$4,'ON Data'!$E:$E,2),SUMIFS('ON Data'!W:W,'ON Data'!$E:$E,2))</f>
        <v>0</v>
      </c>
      <c r="S11" s="231">
        <f xml:space="preserve">
IF($A$4&lt;=12,SUMIFS('ON Data'!X:X,'ON Data'!$D:$D,$A$4,'ON Data'!$E:$E,2),SUMIFS('ON Data'!X:X,'ON Data'!$E:$E,2))</f>
        <v>6072</v>
      </c>
      <c r="T11" s="231">
        <f xml:space="preserve">
IF($A$4&lt;=12,SUMIFS('ON Data'!Y:Y,'ON Data'!$D:$D,$A$4,'ON Data'!$E:$E,2),SUMIFS('ON Data'!Y:Y,'ON Data'!$E:$E,2))</f>
        <v>0</v>
      </c>
      <c r="U11" s="231">
        <f xml:space="preserve">
IF($A$4&lt;=12,SUMIFS('ON Data'!Z:Z,'ON Data'!$D:$D,$A$4,'ON Data'!$E:$E,2),SUMIFS('ON Data'!Z:Z,'ON Data'!$E:$E,2))</f>
        <v>0</v>
      </c>
      <c r="V11" s="231">
        <f xml:space="preserve">
IF($A$4&lt;=12,SUMIFS('ON Data'!AA:AA,'ON Data'!$D:$D,$A$4,'ON Data'!$E:$E,2),SUMIFS('ON Data'!AA:AA,'ON Data'!$E:$E,2))</f>
        <v>0</v>
      </c>
      <c r="W11" s="231">
        <f xml:space="preserve">
IF($A$4&lt;=12,SUMIFS('ON Data'!AB:AB,'ON Data'!$D:$D,$A$4,'ON Data'!$E:$E,2),SUMIFS('ON Data'!AB:AB,'ON Data'!$E:$E,2))</f>
        <v>0</v>
      </c>
      <c r="X11" s="231">
        <f xml:space="preserve">
IF($A$4&lt;=12,SUMIFS('ON Data'!AC:AC,'ON Data'!$D:$D,$A$4,'ON Data'!$E:$E,2),SUMIFS('ON Data'!AC:AC,'ON Data'!$E:$E,2))</f>
        <v>0</v>
      </c>
      <c r="Y11" s="231">
        <f xml:space="preserve">
IF($A$4&lt;=12,SUMIFS('ON Data'!AD:AD,'ON Data'!$D:$D,$A$4,'ON Data'!$E:$E,2),SUMIFS('ON Data'!AD:AD,'ON Data'!$E:$E,2))</f>
        <v>0</v>
      </c>
      <c r="Z11" s="231">
        <f xml:space="preserve">
IF($A$4&lt;=12,SUMIFS('ON Data'!AE:AE,'ON Data'!$D:$D,$A$4,'ON Data'!$E:$E,2),SUMIFS('ON Data'!AE:AE,'ON Data'!$E:$E,2))</f>
        <v>0</v>
      </c>
      <c r="AA11" s="231">
        <f xml:space="preserve">
IF($A$4&lt;=12,SUMIFS('ON Data'!AF:AF,'ON Data'!$D:$D,$A$4,'ON Data'!$E:$E,2),SUMIFS('ON Data'!AF:AF,'ON Data'!$E:$E,2))</f>
        <v>0</v>
      </c>
      <c r="AB11" s="231">
        <f xml:space="preserve">
IF($A$4&lt;=12,SUMIFS('ON Data'!AG:AG,'ON Data'!$D:$D,$A$4,'ON Data'!$E:$E,2),SUMIFS('ON Data'!AG:AG,'ON Data'!$E:$E,2))</f>
        <v>0</v>
      </c>
      <c r="AC11" s="231">
        <f xml:space="preserve">
IF($A$4&lt;=12,SUMIFS('ON Data'!AH:AH,'ON Data'!$D:$D,$A$4,'ON Data'!$E:$E,2),SUMIFS('ON Data'!AH:AH,'ON Data'!$E:$E,2))</f>
        <v>0</v>
      </c>
      <c r="AD11" s="231">
        <f xml:space="preserve">
IF($A$4&lt;=12,SUMIFS('ON Data'!AI:AI,'ON Data'!$D:$D,$A$4,'ON Data'!$E:$E,2),SUMIFS('ON Data'!AI:AI,'ON Data'!$E:$E,2))</f>
        <v>0</v>
      </c>
      <c r="AE11" s="231">
        <f xml:space="preserve">
IF($A$4&lt;=12,SUMIFS('ON Data'!AJ:AJ,'ON Data'!$D:$D,$A$4,'ON Data'!$E:$E,2),SUMIFS('ON Data'!AJ:AJ,'ON Data'!$E:$E,2))</f>
        <v>0</v>
      </c>
      <c r="AF11" s="231">
        <f xml:space="preserve">
IF($A$4&lt;=12,SUMIFS('ON Data'!AK:AK,'ON Data'!$D:$D,$A$4,'ON Data'!$E:$E,2),SUMIFS('ON Data'!AK:AK,'ON Data'!$E:$E,2))</f>
        <v>0</v>
      </c>
      <c r="AG11" s="231">
        <f xml:space="preserve">
IF($A$4&lt;=12,SUMIFS('ON Data'!AL:AL,'ON Data'!$D:$D,$A$4,'ON Data'!$E:$E,2),SUMIFS('ON Data'!AL:AL,'ON Data'!$E:$E,2))</f>
        <v>0</v>
      </c>
      <c r="AH11" s="451">
        <f xml:space="preserve">
IF($A$4&lt;=12,SUMIFS('ON Data'!AN:AN,'ON Data'!$D:$D,$A$4,'ON Data'!$E:$E,2),SUMIFS('ON Data'!AN:AN,'ON Data'!$E:$E,2))</f>
        <v>0</v>
      </c>
      <c r="AI11" s="461"/>
    </row>
    <row r="12" spans="1:35" x14ac:dyDescent="0.3">
      <c r="A12" s="212" t="s">
        <v>158</v>
      </c>
      <c r="B12" s="229">
        <f xml:space="preserve">
IF($A$4&lt;=12,SUMIFS('ON Data'!F:F,'ON Data'!$D:$D,$A$4,'ON Data'!$E:$E,3),SUMIFS('ON Data'!F:F,'ON Data'!$E:$E,3))</f>
        <v>0</v>
      </c>
      <c r="C12" s="230">
        <f xml:space="preserve">
IF($A$4&lt;=12,SUMIFS('ON Data'!G:G,'ON Data'!$D:$D,$A$4,'ON Data'!$E:$E,3),SUMIFS('ON Data'!G:G,'ON Data'!$E:$E,3))</f>
        <v>0</v>
      </c>
      <c r="D12" s="231">
        <f xml:space="preserve">
IF($A$4&lt;=12,SUMIFS('ON Data'!H:H,'ON Data'!$D:$D,$A$4,'ON Data'!$E:$E,3),SUMIFS('ON Data'!H:H,'ON Data'!$E:$E,3))</f>
        <v>0</v>
      </c>
      <c r="E12" s="231">
        <f xml:space="preserve">
IF($A$4&lt;=12,SUMIFS('ON Data'!I:I,'ON Data'!$D:$D,$A$4,'ON Data'!$E:$E,3),SUMIFS('ON Data'!I:I,'ON Data'!$E:$E,3))</f>
        <v>0</v>
      </c>
      <c r="F12" s="231">
        <f xml:space="preserve">
IF($A$4&lt;=12,SUMIFS('ON Data'!K:K,'ON Data'!$D:$D,$A$4,'ON Data'!$E:$E,3),SUMIFS('ON Data'!K:K,'ON Data'!$E:$E,3))</f>
        <v>0</v>
      </c>
      <c r="G12" s="231">
        <f xml:space="preserve">
IF($A$4&lt;=12,SUMIFS('ON Data'!L:L,'ON Data'!$D:$D,$A$4,'ON Data'!$E:$E,3),SUMIFS('ON Data'!L:L,'ON Data'!$E:$E,3))</f>
        <v>0</v>
      </c>
      <c r="H12" s="231">
        <f xml:space="preserve">
IF($A$4&lt;=12,SUMIFS('ON Data'!M:M,'ON Data'!$D:$D,$A$4,'ON Data'!$E:$E,3),SUMIFS('ON Data'!M:M,'ON Data'!$E:$E,3))</f>
        <v>0</v>
      </c>
      <c r="I12" s="231">
        <f xml:space="preserve">
IF($A$4&lt;=12,SUMIFS('ON Data'!N:N,'ON Data'!$D:$D,$A$4,'ON Data'!$E:$E,3),SUMIFS('ON Data'!N:N,'ON Data'!$E:$E,3))</f>
        <v>0</v>
      </c>
      <c r="J12" s="231">
        <f xml:space="preserve">
IF($A$4&lt;=12,SUMIFS('ON Data'!O:O,'ON Data'!$D:$D,$A$4,'ON Data'!$E:$E,3),SUMIFS('ON Data'!O:O,'ON Data'!$E:$E,3))</f>
        <v>0</v>
      </c>
      <c r="K12" s="231">
        <f xml:space="preserve">
IF($A$4&lt;=12,SUMIFS('ON Data'!P:P,'ON Data'!$D:$D,$A$4,'ON Data'!$E:$E,3),SUMIFS('ON Data'!P:P,'ON Data'!$E:$E,3))</f>
        <v>0</v>
      </c>
      <c r="L12" s="231">
        <f xml:space="preserve">
IF($A$4&lt;=12,SUMIFS('ON Data'!Q:Q,'ON Data'!$D:$D,$A$4,'ON Data'!$E:$E,3),SUMIFS('ON Data'!Q:Q,'ON Data'!$E:$E,3))</f>
        <v>0</v>
      </c>
      <c r="M12" s="231">
        <f xml:space="preserve">
IF($A$4&lt;=12,SUMIFS('ON Data'!R:R,'ON Data'!$D:$D,$A$4,'ON Data'!$E:$E,3),SUMIFS('ON Data'!R:R,'ON Data'!$E:$E,3))</f>
        <v>0</v>
      </c>
      <c r="N12" s="231">
        <f xml:space="preserve">
IF($A$4&lt;=12,SUMIFS('ON Data'!S:S,'ON Data'!$D:$D,$A$4,'ON Data'!$E:$E,3),SUMIFS('ON Data'!S:S,'ON Data'!$E:$E,3))</f>
        <v>0</v>
      </c>
      <c r="O12" s="231">
        <f xml:space="preserve">
IF($A$4&lt;=12,SUMIFS('ON Data'!T:T,'ON Data'!$D:$D,$A$4,'ON Data'!$E:$E,3),SUMIFS('ON Data'!T:T,'ON Data'!$E:$E,3))</f>
        <v>0</v>
      </c>
      <c r="P12" s="231">
        <f xml:space="preserve">
IF($A$4&lt;=12,SUMIFS('ON Data'!U:U,'ON Data'!$D:$D,$A$4,'ON Data'!$E:$E,3),SUMIFS('ON Data'!U:U,'ON Data'!$E:$E,3))</f>
        <v>0</v>
      </c>
      <c r="Q12" s="231">
        <f xml:space="preserve">
IF($A$4&lt;=12,SUMIFS('ON Data'!V:V,'ON Data'!$D:$D,$A$4,'ON Data'!$E:$E,3),SUMIFS('ON Data'!V:V,'ON Data'!$E:$E,3))</f>
        <v>0</v>
      </c>
      <c r="R12" s="231">
        <f xml:space="preserve">
IF($A$4&lt;=12,SUMIFS('ON Data'!W:W,'ON Data'!$D:$D,$A$4,'ON Data'!$E:$E,3),SUMIFS('ON Data'!W:W,'ON Data'!$E:$E,3))</f>
        <v>0</v>
      </c>
      <c r="S12" s="231">
        <f xml:space="preserve">
IF($A$4&lt;=12,SUMIFS('ON Data'!X:X,'ON Data'!$D:$D,$A$4,'ON Data'!$E:$E,3),SUMIFS('ON Data'!X:X,'ON Data'!$E:$E,3))</f>
        <v>0</v>
      </c>
      <c r="T12" s="231">
        <f xml:space="preserve">
IF($A$4&lt;=12,SUMIFS('ON Data'!Y:Y,'ON Data'!$D:$D,$A$4,'ON Data'!$E:$E,3),SUMIFS('ON Data'!Y:Y,'ON Data'!$E:$E,3))</f>
        <v>0</v>
      </c>
      <c r="U12" s="231">
        <f xml:space="preserve">
IF($A$4&lt;=12,SUMIFS('ON Data'!Z:Z,'ON Data'!$D:$D,$A$4,'ON Data'!$E:$E,3),SUMIFS('ON Data'!Z:Z,'ON Data'!$E:$E,3))</f>
        <v>0</v>
      </c>
      <c r="V12" s="231">
        <f xml:space="preserve">
IF($A$4&lt;=12,SUMIFS('ON Data'!AA:AA,'ON Data'!$D:$D,$A$4,'ON Data'!$E:$E,3),SUMIFS('ON Data'!AA:AA,'ON Data'!$E:$E,3))</f>
        <v>0</v>
      </c>
      <c r="W12" s="231">
        <f xml:space="preserve">
IF($A$4&lt;=12,SUMIFS('ON Data'!AB:AB,'ON Data'!$D:$D,$A$4,'ON Data'!$E:$E,3),SUMIFS('ON Data'!AB:AB,'ON Data'!$E:$E,3))</f>
        <v>0</v>
      </c>
      <c r="X12" s="231">
        <f xml:space="preserve">
IF($A$4&lt;=12,SUMIFS('ON Data'!AC:AC,'ON Data'!$D:$D,$A$4,'ON Data'!$E:$E,3),SUMIFS('ON Data'!AC:AC,'ON Data'!$E:$E,3))</f>
        <v>0</v>
      </c>
      <c r="Y12" s="231">
        <f xml:space="preserve">
IF($A$4&lt;=12,SUMIFS('ON Data'!AD:AD,'ON Data'!$D:$D,$A$4,'ON Data'!$E:$E,3),SUMIFS('ON Data'!AD:AD,'ON Data'!$E:$E,3))</f>
        <v>0</v>
      </c>
      <c r="Z12" s="231">
        <f xml:space="preserve">
IF($A$4&lt;=12,SUMIFS('ON Data'!AE:AE,'ON Data'!$D:$D,$A$4,'ON Data'!$E:$E,3),SUMIFS('ON Data'!AE:AE,'ON Data'!$E:$E,3))</f>
        <v>0</v>
      </c>
      <c r="AA12" s="231">
        <f xml:space="preserve">
IF($A$4&lt;=12,SUMIFS('ON Data'!AF:AF,'ON Data'!$D:$D,$A$4,'ON Data'!$E:$E,3),SUMIFS('ON Data'!AF:AF,'ON Data'!$E:$E,3))</f>
        <v>0</v>
      </c>
      <c r="AB12" s="231">
        <f xml:space="preserve">
IF($A$4&lt;=12,SUMIFS('ON Data'!AG:AG,'ON Data'!$D:$D,$A$4,'ON Data'!$E:$E,3),SUMIFS('ON Data'!AG:AG,'ON Data'!$E:$E,3))</f>
        <v>0</v>
      </c>
      <c r="AC12" s="231">
        <f xml:space="preserve">
IF($A$4&lt;=12,SUMIFS('ON Data'!AH:AH,'ON Data'!$D:$D,$A$4,'ON Data'!$E:$E,3),SUMIFS('ON Data'!AH:AH,'ON Data'!$E:$E,3))</f>
        <v>0</v>
      </c>
      <c r="AD12" s="231">
        <f xml:space="preserve">
IF($A$4&lt;=12,SUMIFS('ON Data'!AI:AI,'ON Data'!$D:$D,$A$4,'ON Data'!$E:$E,3),SUMIFS('ON Data'!AI:AI,'ON Data'!$E:$E,3))</f>
        <v>0</v>
      </c>
      <c r="AE12" s="231">
        <f xml:space="preserve">
IF($A$4&lt;=12,SUMIFS('ON Data'!AJ:AJ,'ON Data'!$D:$D,$A$4,'ON Data'!$E:$E,3),SUMIFS('ON Data'!AJ:AJ,'ON Data'!$E:$E,3))</f>
        <v>0</v>
      </c>
      <c r="AF12" s="231">
        <f xml:space="preserve">
IF($A$4&lt;=12,SUMIFS('ON Data'!AK:AK,'ON Data'!$D:$D,$A$4,'ON Data'!$E:$E,3),SUMIFS('ON Data'!AK:AK,'ON Data'!$E:$E,3))</f>
        <v>0</v>
      </c>
      <c r="AG12" s="231">
        <f xml:space="preserve">
IF($A$4&lt;=12,SUMIFS('ON Data'!AL:AL,'ON Data'!$D:$D,$A$4,'ON Data'!$E:$E,3),SUMIFS('ON Data'!AL:AL,'ON Data'!$E:$E,3))</f>
        <v>0</v>
      </c>
      <c r="AH12" s="451">
        <f xml:space="preserve">
IF($A$4&lt;=12,SUMIFS('ON Data'!AN:AN,'ON Data'!$D:$D,$A$4,'ON Data'!$E:$E,3),SUMIFS('ON Data'!AN:AN,'ON Data'!$E:$E,3))</f>
        <v>0</v>
      </c>
      <c r="AI12" s="461"/>
    </row>
    <row r="13" spans="1:35" x14ac:dyDescent="0.3">
      <c r="A13" s="212" t="s">
        <v>165</v>
      </c>
      <c r="B13" s="229">
        <f xml:space="preserve">
IF($A$4&lt;=12,SUMIFS('ON Data'!F:F,'ON Data'!$D:$D,$A$4,'ON Data'!$E:$E,4),SUMIFS('ON Data'!F:F,'ON Data'!$E:$E,4))</f>
        <v>0</v>
      </c>
      <c r="C13" s="230">
        <f xml:space="preserve">
IF($A$4&lt;=12,SUMIFS('ON Data'!G:G,'ON Data'!$D:$D,$A$4,'ON Data'!$E:$E,4),SUMIFS('ON Data'!G:G,'ON Data'!$E:$E,4))</f>
        <v>0</v>
      </c>
      <c r="D13" s="231">
        <f xml:space="preserve">
IF($A$4&lt;=12,SUMIFS('ON Data'!H:H,'ON Data'!$D:$D,$A$4,'ON Data'!$E:$E,4),SUMIFS('ON Data'!H:H,'ON Data'!$E:$E,4))</f>
        <v>0</v>
      </c>
      <c r="E13" s="231">
        <f xml:space="preserve">
IF($A$4&lt;=12,SUMIFS('ON Data'!I:I,'ON Data'!$D:$D,$A$4,'ON Data'!$E:$E,4),SUMIFS('ON Data'!I:I,'ON Data'!$E:$E,4))</f>
        <v>0</v>
      </c>
      <c r="F13" s="231">
        <f xml:space="preserve">
IF($A$4&lt;=12,SUMIFS('ON Data'!K:K,'ON Data'!$D:$D,$A$4,'ON Data'!$E:$E,4),SUMIFS('ON Data'!K:K,'ON Data'!$E:$E,4))</f>
        <v>0</v>
      </c>
      <c r="G13" s="231">
        <f xml:space="preserve">
IF($A$4&lt;=12,SUMIFS('ON Data'!L:L,'ON Data'!$D:$D,$A$4,'ON Data'!$E:$E,4),SUMIFS('ON Data'!L:L,'ON Data'!$E:$E,4))</f>
        <v>0</v>
      </c>
      <c r="H13" s="231">
        <f xml:space="preserve">
IF($A$4&lt;=12,SUMIFS('ON Data'!M:M,'ON Data'!$D:$D,$A$4,'ON Data'!$E:$E,4),SUMIFS('ON Data'!M:M,'ON Data'!$E:$E,4))</f>
        <v>0</v>
      </c>
      <c r="I13" s="231">
        <f xml:space="preserve">
IF($A$4&lt;=12,SUMIFS('ON Data'!N:N,'ON Data'!$D:$D,$A$4,'ON Data'!$E:$E,4),SUMIFS('ON Data'!N:N,'ON Data'!$E:$E,4))</f>
        <v>0</v>
      </c>
      <c r="J13" s="231">
        <f xml:space="preserve">
IF($A$4&lt;=12,SUMIFS('ON Data'!O:O,'ON Data'!$D:$D,$A$4,'ON Data'!$E:$E,4),SUMIFS('ON Data'!O:O,'ON Data'!$E:$E,4))</f>
        <v>0</v>
      </c>
      <c r="K13" s="231">
        <f xml:space="preserve">
IF($A$4&lt;=12,SUMIFS('ON Data'!P:P,'ON Data'!$D:$D,$A$4,'ON Data'!$E:$E,4),SUMIFS('ON Data'!P:P,'ON Data'!$E:$E,4))</f>
        <v>0</v>
      </c>
      <c r="L13" s="231">
        <f xml:space="preserve">
IF($A$4&lt;=12,SUMIFS('ON Data'!Q:Q,'ON Data'!$D:$D,$A$4,'ON Data'!$E:$E,4),SUMIFS('ON Data'!Q:Q,'ON Data'!$E:$E,4))</f>
        <v>0</v>
      </c>
      <c r="M13" s="231">
        <f xml:space="preserve">
IF($A$4&lt;=12,SUMIFS('ON Data'!R:R,'ON Data'!$D:$D,$A$4,'ON Data'!$E:$E,4),SUMIFS('ON Data'!R:R,'ON Data'!$E:$E,4))</f>
        <v>0</v>
      </c>
      <c r="N13" s="231">
        <f xml:space="preserve">
IF($A$4&lt;=12,SUMIFS('ON Data'!S:S,'ON Data'!$D:$D,$A$4,'ON Data'!$E:$E,4),SUMIFS('ON Data'!S:S,'ON Data'!$E:$E,4))</f>
        <v>0</v>
      </c>
      <c r="O13" s="231">
        <f xml:space="preserve">
IF($A$4&lt;=12,SUMIFS('ON Data'!T:T,'ON Data'!$D:$D,$A$4,'ON Data'!$E:$E,4),SUMIFS('ON Data'!T:T,'ON Data'!$E:$E,4))</f>
        <v>0</v>
      </c>
      <c r="P13" s="231">
        <f xml:space="preserve">
IF($A$4&lt;=12,SUMIFS('ON Data'!U:U,'ON Data'!$D:$D,$A$4,'ON Data'!$E:$E,4),SUMIFS('ON Data'!U:U,'ON Data'!$E:$E,4))</f>
        <v>0</v>
      </c>
      <c r="Q13" s="231">
        <f xml:space="preserve">
IF($A$4&lt;=12,SUMIFS('ON Data'!V:V,'ON Data'!$D:$D,$A$4,'ON Data'!$E:$E,4),SUMIFS('ON Data'!V:V,'ON Data'!$E:$E,4))</f>
        <v>0</v>
      </c>
      <c r="R13" s="231">
        <f xml:space="preserve">
IF($A$4&lt;=12,SUMIFS('ON Data'!W:W,'ON Data'!$D:$D,$A$4,'ON Data'!$E:$E,4),SUMIFS('ON Data'!W:W,'ON Data'!$E:$E,4))</f>
        <v>0</v>
      </c>
      <c r="S13" s="231">
        <f xml:space="preserve">
IF($A$4&lt;=12,SUMIFS('ON Data'!X:X,'ON Data'!$D:$D,$A$4,'ON Data'!$E:$E,4),SUMIFS('ON Data'!X:X,'ON Data'!$E:$E,4))</f>
        <v>0</v>
      </c>
      <c r="T13" s="231">
        <f xml:space="preserve">
IF($A$4&lt;=12,SUMIFS('ON Data'!Y:Y,'ON Data'!$D:$D,$A$4,'ON Data'!$E:$E,4),SUMIFS('ON Data'!Y:Y,'ON Data'!$E:$E,4))</f>
        <v>0</v>
      </c>
      <c r="U13" s="231">
        <f xml:space="preserve">
IF($A$4&lt;=12,SUMIFS('ON Data'!Z:Z,'ON Data'!$D:$D,$A$4,'ON Data'!$E:$E,4),SUMIFS('ON Data'!Z:Z,'ON Data'!$E:$E,4))</f>
        <v>0</v>
      </c>
      <c r="V13" s="231">
        <f xml:space="preserve">
IF($A$4&lt;=12,SUMIFS('ON Data'!AA:AA,'ON Data'!$D:$D,$A$4,'ON Data'!$E:$E,4),SUMIFS('ON Data'!AA:AA,'ON Data'!$E:$E,4))</f>
        <v>0</v>
      </c>
      <c r="W13" s="231">
        <f xml:space="preserve">
IF($A$4&lt;=12,SUMIFS('ON Data'!AB:AB,'ON Data'!$D:$D,$A$4,'ON Data'!$E:$E,4),SUMIFS('ON Data'!AB:AB,'ON Data'!$E:$E,4))</f>
        <v>0</v>
      </c>
      <c r="X13" s="231">
        <f xml:space="preserve">
IF($A$4&lt;=12,SUMIFS('ON Data'!AC:AC,'ON Data'!$D:$D,$A$4,'ON Data'!$E:$E,4),SUMIFS('ON Data'!AC:AC,'ON Data'!$E:$E,4))</f>
        <v>0</v>
      </c>
      <c r="Y13" s="231">
        <f xml:space="preserve">
IF($A$4&lt;=12,SUMIFS('ON Data'!AD:AD,'ON Data'!$D:$D,$A$4,'ON Data'!$E:$E,4),SUMIFS('ON Data'!AD:AD,'ON Data'!$E:$E,4))</f>
        <v>0</v>
      </c>
      <c r="Z13" s="231">
        <f xml:space="preserve">
IF($A$4&lt;=12,SUMIFS('ON Data'!AE:AE,'ON Data'!$D:$D,$A$4,'ON Data'!$E:$E,4),SUMIFS('ON Data'!AE:AE,'ON Data'!$E:$E,4))</f>
        <v>0</v>
      </c>
      <c r="AA13" s="231">
        <f xml:space="preserve">
IF($A$4&lt;=12,SUMIFS('ON Data'!AF:AF,'ON Data'!$D:$D,$A$4,'ON Data'!$E:$E,4),SUMIFS('ON Data'!AF:AF,'ON Data'!$E:$E,4))</f>
        <v>0</v>
      </c>
      <c r="AB13" s="231">
        <f xml:space="preserve">
IF($A$4&lt;=12,SUMIFS('ON Data'!AG:AG,'ON Data'!$D:$D,$A$4,'ON Data'!$E:$E,4),SUMIFS('ON Data'!AG:AG,'ON Data'!$E:$E,4))</f>
        <v>0</v>
      </c>
      <c r="AC13" s="231">
        <f xml:space="preserve">
IF($A$4&lt;=12,SUMIFS('ON Data'!AH:AH,'ON Data'!$D:$D,$A$4,'ON Data'!$E:$E,4),SUMIFS('ON Data'!AH:AH,'ON Data'!$E:$E,4))</f>
        <v>0</v>
      </c>
      <c r="AD13" s="231">
        <f xml:space="preserve">
IF($A$4&lt;=12,SUMIFS('ON Data'!AI:AI,'ON Data'!$D:$D,$A$4,'ON Data'!$E:$E,4),SUMIFS('ON Data'!AI:AI,'ON Data'!$E:$E,4))</f>
        <v>0</v>
      </c>
      <c r="AE13" s="231">
        <f xml:space="preserve">
IF($A$4&lt;=12,SUMIFS('ON Data'!AJ:AJ,'ON Data'!$D:$D,$A$4,'ON Data'!$E:$E,4),SUMIFS('ON Data'!AJ:AJ,'ON Data'!$E:$E,4))</f>
        <v>0</v>
      </c>
      <c r="AF13" s="231">
        <f xml:space="preserve">
IF($A$4&lt;=12,SUMIFS('ON Data'!AK:AK,'ON Data'!$D:$D,$A$4,'ON Data'!$E:$E,4),SUMIFS('ON Data'!AK:AK,'ON Data'!$E:$E,4))</f>
        <v>0</v>
      </c>
      <c r="AG13" s="231">
        <f xml:space="preserve">
IF($A$4&lt;=12,SUMIFS('ON Data'!AL:AL,'ON Data'!$D:$D,$A$4,'ON Data'!$E:$E,4),SUMIFS('ON Data'!AL:AL,'ON Data'!$E:$E,4))</f>
        <v>0</v>
      </c>
      <c r="AH13" s="451">
        <f xml:space="preserve">
IF($A$4&lt;=12,SUMIFS('ON Data'!AN:AN,'ON Data'!$D:$D,$A$4,'ON Data'!$E:$E,4),SUMIFS('ON Data'!AN:AN,'ON Data'!$E:$E,4))</f>
        <v>0</v>
      </c>
      <c r="AI13" s="461"/>
    </row>
    <row r="14" spans="1:35" ht="15" thickBot="1" x14ac:dyDescent="0.35">
      <c r="A14" s="213" t="s">
        <v>159</v>
      </c>
      <c r="B14" s="232">
        <f xml:space="preserve">
IF($A$4&lt;=12,SUMIFS('ON Data'!F:F,'ON Data'!$D:$D,$A$4,'ON Data'!$E:$E,5),SUMIFS('ON Data'!F:F,'ON Data'!$E:$E,5))</f>
        <v>0</v>
      </c>
      <c r="C14" s="233">
        <f xml:space="preserve">
IF($A$4&lt;=12,SUMIFS('ON Data'!G:G,'ON Data'!$D:$D,$A$4,'ON Data'!$E:$E,5),SUMIFS('ON Data'!G:G,'ON Data'!$E:$E,5))</f>
        <v>0</v>
      </c>
      <c r="D14" s="234">
        <f xml:space="preserve">
IF($A$4&lt;=12,SUMIFS('ON Data'!H:H,'ON Data'!$D:$D,$A$4,'ON Data'!$E:$E,5),SUMIFS('ON Data'!H:H,'ON Data'!$E:$E,5))</f>
        <v>0</v>
      </c>
      <c r="E14" s="234">
        <f xml:space="preserve">
IF($A$4&lt;=12,SUMIFS('ON Data'!I:I,'ON Data'!$D:$D,$A$4,'ON Data'!$E:$E,5),SUMIFS('ON Data'!I:I,'ON Data'!$E:$E,5))</f>
        <v>0</v>
      </c>
      <c r="F14" s="234">
        <f xml:space="preserve">
IF($A$4&lt;=12,SUMIFS('ON Data'!K:K,'ON Data'!$D:$D,$A$4,'ON Data'!$E:$E,5),SUMIFS('ON Data'!K:K,'ON Data'!$E:$E,5))</f>
        <v>0</v>
      </c>
      <c r="G14" s="234">
        <f xml:space="preserve">
IF($A$4&lt;=12,SUMIFS('ON Data'!L:L,'ON Data'!$D:$D,$A$4,'ON Data'!$E:$E,5),SUMIFS('ON Data'!L:L,'ON Data'!$E:$E,5))</f>
        <v>0</v>
      </c>
      <c r="H14" s="234">
        <f xml:space="preserve">
IF($A$4&lt;=12,SUMIFS('ON Data'!M:M,'ON Data'!$D:$D,$A$4,'ON Data'!$E:$E,5),SUMIFS('ON Data'!M:M,'ON Data'!$E:$E,5))</f>
        <v>0</v>
      </c>
      <c r="I14" s="234">
        <f xml:space="preserve">
IF($A$4&lt;=12,SUMIFS('ON Data'!N:N,'ON Data'!$D:$D,$A$4,'ON Data'!$E:$E,5),SUMIFS('ON Data'!N:N,'ON Data'!$E:$E,5))</f>
        <v>0</v>
      </c>
      <c r="J14" s="234">
        <f xml:space="preserve">
IF($A$4&lt;=12,SUMIFS('ON Data'!O:O,'ON Data'!$D:$D,$A$4,'ON Data'!$E:$E,5),SUMIFS('ON Data'!O:O,'ON Data'!$E:$E,5))</f>
        <v>0</v>
      </c>
      <c r="K14" s="234">
        <f xml:space="preserve">
IF($A$4&lt;=12,SUMIFS('ON Data'!P:P,'ON Data'!$D:$D,$A$4,'ON Data'!$E:$E,5),SUMIFS('ON Data'!P:P,'ON Data'!$E:$E,5))</f>
        <v>0</v>
      </c>
      <c r="L14" s="234">
        <f xml:space="preserve">
IF($A$4&lt;=12,SUMIFS('ON Data'!Q:Q,'ON Data'!$D:$D,$A$4,'ON Data'!$E:$E,5),SUMIFS('ON Data'!Q:Q,'ON Data'!$E:$E,5))</f>
        <v>0</v>
      </c>
      <c r="M14" s="234">
        <f xml:space="preserve">
IF($A$4&lt;=12,SUMIFS('ON Data'!R:R,'ON Data'!$D:$D,$A$4,'ON Data'!$E:$E,5),SUMIFS('ON Data'!R:R,'ON Data'!$E:$E,5))</f>
        <v>0</v>
      </c>
      <c r="N14" s="234">
        <f xml:space="preserve">
IF($A$4&lt;=12,SUMIFS('ON Data'!S:S,'ON Data'!$D:$D,$A$4,'ON Data'!$E:$E,5),SUMIFS('ON Data'!S:S,'ON Data'!$E:$E,5))</f>
        <v>0</v>
      </c>
      <c r="O14" s="234">
        <f xml:space="preserve">
IF($A$4&lt;=12,SUMIFS('ON Data'!T:T,'ON Data'!$D:$D,$A$4,'ON Data'!$E:$E,5),SUMIFS('ON Data'!T:T,'ON Data'!$E:$E,5))</f>
        <v>0</v>
      </c>
      <c r="P14" s="234">
        <f xml:space="preserve">
IF($A$4&lt;=12,SUMIFS('ON Data'!U:U,'ON Data'!$D:$D,$A$4,'ON Data'!$E:$E,5),SUMIFS('ON Data'!U:U,'ON Data'!$E:$E,5))</f>
        <v>0</v>
      </c>
      <c r="Q14" s="234">
        <f xml:space="preserve">
IF($A$4&lt;=12,SUMIFS('ON Data'!V:V,'ON Data'!$D:$D,$A$4,'ON Data'!$E:$E,5),SUMIFS('ON Data'!V:V,'ON Data'!$E:$E,5))</f>
        <v>0</v>
      </c>
      <c r="R14" s="234">
        <f xml:space="preserve">
IF($A$4&lt;=12,SUMIFS('ON Data'!W:W,'ON Data'!$D:$D,$A$4,'ON Data'!$E:$E,5),SUMIFS('ON Data'!W:W,'ON Data'!$E:$E,5))</f>
        <v>0</v>
      </c>
      <c r="S14" s="234">
        <f xml:space="preserve">
IF($A$4&lt;=12,SUMIFS('ON Data'!X:X,'ON Data'!$D:$D,$A$4,'ON Data'!$E:$E,5),SUMIFS('ON Data'!X:X,'ON Data'!$E:$E,5))</f>
        <v>0</v>
      </c>
      <c r="T14" s="234">
        <f xml:space="preserve">
IF($A$4&lt;=12,SUMIFS('ON Data'!Y:Y,'ON Data'!$D:$D,$A$4,'ON Data'!$E:$E,5),SUMIFS('ON Data'!Y:Y,'ON Data'!$E:$E,5))</f>
        <v>0</v>
      </c>
      <c r="U14" s="234">
        <f xml:space="preserve">
IF($A$4&lt;=12,SUMIFS('ON Data'!Z:Z,'ON Data'!$D:$D,$A$4,'ON Data'!$E:$E,5),SUMIFS('ON Data'!Z:Z,'ON Data'!$E:$E,5))</f>
        <v>0</v>
      </c>
      <c r="V14" s="234">
        <f xml:space="preserve">
IF($A$4&lt;=12,SUMIFS('ON Data'!AA:AA,'ON Data'!$D:$D,$A$4,'ON Data'!$E:$E,5),SUMIFS('ON Data'!AA:AA,'ON Data'!$E:$E,5))</f>
        <v>0</v>
      </c>
      <c r="W14" s="234">
        <f xml:space="preserve">
IF($A$4&lt;=12,SUMIFS('ON Data'!AB:AB,'ON Data'!$D:$D,$A$4,'ON Data'!$E:$E,5),SUMIFS('ON Data'!AB:AB,'ON Data'!$E:$E,5))</f>
        <v>0</v>
      </c>
      <c r="X14" s="234">
        <f xml:space="preserve">
IF($A$4&lt;=12,SUMIFS('ON Data'!AC:AC,'ON Data'!$D:$D,$A$4,'ON Data'!$E:$E,5),SUMIFS('ON Data'!AC:AC,'ON Data'!$E:$E,5))</f>
        <v>0</v>
      </c>
      <c r="Y14" s="234">
        <f xml:space="preserve">
IF($A$4&lt;=12,SUMIFS('ON Data'!AD:AD,'ON Data'!$D:$D,$A$4,'ON Data'!$E:$E,5),SUMIFS('ON Data'!AD:AD,'ON Data'!$E:$E,5))</f>
        <v>0</v>
      </c>
      <c r="Z14" s="234">
        <f xml:space="preserve">
IF($A$4&lt;=12,SUMIFS('ON Data'!AE:AE,'ON Data'!$D:$D,$A$4,'ON Data'!$E:$E,5),SUMIFS('ON Data'!AE:AE,'ON Data'!$E:$E,5))</f>
        <v>0</v>
      </c>
      <c r="AA14" s="234">
        <f xml:space="preserve">
IF($A$4&lt;=12,SUMIFS('ON Data'!AF:AF,'ON Data'!$D:$D,$A$4,'ON Data'!$E:$E,5),SUMIFS('ON Data'!AF:AF,'ON Data'!$E:$E,5))</f>
        <v>0</v>
      </c>
      <c r="AB14" s="234">
        <f xml:space="preserve">
IF($A$4&lt;=12,SUMIFS('ON Data'!AG:AG,'ON Data'!$D:$D,$A$4,'ON Data'!$E:$E,5),SUMIFS('ON Data'!AG:AG,'ON Data'!$E:$E,5))</f>
        <v>0</v>
      </c>
      <c r="AC14" s="234">
        <f xml:space="preserve">
IF($A$4&lt;=12,SUMIFS('ON Data'!AH:AH,'ON Data'!$D:$D,$A$4,'ON Data'!$E:$E,5),SUMIFS('ON Data'!AH:AH,'ON Data'!$E:$E,5))</f>
        <v>0</v>
      </c>
      <c r="AD14" s="234">
        <f xml:space="preserve">
IF($A$4&lt;=12,SUMIFS('ON Data'!AI:AI,'ON Data'!$D:$D,$A$4,'ON Data'!$E:$E,5),SUMIFS('ON Data'!AI:AI,'ON Data'!$E:$E,5))</f>
        <v>0</v>
      </c>
      <c r="AE14" s="234">
        <f xml:space="preserve">
IF($A$4&lt;=12,SUMIFS('ON Data'!AJ:AJ,'ON Data'!$D:$D,$A$4,'ON Data'!$E:$E,5),SUMIFS('ON Data'!AJ:AJ,'ON Data'!$E:$E,5))</f>
        <v>0</v>
      </c>
      <c r="AF14" s="234">
        <f xml:space="preserve">
IF($A$4&lt;=12,SUMIFS('ON Data'!AK:AK,'ON Data'!$D:$D,$A$4,'ON Data'!$E:$E,5),SUMIFS('ON Data'!AK:AK,'ON Data'!$E:$E,5))</f>
        <v>0</v>
      </c>
      <c r="AG14" s="234">
        <f xml:space="preserve">
IF($A$4&lt;=12,SUMIFS('ON Data'!AL:AL,'ON Data'!$D:$D,$A$4,'ON Data'!$E:$E,5),SUMIFS('ON Data'!AL:AL,'ON Data'!$E:$E,5))</f>
        <v>0</v>
      </c>
      <c r="AH14" s="452">
        <f xml:space="preserve">
IF($A$4&lt;=12,SUMIFS('ON Data'!AN:AN,'ON Data'!$D:$D,$A$4,'ON Data'!$E:$E,5),SUMIFS('ON Data'!AN:AN,'ON Data'!$E:$E,5))</f>
        <v>0</v>
      </c>
      <c r="AI14" s="461"/>
    </row>
    <row r="15" spans="1:35" x14ac:dyDescent="0.3">
      <c r="A15" s="136" t="s">
        <v>169</v>
      </c>
      <c r="B15" s="235"/>
      <c r="C15" s="236"/>
      <c r="D15" s="237"/>
      <c r="E15" s="237"/>
      <c r="F15" s="237"/>
      <c r="G15" s="237"/>
      <c r="H15" s="237"/>
      <c r="I15" s="237"/>
      <c r="J15" s="237"/>
      <c r="K15" s="237"/>
      <c r="L15" s="237"/>
      <c r="M15" s="237"/>
      <c r="N15" s="237"/>
      <c r="O15" s="237"/>
      <c r="P15" s="237"/>
      <c r="Q15" s="237"/>
      <c r="R15" s="237"/>
      <c r="S15" s="237"/>
      <c r="T15" s="237"/>
      <c r="U15" s="237"/>
      <c r="V15" s="237"/>
      <c r="W15" s="237"/>
      <c r="X15" s="237"/>
      <c r="Y15" s="237"/>
      <c r="Z15" s="237"/>
      <c r="AA15" s="237"/>
      <c r="AB15" s="237"/>
      <c r="AC15" s="237"/>
      <c r="AD15" s="237"/>
      <c r="AE15" s="237"/>
      <c r="AF15" s="237"/>
      <c r="AG15" s="237"/>
      <c r="AH15" s="453"/>
      <c r="AI15" s="461"/>
    </row>
    <row r="16" spans="1:35" x14ac:dyDescent="0.3">
      <c r="A16" s="214" t="s">
        <v>160</v>
      </c>
      <c r="B16" s="229">
        <f xml:space="preserve">
IF($A$4&lt;=12,SUMIFS('ON Data'!F:F,'ON Data'!$D:$D,$A$4,'ON Data'!$E:$E,7),SUMIFS('ON Data'!F:F,'ON Data'!$E:$E,7))</f>
        <v>0</v>
      </c>
      <c r="C16" s="230">
        <f xml:space="preserve">
IF($A$4&lt;=12,SUMIFS('ON Data'!G:G,'ON Data'!$D:$D,$A$4,'ON Data'!$E:$E,7),SUMIFS('ON Data'!G:G,'ON Data'!$E:$E,7))</f>
        <v>0</v>
      </c>
      <c r="D16" s="231">
        <f xml:space="preserve">
IF($A$4&lt;=12,SUMIFS('ON Data'!H:H,'ON Data'!$D:$D,$A$4,'ON Data'!$E:$E,7),SUMIFS('ON Data'!H:H,'ON Data'!$E:$E,7))</f>
        <v>0</v>
      </c>
      <c r="E16" s="231">
        <f xml:space="preserve">
IF($A$4&lt;=12,SUMIFS('ON Data'!I:I,'ON Data'!$D:$D,$A$4,'ON Data'!$E:$E,7),SUMIFS('ON Data'!I:I,'ON Data'!$E:$E,7))</f>
        <v>0</v>
      </c>
      <c r="F16" s="231">
        <f xml:space="preserve">
IF($A$4&lt;=12,SUMIFS('ON Data'!K:K,'ON Data'!$D:$D,$A$4,'ON Data'!$E:$E,7),SUMIFS('ON Data'!K:K,'ON Data'!$E:$E,7))</f>
        <v>0</v>
      </c>
      <c r="G16" s="231">
        <f xml:space="preserve">
IF($A$4&lt;=12,SUMIFS('ON Data'!L:L,'ON Data'!$D:$D,$A$4,'ON Data'!$E:$E,7),SUMIFS('ON Data'!L:L,'ON Data'!$E:$E,7))</f>
        <v>0</v>
      </c>
      <c r="H16" s="231">
        <f xml:space="preserve">
IF($A$4&lt;=12,SUMIFS('ON Data'!M:M,'ON Data'!$D:$D,$A$4,'ON Data'!$E:$E,7),SUMIFS('ON Data'!M:M,'ON Data'!$E:$E,7))</f>
        <v>0</v>
      </c>
      <c r="I16" s="231">
        <f xml:space="preserve">
IF($A$4&lt;=12,SUMIFS('ON Data'!N:N,'ON Data'!$D:$D,$A$4,'ON Data'!$E:$E,7),SUMIFS('ON Data'!N:N,'ON Data'!$E:$E,7))</f>
        <v>0</v>
      </c>
      <c r="J16" s="231">
        <f xml:space="preserve">
IF($A$4&lt;=12,SUMIFS('ON Data'!O:O,'ON Data'!$D:$D,$A$4,'ON Data'!$E:$E,7),SUMIFS('ON Data'!O:O,'ON Data'!$E:$E,7))</f>
        <v>0</v>
      </c>
      <c r="K16" s="231">
        <f xml:space="preserve">
IF($A$4&lt;=12,SUMIFS('ON Data'!P:P,'ON Data'!$D:$D,$A$4,'ON Data'!$E:$E,7),SUMIFS('ON Data'!P:P,'ON Data'!$E:$E,7))</f>
        <v>0</v>
      </c>
      <c r="L16" s="231">
        <f xml:space="preserve">
IF($A$4&lt;=12,SUMIFS('ON Data'!Q:Q,'ON Data'!$D:$D,$A$4,'ON Data'!$E:$E,7),SUMIFS('ON Data'!Q:Q,'ON Data'!$E:$E,7))</f>
        <v>0</v>
      </c>
      <c r="M16" s="231">
        <f xml:space="preserve">
IF($A$4&lt;=12,SUMIFS('ON Data'!R:R,'ON Data'!$D:$D,$A$4,'ON Data'!$E:$E,7),SUMIFS('ON Data'!R:R,'ON Data'!$E:$E,7))</f>
        <v>0</v>
      </c>
      <c r="N16" s="231">
        <f xml:space="preserve">
IF($A$4&lt;=12,SUMIFS('ON Data'!S:S,'ON Data'!$D:$D,$A$4,'ON Data'!$E:$E,7),SUMIFS('ON Data'!S:S,'ON Data'!$E:$E,7))</f>
        <v>0</v>
      </c>
      <c r="O16" s="231">
        <f xml:space="preserve">
IF($A$4&lt;=12,SUMIFS('ON Data'!T:T,'ON Data'!$D:$D,$A$4,'ON Data'!$E:$E,7),SUMIFS('ON Data'!T:T,'ON Data'!$E:$E,7))</f>
        <v>0</v>
      </c>
      <c r="P16" s="231">
        <f xml:space="preserve">
IF($A$4&lt;=12,SUMIFS('ON Data'!U:U,'ON Data'!$D:$D,$A$4,'ON Data'!$E:$E,7),SUMIFS('ON Data'!U:U,'ON Data'!$E:$E,7))</f>
        <v>0</v>
      </c>
      <c r="Q16" s="231">
        <f xml:space="preserve">
IF($A$4&lt;=12,SUMIFS('ON Data'!V:V,'ON Data'!$D:$D,$A$4,'ON Data'!$E:$E,7),SUMIFS('ON Data'!V:V,'ON Data'!$E:$E,7))</f>
        <v>0</v>
      </c>
      <c r="R16" s="231">
        <f xml:space="preserve">
IF($A$4&lt;=12,SUMIFS('ON Data'!W:W,'ON Data'!$D:$D,$A$4,'ON Data'!$E:$E,7),SUMIFS('ON Data'!W:W,'ON Data'!$E:$E,7))</f>
        <v>0</v>
      </c>
      <c r="S16" s="231">
        <f xml:space="preserve">
IF($A$4&lt;=12,SUMIFS('ON Data'!X:X,'ON Data'!$D:$D,$A$4,'ON Data'!$E:$E,7),SUMIFS('ON Data'!X:X,'ON Data'!$E:$E,7))</f>
        <v>0</v>
      </c>
      <c r="T16" s="231">
        <f xml:space="preserve">
IF($A$4&lt;=12,SUMIFS('ON Data'!Y:Y,'ON Data'!$D:$D,$A$4,'ON Data'!$E:$E,7),SUMIFS('ON Data'!Y:Y,'ON Data'!$E:$E,7))</f>
        <v>0</v>
      </c>
      <c r="U16" s="231">
        <f xml:space="preserve">
IF($A$4&lt;=12,SUMIFS('ON Data'!Z:Z,'ON Data'!$D:$D,$A$4,'ON Data'!$E:$E,7),SUMIFS('ON Data'!Z:Z,'ON Data'!$E:$E,7))</f>
        <v>0</v>
      </c>
      <c r="V16" s="231">
        <f xml:space="preserve">
IF($A$4&lt;=12,SUMIFS('ON Data'!AA:AA,'ON Data'!$D:$D,$A$4,'ON Data'!$E:$E,7),SUMIFS('ON Data'!AA:AA,'ON Data'!$E:$E,7))</f>
        <v>0</v>
      </c>
      <c r="W16" s="231">
        <f xml:space="preserve">
IF($A$4&lt;=12,SUMIFS('ON Data'!AB:AB,'ON Data'!$D:$D,$A$4,'ON Data'!$E:$E,7),SUMIFS('ON Data'!AB:AB,'ON Data'!$E:$E,7))</f>
        <v>0</v>
      </c>
      <c r="X16" s="231">
        <f xml:space="preserve">
IF($A$4&lt;=12,SUMIFS('ON Data'!AC:AC,'ON Data'!$D:$D,$A$4,'ON Data'!$E:$E,7),SUMIFS('ON Data'!AC:AC,'ON Data'!$E:$E,7))</f>
        <v>0</v>
      </c>
      <c r="Y16" s="231">
        <f xml:space="preserve">
IF($A$4&lt;=12,SUMIFS('ON Data'!AD:AD,'ON Data'!$D:$D,$A$4,'ON Data'!$E:$E,7),SUMIFS('ON Data'!AD:AD,'ON Data'!$E:$E,7))</f>
        <v>0</v>
      </c>
      <c r="Z16" s="231">
        <f xml:space="preserve">
IF($A$4&lt;=12,SUMIFS('ON Data'!AE:AE,'ON Data'!$D:$D,$A$4,'ON Data'!$E:$E,7),SUMIFS('ON Data'!AE:AE,'ON Data'!$E:$E,7))</f>
        <v>0</v>
      </c>
      <c r="AA16" s="231">
        <f xml:space="preserve">
IF($A$4&lt;=12,SUMIFS('ON Data'!AF:AF,'ON Data'!$D:$D,$A$4,'ON Data'!$E:$E,7),SUMIFS('ON Data'!AF:AF,'ON Data'!$E:$E,7))</f>
        <v>0</v>
      </c>
      <c r="AB16" s="231">
        <f xml:space="preserve">
IF($A$4&lt;=12,SUMIFS('ON Data'!AG:AG,'ON Data'!$D:$D,$A$4,'ON Data'!$E:$E,7),SUMIFS('ON Data'!AG:AG,'ON Data'!$E:$E,7))</f>
        <v>0</v>
      </c>
      <c r="AC16" s="231">
        <f xml:space="preserve">
IF($A$4&lt;=12,SUMIFS('ON Data'!AH:AH,'ON Data'!$D:$D,$A$4,'ON Data'!$E:$E,7),SUMIFS('ON Data'!AH:AH,'ON Data'!$E:$E,7))</f>
        <v>0</v>
      </c>
      <c r="AD16" s="231">
        <f xml:space="preserve">
IF($A$4&lt;=12,SUMIFS('ON Data'!AI:AI,'ON Data'!$D:$D,$A$4,'ON Data'!$E:$E,7),SUMIFS('ON Data'!AI:AI,'ON Data'!$E:$E,7))</f>
        <v>0</v>
      </c>
      <c r="AE16" s="231">
        <f xml:space="preserve">
IF($A$4&lt;=12,SUMIFS('ON Data'!AJ:AJ,'ON Data'!$D:$D,$A$4,'ON Data'!$E:$E,7),SUMIFS('ON Data'!AJ:AJ,'ON Data'!$E:$E,7))</f>
        <v>0</v>
      </c>
      <c r="AF16" s="231">
        <f xml:space="preserve">
IF($A$4&lt;=12,SUMIFS('ON Data'!AK:AK,'ON Data'!$D:$D,$A$4,'ON Data'!$E:$E,7),SUMIFS('ON Data'!AK:AK,'ON Data'!$E:$E,7))</f>
        <v>0</v>
      </c>
      <c r="AG16" s="231">
        <f xml:space="preserve">
IF($A$4&lt;=12,SUMIFS('ON Data'!AL:AL,'ON Data'!$D:$D,$A$4,'ON Data'!$E:$E,7),SUMIFS('ON Data'!AL:AL,'ON Data'!$E:$E,7))</f>
        <v>0</v>
      </c>
      <c r="AH16" s="451">
        <f xml:space="preserve">
IF($A$4&lt;=12,SUMIFS('ON Data'!AN:AN,'ON Data'!$D:$D,$A$4,'ON Data'!$E:$E,7),SUMIFS('ON Data'!AN:AN,'ON Data'!$E:$E,7))</f>
        <v>0</v>
      </c>
      <c r="AI16" s="461"/>
    </row>
    <row r="17" spans="1:35" x14ac:dyDescent="0.3">
      <c r="A17" s="214" t="s">
        <v>161</v>
      </c>
      <c r="B17" s="229">
        <f xml:space="preserve">
IF($A$4&lt;=12,SUMIFS('ON Data'!F:F,'ON Data'!$D:$D,$A$4,'ON Data'!$E:$E,8),SUMIFS('ON Data'!F:F,'ON Data'!$E:$E,8))</f>
        <v>0</v>
      </c>
      <c r="C17" s="230">
        <f xml:space="preserve">
IF($A$4&lt;=12,SUMIFS('ON Data'!G:G,'ON Data'!$D:$D,$A$4,'ON Data'!$E:$E,8),SUMIFS('ON Data'!G:G,'ON Data'!$E:$E,8))</f>
        <v>0</v>
      </c>
      <c r="D17" s="231">
        <f xml:space="preserve">
IF($A$4&lt;=12,SUMIFS('ON Data'!H:H,'ON Data'!$D:$D,$A$4,'ON Data'!$E:$E,8),SUMIFS('ON Data'!H:H,'ON Data'!$E:$E,8))</f>
        <v>0</v>
      </c>
      <c r="E17" s="231">
        <f xml:space="preserve">
IF($A$4&lt;=12,SUMIFS('ON Data'!I:I,'ON Data'!$D:$D,$A$4,'ON Data'!$E:$E,8),SUMIFS('ON Data'!I:I,'ON Data'!$E:$E,8))</f>
        <v>0</v>
      </c>
      <c r="F17" s="231">
        <f xml:space="preserve">
IF($A$4&lt;=12,SUMIFS('ON Data'!K:K,'ON Data'!$D:$D,$A$4,'ON Data'!$E:$E,8),SUMIFS('ON Data'!K:K,'ON Data'!$E:$E,8))</f>
        <v>0</v>
      </c>
      <c r="G17" s="231">
        <f xml:space="preserve">
IF($A$4&lt;=12,SUMIFS('ON Data'!L:L,'ON Data'!$D:$D,$A$4,'ON Data'!$E:$E,8),SUMIFS('ON Data'!L:L,'ON Data'!$E:$E,8))</f>
        <v>0</v>
      </c>
      <c r="H17" s="231">
        <f xml:space="preserve">
IF($A$4&lt;=12,SUMIFS('ON Data'!M:M,'ON Data'!$D:$D,$A$4,'ON Data'!$E:$E,8),SUMIFS('ON Data'!M:M,'ON Data'!$E:$E,8))</f>
        <v>0</v>
      </c>
      <c r="I17" s="231">
        <f xml:space="preserve">
IF($A$4&lt;=12,SUMIFS('ON Data'!N:N,'ON Data'!$D:$D,$A$4,'ON Data'!$E:$E,8),SUMIFS('ON Data'!N:N,'ON Data'!$E:$E,8))</f>
        <v>0</v>
      </c>
      <c r="J17" s="231">
        <f xml:space="preserve">
IF($A$4&lt;=12,SUMIFS('ON Data'!O:O,'ON Data'!$D:$D,$A$4,'ON Data'!$E:$E,8),SUMIFS('ON Data'!O:O,'ON Data'!$E:$E,8))</f>
        <v>0</v>
      </c>
      <c r="K17" s="231">
        <f xml:space="preserve">
IF($A$4&lt;=12,SUMIFS('ON Data'!P:P,'ON Data'!$D:$D,$A$4,'ON Data'!$E:$E,8),SUMIFS('ON Data'!P:P,'ON Data'!$E:$E,8))</f>
        <v>0</v>
      </c>
      <c r="L17" s="231">
        <f xml:space="preserve">
IF($A$4&lt;=12,SUMIFS('ON Data'!Q:Q,'ON Data'!$D:$D,$A$4,'ON Data'!$E:$E,8),SUMIFS('ON Data'!Q:Q,'ON Data'!$E:$E,8))</f>
        <v>0</v>
      </c>
      <c r="M17" s="231">
        <f xml:space="preserve">
IF($A$4&lt;=12,SUMIFS('ON Data'!R:R,'ON Data'!$D:$D,$A$4,'ON Data'!$E:$E,8),SUMIFS('ON Data'!R:R,'ON Data'!$E:$E,8))</f>
        <v>0</v>
      </c>
      <c r="N17" s="231">
        <f xml:space="preserve">
IF($A$4&lt;=12,SUMIFS('ON Data'!S:S,'ON Data'!$D:$D,$A$4,'ON Data'!$E:$E,8),SUMIFS('ON Data'!S:S,'ON Data'!$E:$E,8))</f>
        <v>0</v>
      </c>
      <c r="O17" s="231">
        <f xml:space="preserve">
IF($A$4&lt;=12,SUMIFS('ON Data'!T:T,'ON Data'!$D:$D,$A$4,'ON Data'!$E:$E,8),SUMIFS('ON Data'!T:T,'ON Data'!$E:$E,8))</f>
        <v>0</v>
      </c>
      <c r="P17" s="231">
        <f xml:space="preserve">
IF($A$4&lt;=12,SUMIFS('ON Data'!U:U,'ON Data'!$D:$D,$A$4,'ON Data'!$E:$E,8),SUMIFS('ON Data'!U:U,'ON Data'!$E:$E,8))</f>
        <v>0</v>
      </c>
      <c r="Q17" s="231">
        <f xml:space="preserve">
IF($A$4&lt;=12,SUMIFS('ON Data'!V:V,'ON Data'!$D:$D,$A$4,'ON Data'!$E:$E,8),SUMIFS('ON Data'!V:V,'ON Data'!$E:$E,8))</f>
        <v>0</v>
      </c>
      <c r="R17" s="231">
        <f xml:space="preserve">
IF($A$4&lt;=12,SUMIFS('ON Data'!W:W,'ON Data'!$D:$D,$A$4,'ON Data'!$E:$E,8),SUMIFS('ON Data'!W:W,'ON Data'!$E:$E,8))</f>
        <v>0</v>
      </c>
      <c r="S17" s="231">
        <f xml:space="preserve">
IF($A$4&lt;=12,SUMIFS('ON Data'!X:X,'ON Data'!$D:$D,$A$4,'ON Data'!$E:$E,8),SUMIFS('ON Data'!X:X,'ON Data'!$E:$E,8))</f>
        <v>0</v>
      </c>
      <c r="T17" s="231">
        <f xml:space="preserve">
IF($A$4&lt;=12,SUMIFS('ON Data'!Y:Y,'ON Data'!$D:$D,$A$4,'ON Data'!$E:$E,8),SUMIFS('ON Data'!Y:Y,'ON Data'!$E:$E,8))</f>
        <v>0</v>
      </c>
      <c r="U17" s="231">
        <f xml:space="preserve">
IF($A$4&lt;=12,SUMIFS('ON Data'!Z:Z,'ON Data'!$D:$D,$A$4,'ON Data'!$E:$E,8),SUMIFS('ON Data'!Z:Z,'ON Data'!$E:$E,8))</f>
        <v>0</v>
      </c>
      <c r="V17" s="231">
        <f xml:space="preserve">
IF($A$4&lt;=12,SUMIFS('ON Data'!AA:AA,'ON Data'!$D:$D,$A$4,'ON Data'!$E:$E,8),SUMIFS('ON Data'!AA:AA,'ON Data'!$E:$E,8))</f>
        <v>0</v>
      </c>
      <c r="W17" s="231">
        <f xml:space="preserve">
IF($A$4&lt;=12,SUMIFS('ON Data'!AB:AB,'ON Data'!$D:$D,$A$4,'ON Data'!$E:$E,8),SUMIFS('ON Data'!AB:AB,'ON Data'!$E:$E,8))</f>
        <v>0</v>
      </c>
      <c r="X17" s="231">
        <f xml:space="preserve">
IF($A$4&lt;=12,SUMIFS('ON Data'!AC:AC,'ON Data'!$D:$D,$A$4,'ON Data'!$E:$E,8),SUMIFS('ON Data'!AC:AC,'ON Data'!$E:$E,8))</f>
        <v>0</v>
      </c>
      <c r="Y17" s="231">
        <f xml:space="preserve">
IF($A$4&lt;=12,SUMIFS('ON Data'!AD:AD,'ON Data'!$D:$D,$A$4,'ON Data'!$E:$E,8),SUMIFS('ON Data'!AD:AD,'ON Data'!$E:$E,8))</f>
        <v>0</v>
      </c>
      <c r="Z17" s="231">
        <f xml:space="preserve">
IF($A$4&lt;=12,SUMIFS('ON Data'!AE:AE,'ON Data'!$D:$D,$A$4,'ON Data'!$E:$E,8),SUMIFS('ON Data'!AE:AE,'ON Data'!$E:$E,8))</f>
        <v>0</v>
      </c>
      <c r="AA17" s="231">
        <f xml:space="preserve">
IF($A$4&lt;=12,SUMIFS('ON Data'!AF:AF,'ON Data'!$D:$D,$A$4,'ON Data'!$E:$E,8),SUMIFS('ON Data'!AF:AF,'ON Data'!$E:$E,8))</f>
        <v>0</v>
      </c>
      <c r="AB17" s="231">
        <f xml:space="preserve">
IF($A$4&lt;=12,SUMIFS('ON Data'!AG:AG,'ON Data'!$D:$D,$A$4,'ON Data'!$E:$E,8),SUMIFS('ON Data'!AG:AG,'ON Data'!$E:$E,8))</f>
        <v>0</v>
      </c>
      <c r="AC17" s="231">
        <f xml:space="preserve">
IF($A$4&lt;=12,SUMIFS('ON Data'!AH:AH,'ON Data'!$D:$D,$A$4,'ON Data'!$E:$E,8),SUMIFS('ON Data'!AH:AH,'ON Data'!$E:$E,8))</f>
        <v>0</v>
      </c>
      <c r="AD17" s="231">
        <f xml:space="preserve">
IF($A$4&lt;=12,SUMIFS('ON Data'!AI:AI,'ON Data'!$D:$D,$A$4,'ON Data'!$E:$E,8),SUMIFS('ON Data'!AI:AI,'ON Data'!$E:$E,8))</f>
        <v>0</v>
      </c>
      <c r="AE17" s="231">
        <f xml:space="preserve">
IF($A$4&lt;=12,SUMIFS('ON Data'!AJ:AJ,'ON Data'!$D:$D,$A$4,'ON Data'!$E:$E,8),SUMIFS('ON Data'!AJ:AJ,'ON Data'!$E:$E,8))</f>
        <v>0</v>
      </c>
      <c r="AF17" s="231">
        <f xml:space="preserve">
IF($A$4&lt;=12,SUMIFS('ON Data'!AK:AK,'ON Data'!$D:$D,$A$4,'ON Data'!$E:$E,8),SUMIFS('ON Data'!AK:AK,'ON Data'!$E:$E,8))</f>
        <v>0</v>
      </c>
      <c r="AG17" s="231">
        <f xml:space="preserve">
IF($A$4&lt;=12,SUMIFS('ON Data'!AL:AL,'ON Data'!$D:$D,$A$4,'ON Data'!$E:$E,8),SUMIFS('ON Data'!AL:AL,'ON Data'!$E:$E,8))</f>
        <v>0</v>
      </c>
      <c r="AH17" s="451">
        <f xml:space="preserve">
IF($A$4&lt;=12,SUMIFS('ON Data'!AN:AN,'ON Data'!$D:$D,$A$4,'ON Data'!$E:$E,8),SUMIFS('ON Data'!AN:AN,'ON Data'!$E:$E,8))</f>
        <v>0</v>
      </c>
      <c r="AI17" s="461"/>
    </row>
    <row r="18" spans="1:35" x14ac:dyDescent="0.3">
      <c r="A18" s="214" t="s">
        <v>162</v>
      </c>
      <c r="B18" s="229">
        <f xml:space="preserve">
B19-B16-B17</f>
        <v>189845</v>
      </c>
      <c r="C18" s="230">
        <f t="shared" ref="C18:G18" si="0" xml:space="preserve">
C19-C16-C17</f>
        <v>0</v>
      </c>
      <c r="D18" s="231">
        <f t="shared" si="0"/>
        <v>0</v>
      </c>
      <c r="E18" s="231">
        <f t="shared" si="0"/>
        <v>0</v>
      </c>
      <c r="F18" s="231">
        <f t="shared" si="0"/>
        <v>0</v>
      </c>
      <c r="G18" s="231">
        <f t="shared" si="0"/>
        <v>0</v>
      </c>
      <c r="H18" s="231">
        <f t="shared" ref="H18:AH18" si="1" xml:space="preserve">
H19-H16-H17</f>
        <v>0</v>
      </c>
      <c r="I18" s="231">
        <f t="shared" si="1"/>
        <v>0</v>
      </c>
      <c r="J18" s="231">
        <f t="shared" si="1"/>
        <v>0</v>
      </c>
      <c r="K18" s="231">
        <f t="shared" si="1"/>
        <v>0</v>
      </c>
      <c r="L18" s="231">
        <f t="shared" si="1"/>
        <v>0</v>
      </c>
      <c r="M18" s="231">
        <f t="shared" si="1"/>
        <v>0</v>
      </c>
      <c r="N18" s="231">
        <f t="shared" si="1"/>
        <v>0</v>
      </c>
      <c r="O18" s="231">
        <f t="shared" si="1"/>
        <v>0</v>
      </c>
      <c r="P18" s="231">
        <f t="shared" si="1"/>
        <v>0</v>
      </c>
      <c r="Q18" s="231">
        <f t="shared" si="1"/>
        <v>0</v>
      </c>
      <c r="R18" s="231">
        <f t="shared" si="1"/>
        <v>0</v>
      </c>
      <c r="S18" s="231">
        <f t="shared" si="1"/>
        <v>189845</v>
      </c>
      <c r="T18" s="231">
        <f t="shared" si="1"/>
        <v>0</v>
      </c>
      <c r="U18" s="231">
        <f t="shared" si="1"/>
        <v>0</v>
      </c>
      <c r="V18" s="231">
        <f t="shared" si="1"/>
        <v>0</v>
      </c>
      <c r="W18" s="231">
        <f t="shared" si="1"/>
        <v>0</v>
      </c>
      <c r="X18" s="231">
        <f t="shared" si="1"/>
        <v>0</v>
      </c>
      <c r="Y18" s="231">
        <f t="shared" si="1"/>
        <v>0</v>
      </c>
      <c r="Z18" s="231">
        <f t="shared" si="1"/>
        <v>0</v>
      </c>
      <c r="AA18" s="231">
        <f t="shared" si="1"/>
        <v>0</v>
      </c>
      <c r="AB18" s="231">
        <f t="shared" si="1"/>
        <v>0</v>
      </c>
      <c r="AC18" s="231">
        <f t="shared" si="1"/>
        <v>0</v>
      </c>
      <c r="AD18" s="231">
        <f t="shared" si="1"/>
        <v>0</v>
      </c>
      <c r="AE18" s="231">
        <f t="shared" si="1"/>
        <v>0</v>
      </c>
      <c r="AF18" s="231">
        <f t="shared" si="1"/>
        <v>0</v>
      </c>
      <c r="AG18" s="231">
        <f t="shared" si="1"/>
        <v>0</v>
      </c>
      <c r="AH18" s="451">
        <f t="shared" si="1"/>
        <v>0</v>
      </c>
      <c r="AI18" s="461"/>
    </row>
    <row r="19" spans="1:35" ht="15" thickBot="1" x14ac:dyDescent="0.35">
      <c r="A19" s="215" t="s">
        <v>163</v>
      </c>
      <c r="B19" s="238">
        <f xml:space="preserve">
IF($A$4&lt;=12,SUMIFS('ON Data'!F:F,'ON Data'!$D:$D,$A$4,'ON Data'!$E:$E,9),SUMIFS('ON Data'!F:F,'ON Data'!$E:$E,9))</f>
        <v>189845</v>
      </c>
      <c r="C19" s="239">
        <f xml:space="preserve">
IF($A$4&lt;=12,SUMIFS('ON Data'!G:G,'ON Data'!$D:$D,$A$4,'ON Data'!$E:$E,9),SUMIFS('ON Data'!G:G,'ON Data'!$E:$E,9))</f>
        <v>0</v>
      </c>
      <c r="D19" s="240">
        <f xml:space="preserve">
IF($A$4&lt;=12,SUMIFS('ON Data'!H:H,'ON Data'!$D:$D,$A$4,'ON Data'!$E:$E,9),SUMIFS('ON Data'!H:H,'ON Data'!$E:$E,9))</f>
        <v>0</v>
      </c>
      <c r="E19" s="240">
        <f xml:space="preserve">
IF($A$4&lt;=12,SUMIFS('ON Data'!I:I,'ON Data'!$D:$D,$A$4,'ON Data'!$E:$E,9),SUMIFS('ON Data'!I:I,'ON Data'!$E:$E,9))</f>
        <v>0</v>
      </c>
      <c r="F19" s="240">
        <f xml:space="preserve">
IF($A$4&lt;=12,SUMIFS('ON Data'!K:K,'ON Data'!$D:$D,$A$4,'ON Data'!$E:$E,9),SUMIFS('ON Data'!K:K,'ON Data'!$E:$E,9))</f>
        <v>0</v>
      </c>
      <c r="G19" s="240">
        <f xml:space="preserve">
IF($A$4&lt;=12,SUMIFS('ON Data'!L:L,'ON Data'!$D:$D,$A$4,'ON Data'!$E:$E,9),SUMIFS('ON Data'!L:L,'ON Data'!$E:$E,9))</f>
        <v>0</v>
      </c>
      <c r="H19" s="240">
        <f xml:space="preserve">
IF($A$4&lt;=12,SUMIFS('ON Data'!M:M,'ON Data'!$D:$D,$A$4,'ON Data'!$E:$E,9),SUMIFS('ON Data'!M:M,'ON Data'!$E:$E,9))</f>
        <v>0</v>
      </c>
      <c r="I19" s="240">
        <f xml:space="preserve">
IF($A$4&lt;=12,SUMIFS('ON Data'!N:N,'ON Data'!$D:$D,$A$4,'ON Data'!$E:$E,9),SUMIFS('ON Data'!N:N,'ON Data'!$E:$E,9))</f>
        <v>0</v>
      </c>
      <c r="J19" s="240">
        <f xml:space="preserve">
IF($A$4&lt;=12,SUMIFS('ON Data'!O:O,'ON Data'!$D:$D,$A$4,'ON Data'!$E:$E,9),SUMIFS('ON Data'!O:O,'ON Data'!$E:$E,9))</f>
        <v>0</v>
      </c>
      <c r="K19" s="240">
        <f xml:space="preserve">
IF($A$4&lt;=12,SUMIFS('ON Data'!P:P,'ON Data'!$D:$D,$A$4,'ON Data'!$E:$E,9),SUMIFS('ON Data'!P:P,'ON Data'!$E:$E,9))</f>
        <v>0</v>
      </c>
      <c r="L19" s="240">
        <f xml:space="preserve">
IF($A$4&lt;=12,SUMIFS('ON Data'!Q:Q,'ON Data'!$D:$D,$A$4,'ON Data'!$E:$E,9),SUMIFS('ON Data'!Q:Q,'ON Data'!$E:$E,9))</f>
        <v>0</v>
      </c>
      <c r="M19" s="240">
        <f xml:space="preserve">
IF($A$4&lt;=12,SUMIFS('ON Data'!R:R,'ON Data'!$D:$D,$A$4,'ON Data'!$E:$E,9),SUMIFS('ON Data'!R:R,'ON Data'!$E:$E,9))</f>
        <v>0</v>
      </c>
      <c r="N19" s="240">
        <f xml:space="preserve">
IF($A$4&lt;=12,SUMIFS('ON Data'!S:S,'ON Data'!$D:$D,$A$4,'ON Data'!$E:$E,9),SUMIFS('ON Data'!S:S,'ON Data'!$E:$E,9))</f>
        <v>0</v>
      </c>
      <c r="O19" s="240">
        <f xml:space="preserve">
IF($A$4&lt;=12,SUMIFS('ON Data'!T:T,'ON Data'!$D:$D,$A$4,'ON Data'!$E:$E,9),SUMIFS('ON Data'!T:T,'ON Data'!$E:$E,9))</f>
        <v>0</v>
      </c>
      <c r="P19" s="240">
        <f xml:space="preserve">
IF($A$4&lt;=12,SUMIFS('ON Data'!U:U,'ON Data'!$D:$D,$A$4,'ON Data'!$E:$E,9),SUMIFS('ON Data'!U:U,'ON Data'!$E:$E,9))</f>
        <v>0</v>
      </c>
      <c r="Q19" s="240">
        <f xml:space="preserve">
IF($A$4&lt;=12,SUMIFS('ON Data'!V:V,'ON Data'!$D:$D,$A$4,'ON Data'!$E:$E,9),SUMIFS('ON Data'!V:V,'ON Data'!$E:$E,9))</f>
        <v>0</v>
      </c>
      <c r="R19" s="240">
        <f xml:space="preserve">
IF($A$4&lt;=12,SUMIFS('ON Data'!W:W,'ON Data'!$D:$D,$A$4,'ON Data'!$E:$E,9),SUMIFS('ON Data'!W:W,'ON Data'!$E:$E,9))</f>
        <v>0</v>
      </c>
      <c r="S19" s="240">
        <f xml:space="preserve">
IF($A$4&lt;=12,SUMIFS('ON Data'!X:X,'ON Data'!$D:$D,$A$4,'ON Data'!$E:$E,9),SUMIFS('ON Data'!X:X,'ON Data'!$E:$E,9))</f>
        <v>189845</v>
      </c>
      <c r="T19" s="240">
        <f xml:space="preserve">
IF($A$4&lt;=12,SUMIFS('ON Data'!Y:Y,'ON Data'!$D:$D,$A$4,'ON Data'!$E:$E,9),SUMIFS('ON Data'!Y:Y,'ON Data'!$E:$E,9))</f>
        <v>0</v>
      </c>
      <c r="U19" s="240">
        <f xml:space="preserve">
IF($A$4&lt;=12,SUMIFS('ON Data'!Z:Z,'ON Data'!$D:$D,$A$4,'ON Data'!$E:$E,9),SUMIFS('ON Data'!Z:Z,'ON Data'!$E:$E,9))</f>
        <v>0</v>
      </c>
      <c r="V19" s="240">
        <f xml:space="preserve">
IF($A$4&lt;=12,SUMIFS('ON Data'!AA:AA,'ON Data'!$D:$D,$A$4,'ON Data'!$E:$E,9),SUMIFS('ON Data'!AA:AA,'ON Data'!$E:$E,9))</f>
        <v>0</v>
      </c>
      <c r="W19" s="240">
        <f xml:space="preserve">
IF($A$4&lt;=12,SUMIFS('ON Data'!AB:AB,'ON Data'!$D:$D,$A$4,'ON Data'!$E:$E,9),SUMIFS('ON Data'!AB:AB,'ON Data'!$E:$E,9))</f>
        <v>0</v>
      </c>
      <c r="X19" s="240">
        <f xml:space="preserve">
IF($A$4&lt;=12,SUMIFS('ON Data'!AC:AC,'ON Data'!$D:$D,$A$4,'ON Data'!$E:$E,9),SUMIFS('ON Data'!AC:AC,'ON Data'!$E:$E,9))</f>
        <v>0</v>
      </c>
      <c r="Y19" s="240">
        <f xml:space="preserve">
IF($A$4&lt;=12,SUMIFS('ON Data'!AD:AD,'ON Data'!$D:$D,$A$4,'ON Data'!$E:$E,9),SUMIFS('ON Data'!AD:AD,'ON Data'!$E:$E,9))</f>
        <v>0</v>
      </c>
      <c r="Z19" s="240">
        <f xml:space="preserve">
IF($A$4&lt;=12,SUMIFS('ON Data'!AE:AE,'ON Data'!$D:$D,$A$4,'ON Data'!$E:$E,9),SUMIFS('ON Data'!AE:AE,'ON Data'!$E:$E,9))</f>
        <v>0</v>
      </c>
      <c r="AA19" s="240">
        <f xml:space="preserve">
IF($A$4&lt;=12,SUMIFS('ON Data'!AF:AF,'ON Data'!$D:$D,$A$4,'ON Data'!$E:$E,9),SUMIFS('ON Data'!AF:AF,'ON Data'!$E:$E,9))</f>
        <v>0</v>
      </c>
      <c r="AB19" s="240">
        <f xml:space="preserve">
IF($A$4&lt;=12,SUMIFS('ON Data'!AG:AG,'ON Data'!$D:$D,$A$4,'ON Data'!$E:$E,9),SUMIFS('ON Data'!AG:AG,'ON Data'!$E:$E,9))</f>
        <v>0</v>
      </c>
      <c r="AC19" s="240">
        <f xml:space="preserve">
IF($A$4&lt;=12,SUMIFS('ON Data'!AH:AH,'ON Data'!$D:$D,$A$4,'ON Data'!$E:$E,9),SUMIFS('ON Data'!AH:AH,'ON Data'!$E:$E,9))</f>
        <v>0</v>
      </c>
      <c r="AD19" s="240">
        <f xml:space="preserve">
IF($A$4&lt;=12,SUMIFS('ON Data'!AI:AI,'ON Data'!$D:$D,$A$4,'ON Data'!$E:$E,9),SUMIFS('ON Data'!AI:AI,'ON Data'!$E:$E,9))</f>
        <v>0</v>
      </c>
      <c r="AE19" s="240">
        <f xml:space="preserve">
IF($A$4&lt;=12,SUMIFS('ON Data'!AJ:AJ,'ON Data'!$D:$D,$A$4,'ON Data'!$E:$E,9),SUMIFS('ON Data'!AJ:AJ,'ON Data'!$E:$E,9))</f>
        <v>0</v>
      </c>
      <c r="AF19" s="240">
        <f xml:space="preserve">
IF($A$4&lt;=12,SUMIFS('ON Data'!AK:AK,'ON Data'!$D:$D,$A$4,'ON Data'!$E:$E,9),SUMIFS('ON Data'!AK:AK,'ON Data'!$E:$E,9))</f>
        <v>0</v>
      </c>
      <c r="AG19" s="240">
        <f xml:space="preserve">
IF($A$4&lt;=12,SUMIFS('ON Data'!AL:AL,'ON Data'!$D:$D,$A$4,'ON Data'!$E:$E,9),SUMIFS('ON Data'!AL:AL,'ON Data'!$E:$E,9))</f>
        <v>0</v>
      </c>
      <c r="AH19" s="454">
        <f xml:space="preserve">
IF($A$4&lt;=12,SUMIFS('ON Data'!AN:AN,'ON Data'!$D:$D,$A$4,'ON Data'!$E:$E,9),SUMIFS('ON Data'!AN:AN,'ON Data'!$E:$E,9))</f>
        <v>0</v>
      </c>
      <c r="AI19" s="461"/>
    </row>
    <row r="20" spans="1:35" ht="15" collapsed="1" thickBot="1" x14ac:dyDescent="0.35">
      <c r="A20" s="216" t="s">
        <v>59</v>
      </c>
      <c r="B20" s="241">
        <f xml:space="preserve">
IF($A$4&lt;=12,SUMIFS('ON Data'!F:F,'ON Data'!$D:$D,$A$4,'ON Data'!$E:$E,6),SUMIFS('ON Data'!F:F,'ON Data'!$E:$E,6))</f>
        <v>1620417</v>
      </c>
      <c r="C20" s="242">
        <f xml:space="preserve">
IF($A$4&lt;=12,SUMIFS('ON Data'!G:G,'ON Data'!$D:$D,$A$4,'ON Data'!$E:$E,6),SUMIFS('ON Data'!G:G,'ON Data'!$E:$E,6))</f>
        <v>0</v>
      </c>
      <c r="D20" s="243">
        <f xml:space="preserve">
IF($A$4&lt;=12,SUMIFS('ON Data'!H:H,'ON Data'!$D:$D,$A$4,'ON Data'!$E:$E,6),SUMIFS('ON Data'!H:H,'ON Data'!$E:$E,6))</f>
        <v>0</v>
      </c>
      <c r="E20" s="243">
        <f xml:space="preserve">
IF($A$4&lt;=12,SUMIFS('ON Data'!I:I,'ON Data'!$D:$D,$A$4,'ON Data'!$E:$E,6),SUMIFS('ON Data'!I:I,'ON Data'!$E:$E,6))</f>
        <v>0</v>
      </c>
      <c r="F20" s="243">
        <f xml:space="preserve">
IF($A$4&lt;=12,SUMIFS('ON Data'!K:K,'ON Data'!$D:$D,$A$4,'ON Data'!$E:$E,6),SUMIFS('ON Data'!K:K,'ON Data'!$E:$E,6))</f>
        <v>0</v>
      </c>
      <c r="G20" s="243">
        <f xml:space="preserve">
IF($A$4&lt;=12,SUMIFS('ON Data'!L:L,'ON Data'!$D:$D,$A$4,'ON Data'!$E:$E,6),SUMIFS('ON Data'!L:L,'ON Data'!$E:$E,6))</f>
        <v>0</v>
      </c>
      <c r="H20" s="243">
        <f xml:space="preserve">
IF($A$4&lt;=12,SUMIFS('ON Data'!M:M,'ON Data'!$D:$D,$A$4,'ON Data'!$E:$E,6),SUMIFS('ON Data'!M:M,'ON Data'!$E:$E,6))</f>
        <v>0</v>
      </c>
      <c r="I20" s="243">
        <f xml:space="preserve">
IF($A$4&lt;=12,SUMIFS('ON Data'!N:N,'ON Data'!$D:$D,$A$4,'ON Data'!$E:$E,6),SUMIFS('ON Data'!N:N,'ON Data'!$E:$E,6))</f>
        <v>0</v>
      </c>
      <c r="J20" s="243">
        <f xml:space="preserve">
IF($A$4&lt;=12,SUMIFS('ON Data'!O:O,'ON Data'!$D:$D,$A$4,'ON Data'!$E:$E,6),SUMIFS('ON Data'!O:O,'ON Data'!$E:$E,6))</f>
        <v>0</v>
      </c>
      <c r="K20" s="243">
        <f xml:space="preserve">
IF($A$4&lt;=12,SUMIFS('ON Data'!P:P,'ON Data'!$D:$D,$A$4,'ON Data'!$E:$E,6),SUMIFS('ON Data'!P:P,'ON Data'!$E:$E,6))</f>
        <v>0</v>
      </c>
      <c r="L20" s="243">
        <f xml:space="preserve">
IF($A$4&lt;=12,SUMIFS('ON Data'!Q:Q,'ON Data'!$D:$D,$A$4,'ON Data'!$E:$E,6),SUMIFS('ON Data'!Q:Q,'ON Data'!$E:$E,6))</f>
        <v>0</v>
      </c>
      <c r="M20" s="243">
        <f xml:space="preserve">
IF($A$4&lt;=12,SUMIFS('ON Data'!R:R,'ON Data'!$D:$D,$A$4,'ON Data'!$E:$E,6),SUMIFS('ON Data'!R:R,'ON Data'!$E:$E,6))</f>
        <v>0</v>
      </c>
      <c r="N20" s="243">
        <f xml:space="preserve">
IF($A$4&lt;=12,SUMIFS('ON Data'!S:S,'ON Data'!$D:$D,$A$4,'ON Data'!$E:$E,6),SUMIFS('ON Data'!S:S,'ON Data'!$E:$E,6))</f>
        <v>0</v>
      </c>
      <c r="O20" s="243">
        <f xml:space="preserve">
IF($A$4&lt;=12,SUMIFS('ON Data'!T:T,'ON Data'!$D:$D,$A$4,'ON Data'!$E:$E,6),SUMIFS('ON Data'!T:T,'ON Data'!$E:$E,6))</f>
        <v>0</v>
      </c>
      <c r="P20" s="243">
        <f xml:space="preserve">
IF($A$4&lt;=12,SUMIFS('ON Data'!U:U,'ON Data'!$D:$D,$A$4,'ON Data'!$E:$E,6),SUMIFS('ON Data'!U:U,'ON Data'!$E:$E,6))</f>
        <v>0</v>
      </c>
      <c r="Q20" s="243">
        <f xml:space="preserve">
IF($A$4&lt;=12,SUMIFS('ON Data'!V:V,'ON Data'!$D:$D,$A$4,'ON Data'!$E:$E,6),SUMIFS('ON Data'!V:V,'ON Data'!$E:$E,6))</f>
        <v>0</v>
      </c>
      <c r="R20" s="243">
        <f xml:space="preserve">
IF($A$4&lt;=12,SUMIFS('ON Data'!W:W,'ON Data'!$D:$D,$A$4,'ON Data'!$E:$E,6),SUMIFS('ON Data'!W:W,'ON Data'!$E:$E,6))</f>
        <v>0</v>
      </c>
      <c r="S20" s="243">
        <f xml:space="preserve">
IF($A$4&lt;=12,SUMIFS('ON Data'!X:X,'ON Data'!$D:$D,$A$4,'ON Data'!$E:$E,6),SUMIFS('ON Data'!X:X,'ON Data'!$E:$E,6))</f>
        <v>1594208</v>
      </c>
      <c r="T20" s="243">
        <f xml:space="preserve">
IF($A$4&lt;=12,SUMIFS('ON Data'!Y:Y,'ON Data'!$D:$D,$A$4,'ON Data'!$E:$E,6),SUMIFS('ON Data'!Y:Y,'ON Data'!$E:$E,6))</f>
        <v>0</v>
      </c>
      <c r="U20" s="243">
        <f xml:space="preserve">
IF($A$4&lt;=12,SUMIFS('ON Data'!Z:Z,'ON Data'!$D:$D,$A$4,'ON Data'!$E:$E,6),SUMIFS('ON Data'!Z:Z,'ON Data'!$E:$E,6))</f>
        <v>0</v>
      </c>
      <c r="V20" s="243">
        <f xml:space="preserve">
IF($A$4&lt;=12,SUMIFS('ON Data'!AA:AA,'ON Data'!$D:$D,$A$4,'ON Data'!$E:$E,6),SUMIFS('ON Data'!AA:AA,'ON Data'!$E:$E,6))</f>
        <v>0</v>
      </c>
      <c r="W20" s="243">
        <f xml:space="preserve">
IF($A$4&lt;=12,SUMIFS('ON Data'!AB:AB,'ON Data'!$D:$D,$A$4,'ON Data'!$E:$E,6),SUMIFS('ON Data'!AB:AB,'ON Data'!$E:$E,6))</f>
        <v>0</v>
      </c>
      <c r="X20" s="243">
        <f xml:space="preserve">
IF($A$4&lt;=12,SUMIFS('ON Data'!AC:AC,'ON Data'!$D:$D,$A$4,'ON Data'!$E:$E,6),SUMIFS('ON Data'!AC:AC,'ON Data'!$E:$E,6))</f>
        <v>0</v>
      </c>
      <c r="Y20" s="243">
        <f xml:space="preserve">
IF($A$4&lt;=12,SUMIFS('ON Data'!AD:AD,'ON Data'!$D:$D,$A$4,'ON Data'!$E:$E,6),SUMIFS('ON Data'!AD:AD,'ON Data'!$E:$E,6))</f>
        <v>0</v>
      </c>
      <c r="Z20" s="243">
        <f xml:space="preserve">
IF($A$4&lt;=12,SUMIFS('ON Data'!AE:AE,'ON Data'!$D:$D,$A$4,'ON Data'!$E:$E,6),SUMIFS('ON Data'!AE:AE,'ON Data'!$E:$E,6))</f>
        <v>0</v>
      </c>
      <c r="AA20" s="243">
        <f xml:space="preserve">
IF($A$4&lt;=12,SUMIFS('ON Data'!AF:AF,'ON Data'!$D:$D,$A$4,'ON Data'!$E:$E,6),SUMIFS('ON Data'!AF:AF,'ON Data'!$E:$E,6))</f>
        <v>0</v>
      </c>
      <c r="AB20" s="243">
        <f xml:space="preserve">
IF($A$4&lt;=12,SUMIFS('ON Data'!AG:AG,'ON Data'!$D:$D,$A$4,'ON Data'!$E:$E,6),SUMIFS('ON Data'!AG:AG,'ON Data'!$E:$E,6))</f>
        <v>0</v>
      </c>
      <c r="AC20" s="243">
        <f xml:space="preserve">
IF($A$4&lt;=12,SUMIFS('ON Data'!AH:AH,'ON Data'!$D:$D,$A$4,'ON Data'!$E:$E,6),SUMIFS('ON Data'!AH:AH,'ON Data'!$E:$E,6))</f>
        <v>0</v>
      </c>
      <c r="AD20" s="243">
        <f xml:space="preserve">
IF($A$4&lt;=12,SUMIFS('ON Data'!AI:AI,'ON Data'!$D:$D,$A$4,'ON Data'!$E:$E,6),SUMIFS('ON Data'!AI:AI,'ON Data'!$E:$E,6))</f>
        <v>0</v>
      </c>
      <c r="AE20" s="243">
        <f xml:space="preserve">
IF($A$4&lt;=12,SUMIFS('ON Data'!AJ:AJ,'ON Data'!$D:$D,$A$4,'ON Data'!$E:$E,6),SUMIFS('ON Data'!AJ:AJ,'ON Data'!$E:$E,6))</f>
        <v>0</v>
      </c>
      <c r="AF20" s="243">
        <f xml:space="preserve">
IF($A$4&lt;=12,SUMIFS('ON Data'!AK:AK,'ON Data'!$D:$D,$A$4,'ON Data'!$E:$E,6),SUMIFS('ON Data'!AK:AK,'ON Data'!$E:$E,6))</f>
        <v>0</v>
      </c>
      <c r="AG20" s="243">
        <f xml:space="preserve">
IF($A$4&lt;=12,SUMIFS('ON Data'!AL:AL,'ON Data'!$D:$D,$A$4,'ON Data'!$E:$E,6),SUMIFS('ON Data'!AL:AL,'ON Data'!$E:$E,6))</f>
        <v>0</v>
      </c>
      <c r="AH20" s="455">
        <f xml:space="preserve">
IF($A$4&lt;=12,SUMIFS('ON Data'!AN:AN,'ON Data'!$D:$D,$A$4,'ON Data'!$E:$E,6),SUMIFS('ON Data'!AN:AN,'ON Data'!$E:$E,6))</f>
        <v>26209</v>
      </c>
      <c r="AI20" s="461"/>
    </row>
    <row r="21" spans="1:35" ht="15" hidden="1" outlineLevel="1" thickBot="1" x14ac:dyDescent="0.35">
      <c r="A21" s="209" t="s">
        <v>93</v>
      </c>
      <c r="B21" s="229">
        <f xml:space="preserve">
IF($A$4&lt;=12,SUMIFS('ON Data'!F:F,'ON Data'!$D:$D,$A$4,'ON Data'!$E:$E,12),SUMIFS('ON Data'!F:F,'ON Data'!$E:$E,12))</f>
        <v>0</v>
      </c>
      <c r="C21" s="230">
        <f xml:space="preserve">
IF($A$4&lt;=12,SUMIFS('ON Data'!G:G,'ON Data'!$D:$D,$A$4,'ON Data'!$E:$E,12),SUMIFS('ON Data'!G:G,'ON Data'!$E:$E,12))</f>
        <v>0</v>
      </c>
      <c r="D21" s="231">
        <f xml:space="preserve">
IF($A$4&lt;=12,SUMIFS('ON Data'!H:H,'ON Data'!$D:$D,$A$4,'ON Data'!$E:$E,12),SUMIFS('ON Data'!H:H,'ON Data'!$E:$E,12))</f>
        <v>0</v>
      </c>
      <c r="E21" s="231">
        <f xml:space="preserve">
IF($A$4&lt;=12,SUMIFS('ON Data'!I:I,'ON Data'!$D:$D,$A$4,'ON Data'!$E:$E,12),SUMIFS('ON Data'!I:I,'ON Data'!$E:$E,12))</f>
        <v>0</v>
      </c>
      <c r="F21" s="231">
        <f xml:space="preserve">
IF($A$4&lt;=12,SUMIFS('ON Data'!K:K,'ON Data'!$D:$D,$A$4,'ON Data'!$E:$E,12),SUMIFS('ON Data'!K:K,'ON Data'!$E:$E,12))</f>
        <v>0</v>
      </c>
      <c r="G21" s="231">
        <f xml:space="preserve">
IF($A$4&lt;=12,SUMIFS('ON Data'!L:L,'ON Data'!$D:$D,$A$4,'ON Data'!$E:$E,12),SUMIFS('ON Data'!L:L,'ON Data'!$E:$E,12))</f>
        <v>0</v>
      </c>
      <c r="H21" s="231">
        <f xml:space="preserve">
IF($A$4&lt;=12,SUMIFS('ON Data'!M:M,'ON Data'!$D:$D,$A$4,'ON Data'!$E:$E,12),SUMIFS('ON Data'!M:M,'ON Data'!$E:$E,12))</f>
        <v>0</v>
      </c>
      <c r="I21" s="231">
        <f xml:space="preserve">
IF($A$4&lt;=12,SUMIFS('ON Data'!N:N,'ON Data'!$D:$D,$A$4,'ON Data'!$E:$E,12),SUMIFS('ON Data'!N:N,'ON Data'!$E:$E,12))</f>
        <v>0</v>
      </c>
      <c r="J21" s="231">
        <f xml:space="preserve">
IF($A$4&lt;=12,SUMIFS('ON Data'!O:O,'ON Data'!$D:$D,$A$4,'ON Data'!$E:$E,12),SUMIFS('ON Data'!O:O,'ON Data'!$E:$E,12))</f>
        <v>0</v>
      </c>
      <c r="K21" s="231">
        <f xml:space="preserve">
IF($A$4&lt;=12,SUMIFS('ON Data'!P:P,'ON Data'!$D:$D,$A$4,'ON Data'!$E:$E,12),SUMIFS('ON Data'!P:P,'ON Data'!$E:$E,12))</f>
        <v>0</v>
      </c>
      <c r="L21" s="231">
        <f xml:space="preserve">
IF($A$4&lt;=12,SUMIFS('ON Data'!Q:Q,'ON Data'!$D:$D,$A$4,'ON Data'!$E:$E,12),SUMIFS('ON Data'!Q:Q,'ON Data'!$E:$E,12))</f>
        <v>0</v>
      </c>
      <c r="M21" s="231">
        <f xml:space="preserve">
IF($A$4&lt;=12,SUMIFS('ON Data'!R:R,'ON Data'!$D:$D,$A$4,'ON Data'!$E:$E,12),SUMIFS('ON Data'!R:R,'ON Data'!$E:$E,12))</f>
        <v>0</v>
      </c>
      <c r="N21" s="231">
        <f xml:space="preserve">
IF($A$4&lt;=12,SUMIFS('ON Data'!S:S,'ON Data'!$D:$D,$A$4,'ON Data'!$E:$E,12),SUMIFS('ON Data'!S:S,'ON Data'!$E:$E,12))</f>
        <v>0</v>
      </c>
      <c r="O21" s="231">
        <f xml:space="preserve">
IF($A$4&lt;=12,SUMIFS('ON Data'!T:T,'ON Data'!$D:$D,$A$4,'ON Data'!$E:$E,12),SUMIFS('ON Data'!T:T,'ON Data'!$E:$E,12))</f>
        <v>0</v>
      </c>
      <c r="P21" s="231">
        <f xml:space="preserve">
IF($A$4&lt;=12,SUMIFS('ON Data'!U:U,'ON Data'!$D:$D,$A$4,'ON Data'!$E:$E,12),SUMIFS('ON Data'!U:U,'ON Data'!$E:$E,12))</f>
        <v>0</v>
      </c>
      <c r="Q21" s="231">
        <f xml:space="preserve">
IF($A$4&lt;=12,SUMIFS('ON Data'!V:V,'ON Data'!$D:$D,$A$4,'ON Data'!$E:$E,12),SUMIFS('ON Data'!V:V,'ON Data'!$E:$E,12))</f>
        <v>0</v>
      </c>
      <c r="R21" s="231">
        <f xml:space="preserve">
IF($A$4&lt;=12,SUMIFS('ON Data'!W:W,'ON Data'!$D:$D,$A$4,'ON Data'!$E:$E,12),SUMIFS('ON Data'!W:W,'ON Data'!$E:$E,12))</f>
        <v>0</v>
      </c>
      <c r="S21" s="231">
        <f xml:space="preserve">
IF($A$4&lt;=12,SUMIFS('ON Data'!X:X,'ON Data'!$D:$D,$A$4,'ON Data'!$E:$E,12),SUMIFS('ON Data'!X:X,'ON Data'!$E:$E,12))</f>
        <v>0</v>
      </c>
      <c r="T21" s="231">
        <f xml:space="preserve">
IF($A$4&lt;=12,SUMIFS('ON Data'!Y:Y,'ON Data'!$D:$D,$A$4,'ON Data'!$E:$E,12),SUMIFS('ON Data'!Y:Y,'ON Data'!$E:$E,12))</f>
        <v>0</v>
      </c>
      <c r="U21" s="231">
        <f xml:space="preserve">
IF($A$4&lt;=12,SUMIFS('ON Data'!Z:Z,'ON Data'!$D:$D,$A$4,'ON Data'!$E:$E,12),SUMIFS('ON Data'!Z:Z,'ON Data'!$E:$E,12))</f>
        <v>0</v>
      </c>
      <c r="V21" s="231">
        <f xml:space="preserve">
IF($A$4&lt;=12,SUMIFS('ON Data'!AA:AA,'ON Data'!$D:$D,$A$4,'ON Data'!$E:$E,12),SUMIFS('ON Data'!AA:AA,'ON Data'!$E:$E,12))</f>
        <v>0</v>
      </c>
      <c r="W21" s="231">
        <f xml:space="preserve">
IF($A$4&lt;=12,SUMIFS('ON Data'!AB:AB,'ON Data'!$D:$D,$A$4,'ON Data'!$E:$E,12),SUMIFS('ON Data'!AB:AB,'ON Data'!$E:$E,12))</f>
        <v>0</v>
      </c>
      <c r="X21" s="231">
        <f xml:space="preserve">
IF($A$4&lt;=12,SUMIFS('ON Data'!AC:AC,'ON Data'!$D:$D,$A$4,'ON Data'!$E:$E,12),SUMIFS('ON Data'!AC:AC,'ON Data'!$E:$E,12))</f>
        <v>0</v>
      </c>
      <c r="Y21" s="231">
        <f xml:space="preserve">
IF($A$4&lt;=12,SUMIFS('ON Data'!AD:AD,'ON Data'!$D:$D,$A$4,'ON Data'!$E:$E,12),SUMIFS('ON Data'!AD:AD,'ON Data'!$E:$E,12))</f>
        <v>0</v>
      </c>
      <c r="Z21" s="231">
        <f xml:space="preserve">
IF($A$4&lt;=12,SUMIFS('ON Data'!AE:AE,'ON Data'!$D:$D,$A$4,'ON Data'!$E:$E,12),SUMIFS('ON Data'!AE:AE,'ON Data'!$E:$E,12))</f>
        <v>0</v>
      </c>
      <c r="AA21" s="231">
        <f xml:space="preserve">
IF($A$4&lt;=12,SUMIFS('ON Data'!AF:AF,'ON Data'!$D:$D,$A$4,'ON Data'!$E:$E,12),SUMIFS('ON Data'!AF:AF,'ON Data'!$E:$E,12))</f>
        <v>0</v>
      </c>
      <c r="AB21" s="231">
        <f xml:space="preserve">
IF($A$4&lt;=12,SUMIFS('ON Data'!AG:AG,'ON Data'!$D:$D,$A$4,'ON Data'!$E:$E,12),SUMIFS('ON Data'!AG:AG,'ON Data'!$E:$E,12))</f>
        <v>0</v>
      </c>
      <c r="AC21" s="231">
        <f xml:space="preserve">
IF($A$4&lt;=12,SUMIFS('ON Data'!AH:AH,'ON Data'!$D:$D,$A$4,'ON Data'!$E:$E,12),SUMIFS('ON Data'!AH:AH,'ON Data'!$E:$E,12))</f>
        <v>0</v>
      </c>
      <c r="AD21" s="231">
        <f xml:space="preserve">
IF($A$4&lt;=12,SUMIFS('ON Data'!AI:AI,'ON Data'!$D:$D,$A$4,'ON Data'!$E:$E,12),SUMIFS('ON Data'!AI:AI,'ON Data'!$E:$E,12))</f>
        <v>0</v>
      </c>
      <c r="AE21" s="231">
        <f xml:space="preserve">
IF($A$4&lt;=12,SUMIFS('ON Data'!AJ:AJ,'ON Data'!$D:$D,$A$4,'ON Data'!$E:$E,12),SUMIFS('ON Data'!AJ:AJ,'ON Data'!$E:$E,12))</f>
        <v>0</v>
      </c>
      <c r="AF21" s="231">
        <f xml:space="preserve">
IF($A$4&lt;=12,SUMIFS('ON Data'!AK:AK,'ON Data'!$D:$D,$A$4,'ON Data'!$E:$E,12),SUMIFS('ON Data'!AK:AK,'ON Data'!$E:$E,12))</f>
        <v>0</v>
      </c>
      <c r="AG21" s="231">
        <f xml:space="preserve">
IF($A$4&lt;=12,SUMIFS('ON Data'!AL:AL,'ON Data'!$D:$D,$A$4,'ON Data'!$E:$E,12),SUMIFS('ON Data'!AL:AL,'ON Data'!$E:$E,12))</f>
        <v>0</v>
      </c>
      <c r="AH21" s="451">
        <f xml:space="preserve">
IF($A$4&lt;=12,SUMIFS('ON Data'!AN:AN,'ON Data'!$D:$D,$A$4,'ON Data'!$E:$E,12),SUMIFS('ON Data'!AN:AN,'ON Data'!$E:$E,12))</f>
        <v>0</v>
      </c>
      <c r="AI21" s="461"/>
    </row>
    <row r="22" spans="1:35" ht="15" hidden="1" outlineLevel="1" thickBot="1" x14ac:dyDescent="0.35">
      <c r="A22" s="209" t="s">
        <v>61</v>
      </c>
      <c r="B22" s="285" t="str">
        <f xml:space="preserve">
IF(OR(B21="",B21=0),"",B20/B21)</f>
        <v/>
      </c>
      <c r="C22" s="286" t="str">
        <f t="shared" ref="C22:G22" si="2" xml:space="preserve">
IF(OR(C21="",C21=0),"",C20/C21)</f>
        <v/>
      </c>
      <c r="D22" s="287" t="str">
        <f t="shared" si="2"/>
        <v/>
      </c>
      <c r="E22" s="287" t="str">
        <f t="shared" si="2"/>
        <v/>
      </c>
      <c r="F22" s="287" t="str">
        <f t="shared" si="2"/>
        <v/>
      </c>
      <c r="G22" s="287" t="str">
        <f t="shared" si="2"/>
        <v/>
      </c>
      <c r="H22" s="287" t="str">
        <f t="shared" ref="H22:AH22" si="3" xml:space="preserve">
IF(OR(H21="",H21=0),"",H20/H21)</f>
        <v/>
      </c>
      <c r="I22" s="287" t="str">
        <f t="shared" si="3"/>
        <v/>
      </c>
      <c r="J22" s="287" t="str">
        <f t="shared" si="3"/>
        <v/>
      </c>
      <c r="K22" s="287" t="str">
        <f t="shared" si="3"/>
        <v/>
      </c>
      <c r="L22" s="287" t="str">
        <f t="shared" si="3"/>
        <v/>
      </c>
      <c r="M22" s="287" t="str">
        <f t="shared" si="3"/>
        <v/>
      </c>
      <c r="N22" s="287" t="str">
        <f t="shared" si="3"/>
        <v/>
      </c>
      <c r="O22" s="287" t="str">
        <f t="shared" si="3"/>
        <v/>
      </c>
      <c r="P22" s="287" t="str">
        <f t="shared" si="3"/>
        <v/>
      </c>
      <c r="Q22" s="287" t="str">
        <f t="shared" si="3"/>
        <v/>
      </c>
      <c r="R22" s="287" t="str">
        <f t="shared" si="3"/>
        <v/>
      </c>
      <c r="S22" s="287" t="str">
        <f t="shared" si="3"/>
        <v/>
      </c>
      <c r="T22" s="287" t="str">
        <f t="shared" si="3"/>
        <v/>
      </c>
      <c r="U22" s="287" t="str">
        <f t="shared" si="3"/>
        <v/>
      </c>
      <c r="V22" s="287" t="str">
        <f t="shared" si="3"/>
        <v/>
      </c>
      <c r="W22" s="287" t="str">
        <f t="shared" si="3"/>
        <v/>
      </c>
      <c r="X22" s="287" t="str">
        <f t="shared" si="3"/>
        <v/>
      </c>
      <c r="Y22" s="287" t="str">
        <f t="shared" si="3"/>
        <v/>
      </c>
      <c r="Z22" s="287" t="str">
        <f t="shared" si="3"/>
        <v/>
      </c>
      <c r="AA22" s="287" t="str">
        <f t="shared" si="3"/>
        <v/>
      </c>
      <c r="AB22" s="287" t="str">
        <f t="shared" si="3"/>
        <v/>
      </c>
      <c r="AC22" s="287" t="str">
        <f t="shared" si="3"/>
        <v/>
      </c>
      <c r="AD22" s="287" t="str">
        <f t="shared" si="3"/>
        <v/>
      </c>
      <c r="AE22" s="287" t="str">
        <f t="shared" si="3"/>
        <v/>
      </c>
      <c r="AF22" s="287" t="str">
        <f t="shared" si="3"/>
        <v/>
      </c>
      <c r="AG22" s="287" t="str">
        <f t="shared" si="3"/>
        <v/>
      </c>
      <c r="AH22" s="456" t="str">
        <f t="shared" si="3"/>
        <v/>
      </c>
      <c r="AI22" s="461"/>
    </row>
    <row r="23" spans="1:35" ht="15" hidden="1" outlineLevel="1" thickBot="1" x14ac:dyDescent="0.35">
      <c r="A23" s="217" t="s">
        <v>54</v>
      </c>
      <c r="B23" s="232">
        <f xml:space="preserve">
IF(B21="","",B20-B21)</f>
        <v>1620417</v>
      </c>
      <c r="C23" s="233">
        <f t="shared" ref="C23:G23" si="4" xml:space="preserve">
IF(C21="","",C20-C21)</f>
        <v>0</v>
      </c>
      <c r="D23" s="234">
        <f t="shared" si="4"/>
        <v>0</v>
      </c>
      <c r="E23" s="234">
        <f t="shared" si="4"/>
        <v>0</v>
      </c>
      <c r="F23" s="234">
        <f t="shared" si="4"/>
        <v>0</v>
      </c>
      <c r="G23" s="234">
        <f t="shared" si="4"/>
        <v>0</v>
      </c>
      <c r="H23" s="234">
        <f t="shared" ref="H23:AH23" si="5" xml:space="preserve">
IF(H21="","",H20-H21)</f>
        <v>0</v>
      </c>
      <c r="I23" s="234">
        <f t="shared" si="5"/>
        <v>0</v>
      </c>
      <c r="J23" s="234">
        <f t="shared" si="5"/>
        <v>0</v>
      </c>
      <c r="K23" s="234">
        <f t="shared" si="5"/>
        <v>0</v>
      </c>
      <c r="L23" s="234">
        <f t="shared" si="5"/>
        <v>0</v>
      </c>
      <c r="M23" s="234">
        <f t="shared" si="5"/>
        <v>0</v>
      </c>
      <c r="N23" s="234">
        <f t="shared" si="5"/>
        <v>0</v>
      </c>
      <c r="O23" s="234">
        <f t="shared" si="5"/>
        <v>0</v>
      </c>
      <c r="P23" s="234">
        <f t="shared" si="5"/>
        <v>0</v>
      </c>
      <c r="Q23" s="234">
        <f t="shared" si="5"/>
        <v>0</v>
      </c>
      <c r="R23" s="234">
        <f t="shared" si="5"/>
        <v>0</v>
      </c>
      <c r="S23" s="234">
        <f t="shared" si="5"/>
        <v>1594208</v>
      </c>
      <c r="T23" s="234">
        <f t="shared" si="5"/>
        <v>0</v>
      </c>
      <c r="U23" s="234">
        <f t="shared" si="5"/>
        <v>0</v>
      </c>
      <c r="V23" s="234">
        <f t="shared" si="5"/>
        <v>0</v>
      </c>
      <c r="W23" s="234">
        <f t="shared" si="5"/>
        <v>0</v>
      </c>
      <c r="X23" s="234">
        <f t="shared" si="5"/>
        <v>0</v>
      </c>
      <c r="Y23" s="234">
        <f t="shared" si="5"/>
        <v>0</v>
      </c>
      <c r="Z23" s="234">
        <f t="shared" si="5"/>
        <v>0</v>
      </c>
      <c r="AA23" s="234">
        <f t="shared" si="5"/>
        <v>0</v>
      </c>
      <c r="AB23" s="234">
        <f t="shared" si="5"/>
        <v>0</v>
      </c>
      <c r="AC23" s="234">
        <f t="shared" si="5"/>
        <v>0</v>
      </c>
      <c r="AD23" s="234">
        <f t="shared" si="5"/>
        <v>0</v>
      </c>
      <c r="AE23" s="234">
        <f t="shared" si="5"/>
        <v>0</v>
      </c>
      <c r="AF23" s="234">
        <f t="shared" si="5"/>
        <v>0</v>
      </c>
      <c r="AG23" s="234">
        <f t="shared" si="5"/>
        <v>0</v>
      </c>
      <c r="AH23" s="452">
        <f t="shared" si="5"/>
        <v>26209</v>
      </c>
      <c r="AI23" s="461"/>
    </row>
    <row r="24" spans="1:35" x14ac:dyDescent="0.3">
      <c r="A24" s="211" t="s">
        <v>164</v>
      </c>
      <c r="B24" s="258" t="s">
        <v>3</v>
      </c>
      <c r="C24" s="462" t="s">
        <v>175</v>
      </c>
      <c r="D24" s="436"/>
      <c r="E24" s="437"/>
      <c r="F24" s="437" t="s">
        <v>176</v>
      </c>
      <c r="G24" s="437"/>
      <c r="H24" s="437"/>
      <c r="I24" s="437"/>
      <c r="J24" s="437"/>
      <c r="K24" s="437"/>
      <c r="L24" s="437"/>
      <c r="M24" s="437"/>
      <c r="N24" s="437"/>
      <c r="O24" s="437"/>
      <c r="P24" s="437"/>
      <c r="Q24" s="437"/>
      <c r="R24" s="437"/>
      <c r="S24" s="437"/>
      <c r="T24" s="437"/>
      <c r="U24" s="437"/>
      <c r="V24" s="437"/>
      <c r="W24" s="437"/>
      <c r="X24" s="437"/>
      <c r="Y24" s="437"/>
      <c r="Z24" s="437"/>
      <c r="AA24" s="437"/>
      <c r="AB24" s="437"/>
      <c r="AC24" s="437"/>
      <c r="AD24" s="437"/>
      <c r="AE24" s="437"/>
      <c r="AF24" s="437"/>
      <c r="AG24" s="437"/>
      <c r="AH24" s="457" t="s">
        <v>177</v>
      </c>
      <c r="AI24" s="461"/>
    </row>
    <row r="25" spans="1:35" x14ac:dyDescent="0.3">
      <c r="A25" s="212" t="s">
        <v>59</v>
      </c>
      <c r="B25" s="229">
        <f xml:space="preserve">
SUM(C25:AH25)</f>
        <v>2250</v>
      </c>
      <c r="C25" s="463">
        <f xml:space="preserve">
IF($A$4&lt;=12,SUMIFS('ON Data'!H:H,'ON Data'!$D:$D,$A$4,'ON Data'!$E:$E,10),SUMIFS('ON Data'!H:H,'ON Data'!$E:$E,10))</f>
        <v>0</v>
      </c>
      <c r="D25" s="438"/>
      <c r="E25" s="439"/>
      <c r="F25" s="439">
        <f xml:space="preserve">
IF($A$4&lt;=12,SUMIFS('ON Data'!K:K,'ON Data'!$D:$D,$A$4,'ON Data'!$E:$E,10),SUMIFS('ON Data'!K:K,'ON Data'!$E:$E,10))</f>
        <v>2250</v>
      </c>
      <c r="G25" s="439"/>
      <c r="H25" s="439"/>
      <c r="I25" s="439"/>
      <c r="J25" s="439"/>
      <c r="K25" s="439"/>
      <c r="L25" s="439"/>
      <c r="M25" s="439"/>
      <c r="N25" s="439"/>
      <c r="O25" s="439"/>
      <c r="P25" s="439"/>
      <c r="Q25" s="439"/>
      <c r="R25" s="439"/>
      <c r="S25" s="439"/>
      <c r="T25" s="439"/>
      <c r="U25" s="439"/>
      <c r="V25" s="439"/>
      <c r="W25" s="439"/>
      <c r="X25" s="439"/>
      <c r="Y25" s="439"/>
      <c r="Z25" s="439"/>
      <c r="AA25" s="439"/>
      <c r="AB25" s="439"/>
      <c r="AC25" s="439"/>
      <c r="AD25" s="439"/>
      <c r="AE25" s="439"/>
      <c r="AF25" s="439"/>
      <c r="AG25" s="439"/>
      <c r="AH25" s="458">
        <f xml:space="preserve">
IF($A$4&lt;=12,SUMIFS('ON Data'!AN:AN,'ON Data'!$D:$D,$A$4,'ON Data'!$E:$E,10),SUMIFS('ON Data'!AN:AN,'ON Data'!$E:$E,10))</f>
        <v>0</v>
      </c>
      <c r="AI25" s="461"/>
    </row>
    <row r="26" spans="1:35" x14ac:dyDescent="0.3">
      <c r="A26" s="218" t="s">
        <v>174</v>
      </c>
      <c r="B26" s="238">
        <f xml:space="preserve">
SUM(C26:AH26)</f>
        <v>6666.6666666666661</v>
      </c>
      <c r="C26" s="463">
        <f xml:space="preserve">
IF($A$4&lt;=12,SUMIFS('ON Data'!H:H,'ON Data'!$D:$D,$A$4,'ON Data'!$E:$E,11),SUMIFS('ON Data'!H:H,'ON Data'!$E:$E,11))</f>
        <v>0</v>
      </c>
      <c r="D26" s="438"/>
      <c r="E26" s="439"/>
      <c r="F26" s="440">
        <f xml:space="preserve">
IF($A$4&lt;=12,SUMIFS('ON Data'!K:K,'ON Data'!$D:$D,$A$4,'ON Data'!$E:$E,11),SUMIFS('ON Data'!K:K,'ON Data'!$E:$E,11))</f>
        <v>6666.6666666666661</v>
      </c>
      <c r="G26" s="440"/>
      <c r="H26" s="440"/>
      <c r="I26" s="440"/>
      <c r="J26" s="440"/>
      <c r="K26" s="440"/>
      <c r="L26" s="440"/>
      <c r="M26" s="440"/>
      <c r="N26" s="440"/>
      <c r="O26" s="440"/>
      <c r="P26" s="440"/>
      <c r="Q26" s="440"/>
      <c r="R26" s="440"/>
      <c r="S26" s="440"/>
      <c r="T26" s="440"/>
      <c r="U26" s="440"/>
      <c r="V26" s="440"/>
      <c r="W26" s="440"/>
      <c r="X26" s="440"/>
      <c r="Y26" s="440"/>
      <c r="Z26" s="440"/>
      <c r="AA26" s="440"/>
      <c r="AB26" s="440"/>
      <c r="AC26" s="440"/>
      <c r="AD26" s="440"/>
      <c r="AE26" s="440"/>
      <c r="AF26" s="440"/>
      <c r="AG26" s="440"/>
      <c r="AH26" s="458">
        <f xml:space="preserve">
IF($A$4&lt;=12,SUMIFS('ON Data'!AN:AN,'ON Data'!$D:$D,$A$4,'ON Data'!$E:$E,11),SUMIFS('ON Data'!AN:AN,'ON Data'!$E:$E,11))</f>
        <v>0</v>
      </c>
      <c r="AI26" s="461"/>
    </row>
    <row r="27" spans="1:35" x14ac:dyDescent="0.3">
      <c r="A27" s="218" t="s">
        <v>61</v>
      </c>
      <c r="B27" s="259">
        <f xml:space="preserve">
IF(B26=0,0,B25/B26)</f>
        <v>0.33750000000000002</v>
      </c>
      <c r="C27" s="464">
        <f xml:space="preserve">
IF(C26=0,0,C25/C26)</f>
        <v>0</v>
      </c>
      <c r="D27" s="441"/>
      <c r="E27" s="442"/>
      <c r="F27" s="442">
        <f xml:space="preserve">
IF(F26=0,0,F25/F26)</f>
        <v>0.33750000000000002</v>
      </c>
      <c r="G27" s="442"/>
      <c r="H27" s="442"/>
      <c r="I27" s="442"/>
      <c r="J27" s="442"/>
      <c r="K27" s="442"/>
      <c r="L27" s="442"/>
      <c r="M27" s="442"/>
      <c r="N27" s="442"/>
      <c r="O27" s="442"/>
      <c r="P27" s="442"/>
      <c r="Q27" s="442"/>
      <c r="R27" s="442"/>
      <c r="S27" s="442"/>
      <c r="T27" s="442"/>
      <c r="U27" s="442"/>
      <c r="V27" s="442"/>
      <c r="W27" s="442"/>
      <c r="X27" s="442"/>
      <c r="Y27" s="442"/>
      <c r="Z27" s="442"/>
      <c r="AA27" s="442"/>
      <c r="AB27" s="442"/>
      <c r="AC27" s="442"/>
      <c r="AD27" s="442"/>
      <c r="AE27" s="442"/>
      <c r="AF27" s="442"/>
      <c r="AG27" s="442"/>
      <c r="AH27" s="459">
        <f xml:space="preserve">
IF(AH26=0,0,AH25/AH26)</f>
        <v>0</v>
      </c>
      <c r="AI27" s="461"/>
    </row>
    <row r="28" spans="1:35" ht="15" thickBot="1" x14ac:dyDescent="0.35">
      <c r="A28" s="218" t="s">
        <v>173</v>
      </c>
      <c r="B28" s="238">
        <f xml:space="preserve">
SUM(C28:AH28)</f>
        <v>4416.6666666666661</v>
      </c>
      <c r="C28" s="465">
        <f xml:space="preserve">
C26-C25</f>
        <v>0</v>
      </c>
      <c r="D28" s="443"/>
      <c r="E28" s="444"/>
      <c r="F28" s="444">
        <f xml:space="preserve">
F26-F25</f>
        <v>4416.6666666666661</v>
      </c>
      <c r="G28" s="444"/>
      <c r="H28" s="444"/>
      <c r="I28" s="444"/>
      <c r="J28" s="444"/>
      <c r="K28" s="444"/>
      <c r="L28" s="444"/>
      <c r="M28" s="444"/>
      <c r="N28" s="444"/>
      <c r="O28" s="444"/>
      <c r="P28" s="444"/>
      <c r="Q28" s="444"/>
      <c r="R28" s="444"/>
      <c r="S28" s="444"/>
      <c r="T28" s="444"/>
      <c r="U28" s="444"/>
      <c r="V28" s="444"/>
      <c r="W28" s="444"/>
      <c r="X28" s="444"/>
      <c r="Y28" s="444"/>
      <c r="Z28" s="444"/>
      <c r="AA28" s="444"/>
      <c r="AB28" s="444"/>
      <c r="AC28" s="444"/>
      <c r="AD28" s="444"/>
      <c r="AE28" s="444"/>
      <c r="AF28" s="444"/>
      <c r="AG28" s="444"/>
      <c r="AH28" s="460">
        <f xml:space="preserve">
AH26-AH25</f>
        <v>0</v>
      </c>
      <c r="AI28" s="461"/>
    </row>
    <row r="29" spans="1:35" x14ac:dyDescent="0.3">
      <c r="A29" s="219"/>
      <c r="B29" s="219"/>
      <c r="C29" s="220"/>
      <c r="D29" s="219"/>
      <c r="E29" s="219"/>
      <c r="F29" s="220"/>
      <c r="G29" s="220"/>
      <c r="H29" s="220"/>
      <c r="I29" s="220"/>
      <c r="J29" s="220"/>
      <c r="K29" s="220"/>
      <c r="L29" s="220"/>
      <c r="M29" s="220"/>
      <c r="N29" s="220"/>
      <c r="O29" s="220"/>
      <c r="P29" s="220"/>
      <c r="Q29" s="220"/>
      <c r="R29" s="220"/>
      <c r="S29" s="220"/>
      <c r="T29" s="220"/>
      <c r="U29" s="220"/>
      <c r="V29" s="220"/>
      <c r="W29" s="220"/>
      <c r="X29" s="220"/>
      <c r="Y29" s="220"/>
      <c r="Z29" s="220"/>
      <c r="AA29" s="220"/>
      <c r="AB29" s="220"/>
      <c r="AC29" s="220"/>
      <c r="AD29" s="220"/>
      <c r="AE29" s="220"/>
      <c r="AF29" s="219"/>
      <c r="AG29" s="219"/>
      <c r="AH29" s="219"/>
    </row>
    <row r="30" spans="1:35" x14ac:dyDescent="0.3">
      <c r="A30" s="88" t="s">
        <v>128</v>
      </c>
      <c r="B30" s="105"/>
      <c r="C30" s="105"/>
      <c r="D30" s="105"/>
      <c r="E30" s="105"/>
      <c r="F30" s="105"/>
      <c r="G30" s="105"/>
      <c r="H30" s="105"/>
      <c r="I30" s="105"/>
      <c r="J30" s="105"/>
      <c r="K30" s="105"/>
      <c r="L30" s="105"/>
      <c r="M30" s="105"/>
      <c r="N30" s="105"/>
      <c r="O30" s="105"/>
      <c r="P30" s="105"/>
      <c r="Q30" s="105"/>
      <c r="R30" s="105"/>
      <c r="S30" s="105"/>
      <c r="T30" s="105"/>
      <c r="U30" s="105"/>
      <c r="V30" s="105"/>
      <c r="W30" s="105"/>
      <c r="X30" s="105"/>
      <c r="Y30" s="105"/>
      <c r="Z30" s="105"/>
      <c r="AA30" s="105"/>
      <c r="AB30" s="105"/>
      <c r="AC30" s="105"/>
      <c r="AD30" s="105"/>
      <c r="AE30" s="105"/>
      <c r="AF30" s="105"/>
      <c r="AG30" s="105"/>
      <c r="AH30" s="124"/>
    </row>
    <row r="31" spans="1:35" x14ac:dyDescent="0.3">
      <c r="A31" s="89" t="s">
        <v>171</v>
      </c>
      <c r="B31" s="105"/>
      <c r="C31" s="105"/>
      <c r="D31" s="105"/>
      <c r="E31" s="105"/>
      <c r="F31" s="105"/>
      <c r="G31" s="105"/>
      <c r="H31" s="105"/>
      <c r="I31" s="105"/>
      <c r="J31" s="105"/>
      <c r="K31" s="105"/>
      <c r="L31" s="105"/>
      <c r="M31" s="105"/>
      <c r="N31" s="105"/>
      <c r="O31" s="105"/>
      <c r="P31" s="105"/>
      <c r="Q31" s="105"/>
      <c r="R31" s="105"/>
      <c r="S31" s="105"/>
      <c r="T31" s="105"/>
      <c r="U31" s="105"/>
      <c r="V31" s="105"/>
      <c r="W31" s="105"/>
      <c r="X31" s="105"/>
      <c r="Y31" s="105"/>
      <c r="Z31" s="105"/>
      <c r="AA31" s="105"/>
      <c r="AB31" s="105"/>
      <c r="AC31" s="105"/>
      <c r="AD31" s="105"/>
      <c r="AE31" s="105"/>
      <c r="AF31" s="105"/>
      <c r="AG31" s="105"/>
      <c r="AH31" s="124"/>
    </row>
    <row r="32" spans="1:35" ht="14.4" customHeight="1" x14ac:dyDescent="0.3">
      <c r="A32" s="255" t="s">
        <v>168</v>
      </c>
      <c r="B32" s="256"/>
      <c r="C32" s="256"/>
      <c r="D32" s="256"/>
      <c r="E32" s="256"/>
      <c r="F32" s="256"/>
      <c r="G32" s="256"/>
      <c r="H32" s="256"/>
      <c r="I32" s="256"/>
      <c r="J32" s="256"/>
      <c r="K32" s="256"/>
      <c r="L32" s="256"/>
      <c r="M32" s="256"/>
      <c r="N32" s="256"/>
      <c r="O32" s="256"/>
      <c r="P32" s="256"/>
      <c r="Q32" s="256"/>
      <c r="R32" s="256"/>
      <c r="S32" s="256"/>
      <c r="T32" s="256"/>
      <c r="U32" s="256"/>
      <c r="V32" s="256"/>
      <c r="W32" s="256"/>
      <c r="X32" s="256"/>
      <c r="Y32" s="256"/>
      <c r="Z32" s="256"/>
      <c r="AA32" s="256"/>
      <c r="AB32" s="256"/>
      <c r="AC32" s="256"/>
      <c r="AD32" s="256"/>
      <c r="AE32" s="256"/>
      <c r="AF32" s="256"/>
      <c r="AG32" s="256"/>
    </row>
    <row r="33" spans="1:1" x14ac:dyDescent="0.3">
      <c r="A33" s="257" t="s">
        <v>178</v>
      </c>
    </row>
    <row r="34" spans="1:1" x14ac:dyDescent="0.3">
      <c r="A34" s="257" t="s">
        <v>179</v>
      </c>
    </row>
    <row r="35" spans="1:1" x14ac:dyDescent="0.3">
      <c r="A35" s="257" t="s">
        <v>180</v>
      </c>
    </row>
    <row r="36" spans="1:1" x14ac:dyDescent="0.3">
      <c r="A36" s="257" t="s">
        <v>181</v>
      </c>
    </row>
  </sheetData>
  <mergeCells count="12">
    <mergeCell ref="C28:E28"/>
    <mergeCell ref="C27:E27"/>
    <mergeCell ref="F27:AG27"/>
    <mergeCell ref="F28:AG28"/>
    <mergeCell ref="C25:E25"/>
    <mergeCell ref="C26:E26"/>
    <mergeCell ref="F24:AG24"/>
    <mergeCell ref="F25:AG25"/>
    <mergeCell ref="F26:AG26"/>
    <mergeCell ref="A1:AH1"/>
    <mergeCell ref="B3:B4"/>
    <mergeCell ref="C24:E24"/>
  </mergeCells>
  <conditionalFormatting sqref="C27 AH27 F27">
    <cfRule type="cellIs" dxfId="4" priority="4" operator="greaterThan">
      <formula>1</formula>
    </cfRule>
  </conditionalFormatting>
  <conditionalFormatting sqref="C28 AH28 F28">
    <cfRule type="cellIs" dxfId="3" priority="3" operator="lessThan">
      <formula>0</formula>
    </cfRule>
  </conditionalFormatting>
  <conditionalFormatting sqref="B22:AH22">
    <cfRule type="cellIs" dxfId="2" priority="2" operator="greaterThan">
      <formula>1</formula>
    </cfRule>
  </conditionalFormatting>
  <conditionalFormatting sqref="B23:AH23">
    <cfRule type="cellIs" dxfId="1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'ON Data'!$B$3:$B$16</xm:f>
          </x14:formula1>
          <xm:sqref>A4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O39"/>
  <sheetViews>
    <sheetView showGridLines="0" showRowColHeaders="0" workbookViewId="0"/>
  </sheetViews>
  <sheetFormatPr defaultRowHeight="14.4" x14ac:dyDescent="0.3"/>
  <cols>
    <col min="1" max="16384" width="8.88671875" style="198"/>
  </cols>
  <sheetData>
    <row r="1" spans="1:41" x14ac:dyDescent="0.3">
      <c r="A1" s="198" t="s">
        <v>425</v>
      </c>
    </row>
    <row r="2" spans="1:41" x14ac:dyDescent="0.3">
      <c r="A2" s="202" t="s">
        <v>247</v>
      </c>
    </row>
    <row r="3" spans="1:41" x14ac:dyDescent="0.3">
      <c r="A3" s="198" t="s">
        <v>138</v>
      </c>
      <c r="B3" s="223">
        <v>2015</v>
      </c>
      <c r="D3" s="199">
        <f>MAX(D5:D1048576)</f>
        <v>8</v>
      </c>
      <c r="F3" s="199">
        <f>SUMIF($E5:$E1048576,"&lt;10",F5:F1048576)</f>
        <v>1816374</v>
      </c>
      <c r="G3" s="199">
        <f t="shared" ref="G3:AO3" si="0">SUMIF($E5:$E1048576,"&lt;10",G5:G1048576)</f>
        <v>0</v>
      </c>
      <c r="H3" s="199">
        <f t="shared" si="0"/>
        <v>0</v>
      </c>
      <c r="I3" s="199">
        <f t="shared" si="0"/>
        <v>0</v>
      </c>
      <c r="J3" s="199">
        <f t="shared" si="0"/>
        <v>0</v>
      </c>
      <c r="K3" s="199">
        <f t="shared" si="0"/>
        <v>0</v>
      </c>
      <c r="L3" s="199">
        <f t="shared" si="0"/>
        <v>0</v>
      </c>
      <c r="M3" s="199">
        <f t="shared" si="0"/>
        <v>0</v>
      </c>
      <c r="N3" s="199">
        <f t="shared" si="0"/>
        <v>0</v>
      </c>
      <c r="O3" s="199">
        <f t="shared" si="0"/>
        <v>0</v>
      </c>
      <c r="P3" s="199">
        <f t="shared" si="0"/>
        <v>0</v>
      </c>
      <c r="Q3" s="199">
        <f t="shared" si="0"/>
        <v>0</v>
      </c>
      <c r="R3" s="199">
        <f t="shared" si="0"/>
        <v>0</v>
      </c>
      <c r="S3" s="199">
        <f t="shared" si="0"/>
        <v>0</v>
      </c>
      <c r="T3" s="199">
        <f t="shared" si="0"/>
        <v>0</v>
      </c>
      <c r="U3" s="199">
        <f t="shared" si="0"/>
        <v>0</v>
      </c>
      <c r="V3" s="199">
        <f t="shared" si="0"/>
        <v>0</v>
      </c>
      <c r="W3" s="199">
        <f t="shared" si="0"/>
        <v>0</v>
      </c>
      <c r="X3" s="199">
        <f t="shared" si="0"/>
        <v>1790165</v>
      </c>
      <c r="Y3" s="199">
        <f t="shared" si="0"/>
        <v>0</v>
      </c>
      <c r="Z3" s="199">
        <f t="shared" si="0"/>
        <v>0</v>
      </c>
      <c r="AA3" s="199">
        <f t="shared" si="0"/>
        <v>0</v>
      </c>
      <c r="AB3" s="199">
        <f t="shared" si="0"/>
        <v>0</v>
      </c>
      <c r="AC3" s="199">
        <f t="shared" si="0"/>
        <v>0</v>
      </c>
      <c r="AD3" s="199">
        <f t="shared" si="0"/>
        <v>0</v>
      </c>
      <c r="AE3" s="199">
        <f t="shared" si="0"/>
        <v>0</v>
      </c>
      <c r="AF3" s="199">
        <f t="shared" si="0"/>
        <v>0</v>
      </c>
      <c r="AG3" s="199">
        <f t="shared" si="0"/>
        <v>0</v>
      </c>
      <c r="AH3" s="199">
        <f t="shared" si="0"/>
        <v>0</v>
      </c>
      <c r="AI3" s="199">
        <f t="shared" si="0"/>
        <v>0</v>
      </c>
      <c r="AJ3" s="199">
        <f t="shared" si="0"/>
        <v>0</v>
      </c>
      <c r="AK3" s="199">
        <f t="shared" si="0"/>
        <v>0</v>
      </c>
      <c r="AL3" s="199">
        <f t="shared" si="0"/>
        <v>0</v>
      </c>
      <c r="AM3" s="199">
        <f t="shared" si="0"/>
        <v>0</v>
      </c>
      <c r="AN3" s="199">
        <f t="shared" si="0"/>
        <v>26209</v>
      </c>
      <c r="AO3" s="199">
        <f t="shared" si="0"/>
        <v>0</v>
      </c>
    </row>
    <row r="4" spans="1:41" x14ac:dyDescent="0.3">
      <c r="A4" s="198" t="s">
        <v>139</v>
      </c>
      <c r="B4" s="223">
        <v>1</v>
      </c>
      <c r="C4" s="200" t="s">
        <v>5</v>
      </c>
      <c r="D4" s="201" t="s">
        <v>53</v>
      </c>
      <c r="E4" s="201" t="s">
        <v>133</v>
      </c>
      <c r="F4" s="201" t="s">
        <v>3</v>
      </c>
      <c r="G4" s="201" t="s">
        <v>134</v>
      </c>
      <c r="H4" s="201" t="s">
        <v>135</v>
      </c>
      <c r="I4" s="201" t="s">
        <v>136</v>
      </c>
      <c r="J4" s="201" t="s">
        <v>137</v>
      </c>
      <c r="K4" s="201">
        <v>305</v>
      </c>
      <c r="L4" s="201">
        <v>306</v>
      </c>
      <c r="M4" s="201">
        <v>407</v>
      </c>
      <c r="N4" s="201">
        <v>408</v>
      </c>
      <c r="O4" s="201">
        <v>409</v>
      </c>
      <c r="P4" s="201">
        <v>410</v>
      </c>
      <c r="Q4" s="201">
        <v>415</v>
      </c>
      <c r="R4" s="201">
        <v>416</v>
      </c>
      <c r="S4" s="201">
        <v>418</v>
      </c>
      <c r="T4" s="201">
        <v>419</v>
      </c>
      <c r="U4" s="201">
        <v>420</v>
      </c>
      <c r="V4" s="201">
        <v>421</v>
      </c>
      <c r="W4" s="201">
        <v>522</v>
      </c>
      <c r="X4" s="201">
        <v>523</v>
      </c>
      <c r="Y4" s="201">
        <v>524</v>
      </c>
      <c r="Z4" s="201">
        <v>525</v>
      </c>
      <c r="AA4" s="201">
        <v>526</v>
      </c>
      <c r="AB4" s="201">
        <v>527</v>
      </c>
      <c r="AC4" s="201">
        <v>528</v>
      </c>
      <c r="AD4" s="201">
        <v>629</v>
      </c>
      <c r="AE4" s="201">
        <v>630</v>
      </c>
      <c r="AF4" s="201">
        <v>636</v>
      </c>
      <c r="AG4" s="201">
        <v>637</v>
      </c>
      <c r="AH4" s="201">
        <v>640</v>
      </c>
      <c r="AI4" s="201">
        <v>642</v>
      </c>
      <c r="AJ4" s="201">
        <v>743</v>
      </c>
      <c r="AK4" s="201">
        <v>745</v>
      </c>
      <c r="AL4" s="201">
        <v>746</v>
      </c>
      <c r="AM4" s="201">
        <v>747</v>
      </c>
      <c r="AN4" s="201">
        <v>930</v>
      </c>
      <c r="AO4" s="201">
        <v>940</v>
      </c>
    </row>
    <row r="5" spans="1:41" x14ac:dyDescent="0.3">
      <c r="A5" s="198" t="s">
        <v>140</v>
      </c>
      <c r="B5" s="223">
        <v>2</v>
      </c>
      <c r="C5" s="198">
        <v>36</v>
      </c>
      <c r="D5" s="198">
        <v>1</v>
      </c>
      <c r="E5" s="198">
        <v>1</v>
      </c>
      <c r="F5" s="198">
        <v>5</v>
      </c>
      <c r="G5" s="198">
        <v>0</v>
      </c>
      <c r="H5" s="198">
        <v>0</v>
      </c>
      <c r="I5" s="198">
        <v>0</v>
      </c>
      <c r="J5" s="198">
        <v>0</v>
      </c>
      <c r="K5" s="198">
        <v>0</v>
      </c>
      <c r="L5" s="198">
        <v>0</v>
      </c>
      <c r="M5" s="198">
        <v>0</v>
      </c>
      <c r="N5" s="198">
        <v>0</v>
      </c>
      <c r="O5" s="198">
        <v>0</v>
      </c>
      <c r="P5" s="198">
        <v>0</v>
      </c>
      <c r="Q5" s="198">
        <v>0</v>
      </c>
      <c r="R5" s="198">
        <v>0</v>
      </c>
      <c r="S5" s="198">
        <v>0</v>
      </c>
      <c r="T5" s="198">
        <v>0</v>
      </c>
      <c r="U5" s="198">
        <v>0</v>
      </c>
      <c r="V5" s="198">
        <v>0</v>
      </c>
      <c r="W5" s="198">
        <v>0</v>
      </c>
      <c r="X5" s="198">
        <v>5</v>
      </c>
      <c r="Y5" s="198">
        <v>0</v>
      </c>
      <c r="Z5" s="198">
        <v>0</v>
      </c>
      <c r="AA5" s="198">
        <v>0</v>
      </c>
      <c r="AB5" s="198">
        <v>0</v>
      </c>
      <c r="AC5" s="198">
        <v>0</v>
      </c>
      <c r="AD5" s="198">
        <v>0</v>
      </c>
      <c r="AE5" s="198">
        <v>0</v>
      </c>
      <c r="AF5" s="198">
        <v>0</v>
      </c>
      <c r="AG5" s="198">
        <v>0</v>
      </c>
      <c r="AH5" s="198">
        <v>0</v>
      </c>
      <c r="AI5" s="198">
        <v>0</v>
      </c>
      <c r="AJ5" s="198">
        <v>0</v>
      </c>
      <c r="AK5" s="198">
        <v>0</v>
      </c>
      <c r="AL5" s="198">
        <v>0</v>
      </c>
      <c r="AM5" s="198">
        <v>0</v>
      </c>
      <c r="AN5" s="198">
        <v>0</v>
      </c>
      <c r="AO5" s="198">
        <v>0</v>
      </c>
    </row>
    <row r="6" spans="1:41" x14ac:dyDescent="0.3">
      <c r="A6" s="198" t="s">
        <v>141</v>
      </c>
      <c r="B6" s="223">
        <v>3</v>
      </c>
      <c r="C6" s="198">
        <v>36</v>
      </c>
      <c r="D6" s="198">
        <v>1</v>
      </c>
      <c r="E6" s="198">
        <v>2</v>
      </c>
      <c r="F6" s="198">
        <v>880</v>
      </c>
      <c r="G6" s="198">
        <v>0</v>
      </c>
      <c r="H6" s="198">
        <v>0</v>
      </c>
      <c r="I6" s="198">
        <v>0</v>
      </c>
      <c r="J6" s="198">
        <v>0</v>
      </c>
      <c r="K6" s="198">
        <v>0</v>
      </c>
      <c r="L6" s="198">
        <v>0</v>
      </c>
      <c r="M6" s="198">
        <v>0</v>
      </c>
      <c r="N6" s="198">
        <v>0</v>
      </c>
      <c r="O6" s="198">
        <v>0</v>
      </c>
      <c r="P6" s="198">
        <v>0</v>
      </c>
      <c r="Q6" s="198">
        <v>0</v>
      </c>
      <c r="R6" s="198">
        <v>0</v>
      </c>
      <c r="S6" s="198">
        <v>0</v>
      </c>
      <c r="T6" s="198">
        <v>0</v>
      </c>
      <c r="U6" s="198">
        <v>0</v>
      </c>
      <c r="V6" s="198">
        <v>0</v>
      </c>
      <c r="W6" s="198">
        <v>0</v>
      </c>
      <c r="X6" s="198">
        <v>880</v>
      </c>
      <c r="Y6" s="198">
        <v>0</v>
      </c>
      <c r="Z6" s="198">
        <v>0</v>
      </c>
      <c r="AA6" s="198">
        <v>0</v>
      </c>
      <c r="AB6" s="198">
        <v>0</v>
      </c>
      <c r="AC6" s="198">
        <v>0</v>
      </c>
      <c r="AD6" s="198">
        <v>0</v>
      </c>
      <c r="AE6" s="198">
        <v>0</v>
      </c>
      <c r="AF6" s="198">
        <v>0</v>
      </c>
      <c r="AG6" s="198">
        <v>0</v>
      </c>
      <c r="AH6" s="198">
        <v>0</v>
      </c>
      <c r="AI6" s="198">
        <v>0</v>
      </c>
      <c r="AJ6" s="198">
        <v>0</v>
      </c>
      <c r="AK6" s="198">
        <v>0</v>
      </c>
      <c r="AL6" s="198">
        <v>0</v>
      </c>
      <c r="AM6" s="198">
        <v>0</v>
      </c>
      <c r="AN6" s="198">
        <v>0</v>
      </c>
      <c r="AO6" s="198">
        <v>0</v>
      </c>
    </row>
    <row r="7" spans="1:41" x14ac:dyDescent="0.3">
      <c r="A7" s="198" t="s">
        <v>142</v>
      </c>
      <c r="B7" s="223">
        <v>4</v>
      </c>
      <c r="C7" s="198">
        <v>36</v>
      </c>
      <c r="D7" s="198">
        <v>1</v>
      </c>
      <c r="E7" s="198">
        <v>6</v>
      </c>
      <c r="F7" s="198">
        <v>187860</v>
      </c>
      <c r="G7" s="198">
        <v>0</v>
      </c>
      <c r="H7" s="198">
        <v>0</v>
      </c>
      <c r="I7" s="198">
        <v>0</v>
      </c>
      <c r="J7" s="198">
        <v>0</v>
      </c>
      <c r="K7" s="198">
        <v>0</v>
      </c>
      <c r="L7" s="198">
        <v>0</v>
      </c>
      <c r="M7" s="198">
        <v>0</v>
      </c>
      <c r="N7" s="198">
        <v>0</v>
      </c>
      <c r="O7" s="198">
        <v>0</v>
      </c>
      <c r="P7" s="198">
        <v>0</v>
      </c>
      <c r="Q7" s="198">
        <v>0</v>
      </c>
      <c r="R7" s="198">
        <v>0</v>
      </c>
      <c r="S7" s="198">
        <v>0</v>
      </c>
      <c r="T7" s="198">
        <v>0</v>
      </c>
      <c r="U7" s="198">
        <v>0</v>
      </c>
      <c r="V7" s="198">
        <v>0</v>
      </c>
      <c r="W7" s="198">
        <v>0</v>
      </c>
      <c r="X7" s="198">
        <v>184500</v>
      </c>
      <c r="Y7" s="198">
        <v>0</v>
      </c>
      <c r="Z7" s="198">
        <v>0</v>
      </c>
      <c r="AA7" s="198">
        <v>0</v>
      </c>
      <c r="AB7" s="198">
        <v>0</v>
      </c>
      <c r="AC7" s="198">
        <v>0</v>
      </c>
      <c r="AD7" s="198">
        <v>0</v>
      </c>
      <c r="AE7" s="198">
        <v>0</v>
      </c>
      <c r="AF7" s="198">
        <v>0</v>
      </c>
      <c r="AG7" s="198">
        <v>0</v>
      </c>
      <c r="AH7" s="198">
        <v>0</v>
      </c>
      <c r="AI7" s="198">
        <v>0</v>
      </c>
      <c r="AJ7" s="198">
        <v>0</v>
      </c>
      <c r="AK7" s="198">
        <v>0</v>
      </c>
      <c r="AL7" s="198">
        <v>0</v>
      </c>
      <c r="AM7" s="198">
        <v>0</v>
      </c>
      <c r="AN7" s="198">
        <v>3360</v>
      </c>
      <c r="AO7" s="198">
        <v>0</v>
      </c>
    </row>
    <row r="8" spans="1:41" x14ac:dyDescent="0.3">
      <c r="A8" s="198" t="s">
        <v>143</v>
      </c>
      <c r="B8" s="223">
        <v>5</v>
      </c>
      <c r="C8" s="198">
        <v>36</v>
      </c>
      <c r="D8" s="198">
        <v>1</v>
      </c>
      <c r="E8" s="198">
        <v>11</v>
      </c>
      <c r="F8" s="198">
        <v>833.33333333333337</v>
      </c>
      <c r="G8" s="198">
        <v>0</v>
      </c>
      <c r="H8" s="198">
        <v>0</v>
      </c>
      <c r="I8" s="198">
        <v>0</v>
      </c>
      <c r="J8" s="198">
        <v>0</v>
      </c>
      <c r="K8" s="198">
        <v>833.33333333333337</v>
      </c>
      <c r="L8" s="198">
        <v>0</v>
      </c>
      <c r="M8" s="198">
        <v>0</v>
      </c>
      <c r="N8" s="198">
        <v>0</v>
      </c>
      <c r="O8" s="198">
        <v>0</v>
      </c>
      <c r="P8" s="198">
        <v>0</v>
      </c>
      <c r="Q8" s="198">
        <v>0</v>
      </c>
      <c r="R8" s="198">
        <v>0</v>
      </c>
      <c r="S8" s="198">
        <v>0</v>
      </c>
      <c r="T8" s="198">
        <v>0</v>
      </c>
      <c r="U8" s="198">
        <v>0</v>
      </c>
      <c r="V8" s="198">
        <v>0</v>
      </c>
      <c r="W8" s="198">
        <v>0</v>
      </c>
      <c r="X8" s="198">
        <v>0</v>
      </c>
      <c r="Y8" s="198">
        <v>0</v>
      </c>
      <c r="Z8" s="198">
        <v>0</v>
      </c>
      <c r="AA8" s="198">
        <v>0</v>
      </c>
      <c r="AB8" s="198">
        <v>0</v>
      </c>
      <c r="AC8" s="198">
        <v>0</v>
      </c>
      <c r="AD8" s="198">
        <v>0</v>
      </c>
      <c r="AE8" s="198">
        <v>0</v>
      </c>
      <c r="AF8" s="198">
        <v>0</v>
      </c>
      <c r="AG8" s="198">
        <v>0</v>
      </c>
      <c r="AH8" s="198">
        <v>0</v>
      </c>
      <c r="AI8" s="198">
        <v>0</v>
      </c>
      <c r="AJ8" s="198">
        <v>0</v>
      </c>
      <c r="AK8" s="198">
        <v>0</v>
      </c>
      <c r="AL8" s="198">
        <v>0</v>
      </c>
      <c r="AM8" s="198">
        <v>0</v>
      </c>
      <c r="AN8" s="198">
        <v>0</v>
      </c>
      <c r="AO8" s="198">
        <v>0</v>
      </c>
    </row>
    <row r="9" spans="1:41" x14ac:dyDescent="0.3">
      <c r="A9" s="198" t="s">
        <v>144</v>
      </c>
      <c r="B9" s="223">
        <v>6</v>
      </c>
      <c r="C9" s="198">
        <v>36</v>
      </c>
      <c r="D9" s="198">
        <v>2</v>
      </c>
      <c r="E9" s="198">
        <v>1</v>
      </c>
      <c r="F9" s="198">
        <v>5</v>
      </c>
      <c r="G9" s="198">
        <v>0</v>
      </c>
      <c r="H9" s="198">
        <v>0</v>
      </c>
      <c r="I9" s="198">
        <v>0</v>
      </c>
      <c r="J9" s="198">
        <v>0</v>
      </c>
      <c r="K9" s="198">
        <v>0</v>
      </c>
      <c r="L9" s="198">
        <v>0</v>
      </c>
      <c r="M9" s="198">
        <v>0</v>
      </c>
      <c r="N9" s="198">
        <v>0</v>
      </c>
      <c r="O9" s="198">
        <v>0</v>
      </c>
      <c r="P9" s="198">
        <v>0</v>
      </c>
      <c r="Q9" s="198">
        <v>0</v>
      </c>
      <c r="R9" s="198">
        <v>0</v>
      </c>
      <c r="S9" s="198">
        <v>0</v>
      </c>
      <c r="T9" s="198">
        <v>0</v>
      </c>
      <c r="U9" s="198">
        <v>0</v>
      </c>
      <c r="V9" s="198">
        <v>0</v>
      </c>
      <c r="W9" s="198">
        <v>0</v>
      </c>
      <c r="X9" s="198">
        <v>5</v>
      </c>
      <c r="Y9" s="198">
        <v>0</v>
      </c>
      <c r="Z9" s="198">
        <v>0</v>
      </c>
      <c r="AA9" s="198">
        <v>0</v>
      </c>
      <c r="AB9" s="198">
        <v>0</v>
      </c>
      <c r="AC9" s="198">
        <v>0</v>
      </c>
      <c r="AD9" s="198">
        <v>0</v>
      </c>
      <c r="AE9" s="198">
        <v>0</v>
      </c>
      <c r="AF9" s="198">
        <v>0</v>
      </c>
      <c r="AG9" s="198">
        <v>0</v>
      </c>
      <c r="AH9" s="198">
        <v>0</v>
      </c>
      <c r="AI9" s="198">
        <v>0</v>
      </c>
      <c r="AJ9" s="198">
        <v>0</v>
      </c>
      <c r="AK9" s="198">
        <v>0</v>
      </c>
      <c r="AL9" s="198">
        <v>0</v>
      </c>
      <c r="AM9" s="198">
        <v>0</v>
      </c>
      <c r="AN9" s="198">
        <v>0</v>
      </c>
      <c r="AO9" s="198">
        <v>0</v>
      </c>
    </row>
    <row r="10" spans="1:41" x14ac:dyDescent="0.3">
      <c r="A10" s="198" t="s">
        <v>145</v>
      </c>
      <c r="B10" s="223">
        <v>7</v>
      </c>
      <c r="C10" s="198">
        <v>36</v>
      </c>
      <c r="D10" s="198">
        <v>2</v>
      </c>
      <c r="E10" s="198">
        <v>2</v>
      </c>
      <c r="F10" s="198">
        <v>736</v>
      </c>
      <c r="G10" s="198">
        <v>0</v>
      </c>
      <c r="H10" s="198">
        <v>0</v>
      </c>
      <c r="I10" s="198">
        <v>0</v>
      </c>
      <c r="J10" s="198">
        <v>0</v>
      </c>
      <c r="K10" s="198">
        <v>0</v>
      </c>
      <c r="L10" s="198">
        <v>0</v>
      </c>
      <c r="M10" s="198">
        <v>0</v>
      </c>
      <c r="N10" s="198">
        <v>0</v>
      </c>
      <c r="O10" s="198">
        <v>0</v>
      </c>
      <c r="P10" s="198">
        <v>0</v>
      </c>
      <c r="Q10" s="198">
        <v>0</v>
      </c>
      <c r="R10" s="198">
        <v>0</v>
      </c>
      <c r="S10" s="198">
        <v>0</v>
      </c>
      <c r="T10" s="198">
        <v>0</v>
      </c>
      <c r="U10" s="198">
        <v>0</v>
      </c>
      <c r="V10" s="198">
        <v>0</v>
      </c>
      <c r="W10" s="198">
        <v>0</v>
      </c>
      <c r="X10" s="198">
        <v>736</v>
      </c>
      <c r="Y10" s="198">
        <v>0</v>
      </c>
      <c r="Z10" s="198">
        <v>0</v>
      </c>
      <c r="AA10" s="198">
        <v>0</v>
      </c>
      <c r="AB10" s="198">
        <v>0</v>
      </c>
      <c r="AC10" s="198">
        <v>0</v>
      </c>
      <c r="AD10" s="198">
        <v>0</v>
      </c>
      <c r="AE10" s="198">
        <v>0</v>
      </c>
      <c r="AF10" s="198">
        <v>0</v>
      </c>
      <c r="AG10" s="198">
        <v>0</v>
      </c>
      <c r="AH10" s="198">
        <v>0</v>
      </c>
      <c r="AI10" s="198">
        <v>0</v>
      </c>
      <c r="AJ10" s="198">
        <v>0</v>
      </c>
      <c r="AK10" s="198">
        <v>0</v>
      </c>
      <c r="AL10" s="198">
        <v>0</v>
      </c>
      <c r="AM10" s="198">
        <v>0</v>
      </c>
      <c r="AN10" s="198">
        <v>0</v>
      </c>
      <c r="AO10" s="198">
        <v>0</v>
      </c>
    </row>
    <row r="11" spans="1:41" x14ac:dyDescent="0.3">
      <c r="A11" s="198" t="s">
        <v>146</v>
      </c>
      <c r="B11" s="223">
        <v>8</v>
      </c>
      <c r="C11" s="198">
        <v>36</v>
      </c>
      <c r="D11" s="198">
        <v>2</v>
      </c>
      <c r="E11" s="198">
        <v>6</v>
      </c>
      <c r="F11" s="198">
        <v>187424</v>
      </c>
      <c r="G11" s="198">
        <v>0</v>
      </c>
      <c r="H11" s="198">
        <v>0</v>
      </c>
      <c r="I11" s="198">
        <v>0</v>
      </c>
      <c r="J11" s="198">
        <v>0</v>
      </c>
      <c r="K11" s="198">
        <v>0</v>
      </c>
      <c r="L11" s="198">
        <v>0</v>
      </c>
      <c r="M11" s="198">
        <v>0</v>
      </c>
      <c r="N11" s="198">
        <v>0</v>
      </c>
      <c r="O11" s="198">
        <v>0</v>
      </c>
      <c r="P11" s="198">
        <v>0</v>
      </c>
      <c r="Q11" s="198">
        <v>0</v>
      </c>
      <c r="R11" s="198">
        <v>0</v>
      </c>
      <c r="S11" s="198">
        <v>0</v>
      </c>
      <c r="T11" s="198">
        <v>0</v>
      </c>
      <c r="U11" s="198">
        <v>0</v>
      </c>
      <c r="V11" s="198">
        <v>0</v>
      </c>
      <c r="W11" s="198">
        <v>0</v>
      </c>
      <c r="X11" s="198">
        <v>183912</v>
      </c>
      <c r="Y11" s="198">
        <v>0</v>
      </c>
      <c r="Z11" s="198">
        <v>0</v>
      </c>
      <c r="AA11" s="198">
        <v>0</v>
      </c>
      <c r="AB11" s="198">
        <v>0</v>
      </c>
      <c r="AC11" s="198">
        <v>0</v>
      </c>
      <c r="AD11" s="198">
        <v>0</v>
      </c>
      <c r="AE11" s="198">
        <v>0</v>
      </c>
      <c r="AF11" s="198">
        <v>0</v>
      </c>
      <c r="AG11" s="198">
        <v>0</v>
      </c>
      <c r="AH11" s="198">
        <v>0</v>
      </c>
      <c r="AI11" s="198">
        <v>0</v>
      </c>
      <c r="AJ11" s="198">
        <v>0</v>
      </c>
      <c r="AK11" s="198">
        <v>0</v>
      </c>
      <c r="AL11" s="198">
        <v>0</v>
      </c>
      <c r="AM11" s="198">
        <v>0</v>
      </c>
      <c r="AN11" s="198">
        <v>3512</v>
      </c>
      <c r="AO11" s="198">
        <v>0</v>
      </c>
    </row>
    <row r="12" spans="1:41" x14ac:dyDescent="0.3">
      <c r="A12" s="198" t="s">
        <v>147</v>
      </c>
      <c r="B12" s="223">
        <v>9</v>
      </c>
      <c r="C12" s="198">
        <v>36</v>
      </c>
      <c r="D12" s="198">
        <v>2</v>
      </c>
      <c r="E12" s="198">
        <v>10</v>
      </c>
      <c r="F12" s="198">
        <v>2250</v>
      </c>
      <c r="G12" s="198">
        <v>0</v>
      </c>
      <c r="H12" s="198">
        <v>0</v>
      </c>
      <c r="I12" s="198">
        <v>0</v>
      </c>
      <c r="J12" s="198">
        <v>0</v>
      </c>
      <c r="K12" s="198">
        <v>2250</v>
      </c>
      <c r="L12" s="198">
        <v>0</v>
      </c>
      <c r="M12" s="198">
        <v>0</v>
      </c>
      <c r="N12" s="198">
        <v>0</v>
      </c>
      <c r="O12" s="198">
        <v>0</v>
      </c>
      <c r="P12" s="198">
        <v>0</v>
      </c>
      <c r="Q12" s="198">
        <v>0</v>
      </c>
      <c r="R12" s="198">
        <v>0</v>
      </c>
      <c r="S12" s="198">
        <v>0</v>
      </c>
      <c r="T12" s="198">
        <v>0</v>
      </c>
      <c r="U12" s="198">
        <v>0</v>
      </c>
      <c r="V12" s="198">
        <v>0</v>
      </c>
      <c r="W12" s="198">
        <v>0</v>
      </c>
      <c r="X12" s="198">
        <v>0</v>
      </c>
      <c r="Y12" s="198">
        <v>0</v>
      </c>
      <c r="Z12" s="198">
        <v>0</v>
      </c>
      <c r="AA12" s="198">
        <v>0</v>
      </c>
      <c r="AB12" s="198">
        <v>0</v>
      </c>
      <c r="AC12" s="198">
        <v>0</v>
      </c>
      <c r="AD12" s="198">
        <v>0</v>
      </c>
      <c r="AE12" s="198">
        <v>0</v>
      </c>
      <c r="AF12" s="198">
        <v>0</v>
      </c>
      <c r="AG12" s="198">
        <v>0</v>
      </c>
      <c r="AH12" s="198">
        <v>0</v>
      </c>
      <c r="AI12" s="198">
        <v>0</v>
      </c>
      <c r="AJ12" s="198">
        <v>0</v>
      </c>
      <c r="AK12" s="198">
        <v>0</v>
      </c>
      <c r="AL12" s="198">
        <v>0</v>
      </c>
      <c r="AM12" s="198">
        <v>0</v>
      </c>
      <c r="AN12" s="198">
        <v>0</v>
      </c>
      <c r="AO12" s="198">
        <v>0</v>
      </c>
    </row>
    <row r="13" spans="1:41" x14ac:dyDescent="0.3">
      <c r="A13" s="198" t="s">
        <v>148</v>
      </c>
      <c r="B13" s="223">
        <v>10</v>
      </c>
      <c r="C13" s="198">
        <v>36</v>
      </c>
      <c r="D13" s="198">
        <v>2</v>
      </c>
      <c r="E13" s="198">
        <v>11</v>
      </c>
      <c r="F13" s="198">
        <v>833.33333333333337</v>
      </c>
      <c r="G13" s="198">
        <v>0</v>
      </c>
      <c r="H13" s="198">
        <v>0</v>
      </c>
      <c r="I13" s="198">
        <v>0</v>
      </c>
      <c r="J13" s="198">
        <v>0</v>
      </c>
      <c r="K13" s="198">
        <v>833.33333333333337</v>
      </c>
      <c r="L13" s="198">
        <v>0</v>
      </c>
      <c r="M13" s="198">
        <v>0</v>
      </c>
      <c r="N13" s="198">
        <v>0</v>
      </c>
      <c r="O13" s="198">
        <v>0</v>
      </c>
      <c r="P13" s="198">
        <v>0</v>
      </c>
      <c r="Q13" s="198">
        <v>0</v>
      </c>
      <c r="R13" s="198">
        <v>0</v>
      </c>
      <c r="S13" s="198">
        <v>0</v>
      </c>
      <c r="T13" s="198">
        <v>0</v>
      </c>
      <c r="U13" s="198">
        <v>0</v>
      </c>
      <c r="V13" s="198">
        <v>0</v>
      </c>
      <c r="W13" s="198">
        <v>0</v>
      </c>
      <c r="X13" s="198">
        <v>0</v>
      </c>
      <c r="Y13" s="198">
        <v>0</v>
      </c>
      <c r="Z13" s="198">
        <v>0</v>
      </c>
      <c r="AA13" s="198">
        <v>0</v>
      </c>
      <c r="AB13" s="198">
        <v>0</v>
      </c>
      <c r="AC13" s="198">
        <v>0</v>
      </c>
      <c r="AD13" s="198">
        <v>0</v>
      </c>
      <c r="AE13" s="198">
        <v>0</v>
      </c>
      <c r="AF13" s="198">
        <v>0</v>
      </c>
      <c r="AG13" s="198">
        <v>0</v>
      </c>
      <c r="AH13" s="198">
        <v>0</v>
      </c>
      <c r="AI13" s="198">
        <v>0</v>
      </c>
      <c r="AJ13" s="198">
        <v>0</v>
      </c>
      <c r="AK13" s="198">
        <v>0</v>
      </c>
      <c r="AL13" s="198">
        <v>0</v>
      </c>
      <c r="AM13" s="198">
        <v>0</v>
      </c>
      <c r="AN13" s="198">
        <v>0</v>
      </c>
      <c r="AO13" s="198">
        <v>0</v>
      </c>
    </row>
    <row r="14" spans="1:41" x14ac:dyDescent="0.3">
      <c r="A14" s="198" t="s">
        <v>149</v>
      </c>
      <c r="B14" s="223">
        <v>11</v>
      </c>
      <c r="C14" s="198">
        <v>36</v>
      </c>
      <c r="D14" s="198">
        <v>3</v>
      </c>
      <c r="E14" s="198">
        <v>1</v>
      </c>
      <c r="F14" s="198">
        <v>5</v>
      </c>
      <c r="G14" s="198">
        <v>0</v>
      </c>
      <c r="H14" s="198">
        <v>0</v>
      </c>
      <c r="I14" s="198">
        <v>0</v>
      </c>
      <c r="J14" s="198">
        <v>0</v>
      </c>
      <c r="K14" s="198">
        <v>0</v>
      </c>
      <c r="L14" s="198">
        <v>0</v>
      </c>
      <c r="M14" s="198">
        <v>0</v>
      </c>
      <c r="N14" s="198">
        <v>0</v>
      </c>
      <c r="O14" s="198">
        <v>0</v>
      </c>
      <c r="P14" s="198">
        <v>0</v>
      </c>
      <c r="Q14" s="198">
        <v>0</v>
      </c>
      <c r="R14" s="198">
        <v>0</v>
      </c>
      <c r="S14" s="198">
        <v>0</v>
      </c>
      <c r="T14" s="198">
        <v>0</v>
      </c>
      <c r="U14" s="198">
        <v>0</v>
      </c>
      <c r="V14" s="198">
        <v>0</v>
      </c>
      <c r="W14" s="198">
        <v>0</v>
      </c>
      <c r="X14" s="198">
        <v>5</v>
      </c>
      <c r="Y14" s="198">
        <v>0</v>
      </c>
      <c r="Z14" s="198">
        <v>0</v>
      </c>
      <c r="AA14" s="198">
        <v>0</v>
      </c>
      <c r="AB14" s="198">
        <v>0</v>
      </c>
      <c r="AC14" s="198">
        <v>0</v>
      </c>
      <c r="AD14" s="198">
        <v>0</v>
      </c>
      <c r="AE14" s="198">
        <v>0</v>
      </c>
      <c r="AF14" s="198">
        <v>0</v>
      </c>
      <c r="AG14" s="198">
        <v>0</v>
      </c>
      <c r="AH14" s="198">
        <v>0</v>
      </c>
      <c r="AI14" s="198">
        <v>0</v>
      </c>
      <c r="AJ14" s="198">
        <v>0</v>
      </c>
      <c r="AK14" s="198">
        <v>0</v>
      </c>
      <c r="AL14" s="198">
        <v>0</v>
      </c>
      <c r="AM14" s="198">
        <v>0</v>
      </c>
      <c r="AN14" s="198">
        <v>0</v>
      </c>
      <c r="AO14" s="198">
        <v>0</v>
      </c>
    </row>
    <row r="15" spans="1:41" x14ac:dyDescent="0.3">
      <c r="A15" s="198" t="s">
        <v>150</v>
      </c>
      <c r="B15" s="223">
        <v>12</v>
      </c>
      <c r="C15" s="198">
        <v>36</v>
      </c>
      <c r="D15" s="198">
        <v>3</v>
      </c>
      <c r="E15" s="198">
        <v>2</v>
      </c>
      <c r="F15" s="198">
        <v>800</v>
      </c>
      <c r="G15" s="198">
        <v>0</v>
      </c>
      <c r="H15" s="198">
        <v>0</v>
      </c>
      <c r="I15" s="198">
        <v>0</v>
      </c>
      <c r="J15" s="198">
        <v>0</v>
      </c>
      <c r="K15" s="198">
        <v>0</v>
      </c>
      <c r="L15" s="198">
        <v>0</v>
      </c>
      <c r="M15" s="198">
        <v>0</v>
      </c>
      <c r="N15" s="198">
        <v>0</v>
      </c>
      <c r="O15" s="198">
        <v>0</v>
      </c>
      <c r="P15" s="198">
        <v>0</v>
      </c>
      <c r="Q15" s="198">
        <v>0</v>
      </c>
      <c r="R15" s="198">
        <v>0</v>
      </c>
      <c r="S15" s="198">
        <v>0</v>
      </c>
      <c r="T15" s="198">
        <v>0</v>
      </c>
      <c r="U15" s="198">
        <v>0</v>
      </c>
      <c r="V15" s="198">
        <v>0</v>
      </c>
      <c r="W15" s="198">
        <v>0</v>
      </c>
      <c r="X15" s="198">
        <v>800</v>
      </c>
      <c r="Y15" s="198">
        <v>0</v>
      </c>
      <c r="Z15" s="198">
        <v>0</v>
      </c>
      <c r="AA15" s="198">
        <v>0</v>
      </c>
      <c r="AB15" s="198">
        <v>0</v>
      </c>
      <c r="AC15" s="198">
        <v>0</v>
      </c>
      <c r="AD15" s="198">
        <v>0</v>
      </c>
      <c r="AE15" s="198">
        <v>0</v>
      </c>
      <c r="AF15" s="198">
        <v>0</v>
      </c>
      <c r="AG15" s="198">
        <v>0</v>
      </c>
      <c r="AH15" s="198">
        <v>0</v>
      </c>
      <c r="AI15" s="198">
        <v>0</v>
      </c>
      <c r="AJ15" s="198">
        <v>0</v>
      </c>
      <c r="AK15" s="198">
        <v>0</v>
      </c>
      <c r="AL15" s="198">
        <v>0</v>
      </c>
      <c r="AM15" s="198">
        <v>0</v>
      </c>
      <c r="AN15" s="198">
        <v>0</v>
      </c>
      <c r="AO15" s="198">
        <v>0</v>
      </c>
    </row>
    <row r="16" spans="1:41" x14ac:dyDescent="0.3">
      <c r="A16" s="198" t="s">
        <v>138</v>
      </c>
      <c r="B16" s="223">
        <v>2015</v>
      </c>
      <c r="C16" s="198">
        <v>36</v>
      </c>
      <c r="D16" s="198">
        <v>3</v>
      </c>
      <c r="E16" s="198">
        <v>6</v>
      </c>
      <c r="F16" s="198">
        <v>176492</v>
      </c>
      <c r="G16" s="198">
        <v>0</v>
      </c>
      <c r="H16" s="198">
        <v>0</v>
      </c>
      <c r="I16" s="198">
        <v>0</v>
      </c>
      <c r="J16" s="198">
        <v>0</v>
      </c>
      <c r="K16" s="198">
        <v>0</v>
      </c>
      <c r="L16" s="198">
        <v>0</v>
      </c>
      <c r="M16" s="198">
        <v>0</v>
      </c>
      <c r="N16" s="198">
        <v>0</v>
      </c>
      <c r="O16" s="198">
        <v>0</v>
      </c>
      <c r="P16" s="198">
        <v>0</v>
      </c>
      <c r="Q16" s="198">
        <v>0</v>
      </c>
      <c r="R16" s="198">
        <v>0</v>
      </c>
      <c r="S16" s="198">
        <v>0</v>
      </c>
      <c r="T16" s="198">
        <v>0</v>
      </c>
      <c r="U16" s="198">
        <v>0</v>
      </c>
      <c r="V16" s="198">
        <v>0</v>
      </c>
      <c r="W16" s="198">
        <v>0</v>
      </c>
      <c r="X16" s="198">
        <v>172796</v>
      </c>
      <c r="Y16" s="198">
        <v>0</v>
      </c>
      <c r="Z16" s="198">
        <v>0</v>
      </c>
      <c r="AA16" s="198">
        <v>0</v>
      </c>
      <c r="AB16" s="198">
        <v>0</v>
      </c>
      <c r="AC16" s="198">
        <v>0</v>
      </c>
      <c r="AD16" s="198">
        <v>0</v>
      </c>
      <c r="AE16" s="198">
        <v>0</v>
      </c>
      <c r="AF16" s="198">
        <v>0</v>
      </c>
      <c r="AG16" s="198">
        <v>0</v>
      </c>
      <c r="AH16" s="198">
        <v>0</v>
      </c>
      <c r="AI16" s="198">
        <v>0</v>
      </c>
      <c r="AJ16" s="198">
        <v>0</v>
      </c>
      <c r="AK16" s="198">
        <v>0</v>
      </c>
      <c r="AL16" s="198">
        <v>0</v>
      </c>
      <c r="AM16" s="198">
        <v>0</v>
      </c>
      <c r="AN16" s="198">
        <v>3696</v>
      </c>
      <c r="AO16" s="198">
        <v>0</v>
      </c>
    </row>
    <row r="17" spans="3:41" x14ac:dyDescent="0.3">
      <c r="C17" s="198">
        <v>36</v>
      </c>
      <c r="D17" s="198">
        <v>3</v>
      </c>
      <c r="E17" s="198">
        <v>11</v>
      </c>
      <c r="F17" s="198">
        <v>833.33333333333337</v>
      </c>
      <c r="G17" s="198">
        <v>0</v>
      </c>
      <c r="H17" s="198">
        <v>0</v>
      </c>
      <c r="I17" s="198">
        <v>0</v>
      </c>
      <c r="J17" s="198">
        <v>0</v>
      </c>
      <c r="K17" s="198">
        <v>833.33333333333337</v>
      </c>
      <c r="L17" s="198">
        <v>0</v>
      </c>
      <c r="M17" s="198">
        <v>0</v>
      </c>
      <c r="N17" s="198">
        <v>0</v>
      </c>
      <c r="O17" s="198">
        <v>0</v>
      </c>
      <c r="P17" s="198">
        <v>0</v>
      </c>
      <c r="Q17" s="198">
        <v>0</v>
      </c>
      <c r="R17" s="198">
        <v>0</v>
      </c>
      <c r="S17" s="198">
        <v>0</v>
      </c>
      <c r="T17" s="198">
        <v>0</v>
      </c>
      <c r="U17" s="198">
        <v>0</v>
      </c>
      <c r="V17" s="198">
        <v>0</v>
      </c>
      <c r="W17" s="198">
        <v>0</v>
      </c>
      <c r="X17" s="198">
        <v>0</v>
      </c>
      <c r="Y17" s="198">
        <v>0</v>
      </c>
      <c r="Z17" s="198">
        <v>0</v>
      </c>
      <c r="AA17" s="198">
        <v>0</v>
      </c>
      <c r="AB17" s="198">
        <v>0</v>
      </c>
      <c r="AC17" s="198">
        <v>0</v>
      </c>
      <c r="AD17" s="198">
        <v>0</v>
      </c>
      <c r="AE17" s="198">
        <v>0</v>
      </c>
      <c r="AF17" s="198">
        <v>0</v>
      </c>
      <c r="AG17" s="198">
        <v>0</v>
      </c>
      <c r="AH17" s="198">
        <v>0</v>
      </c>
      <c r="AI17" s="198">
        <v>0</v>
      </c>
      <c r="AJ17" s="198">
        <v>0</v>
      </c>
      <c r="AK17" s="198">
        <v>0</v>
      </c>
      <c r="AL17" s="198">
        <v>0</v>
      </c>
      <c r="AM17" s="198">
        <v>0</v>
      </c>
      <c r="AN17" s="198">
        <v>0</v>
      </c>
      <c r="AO17" s="198">
        <v>0</v>
      </c>
    </row>
    <row r="18" spans="3:41" x14ac:dyDescent="0.3">
      <c r="C18" s="198">
        <v>36</v>
      </c>
      <c r="D18" s="198">
        <v>4</v>
      </c>
      <c r="E18" s="198">
        <v>1</v>
      </c>
      <c r="F18" s="198">
        <v>5</v>
      </c>
      <c r="G18" s="198">
        <v>0</v>
      </c>
      <c r="H18" s="198">
        <v>0</v>
      </c>
      <c r="I18" s="198">
        <v>0</v>
      </c>
      <c r="J18" s="198">
        <v>0</v>
      </c>
      <c r="K18" s="198">
        <v>0</v>
      </c>
      <c r="L18" s="198">
        <v>0</v>
      </c>
      <c r="M18" s="198">
        <v>0</v>
      </c>
      <c r="N18" s="198">
        <v>0</v>
      </c>
      <c r="O18" s="198">
        <v>0</v>
      </c>
      <c r="P18" s="198">
        <v>0</v>
      </c>
      <c r="Q18" s="198">
        <v>0</v>
      </c>
      <c r="R18" s="198">
        <v>0</v>
      </c>
      <c r="S18" s="198">
        <v>0</v>
      </c>
      <c r="T18" s="198">
        <v>0</v>
      </c>
      <c r="U18" s="198">
        <v>0</v>
      </c>
      <c r="V18" s="198">
        <v>0</v>
      </c>
      <c r="W18" s="198">
        <v>0</v>
      </c>
      <c r="X18" s="198">
        <v>5</v>
      </c>
      <c r="Y18" s="198">
        <v>0</v>
      </c>
      <c r="Z18" s="198">
        <v>0</v>
      </c>
      <c r="AA18" s="198">
        <v>0</v>
      </c>
      <c r="AB18" s="198">
        <v>0</v>
      </c>
      <c r="AC18" s="198">
        <v>0</v>
      </c>
      <c r="AD18" s="198">
        <v>0</v>
      </c>
      <c r="AE18" s="198">
        <v>0</v>
      </c>
      <c r="AF18" s="198">
        <v>0</v>
      </c>
      <c r="AG18" s="198">
        <v>0</v>
      </c>
      <c r="AH18" s="198">
        <v>0</v>
      </c>
      <c r="AI18" s="198">
        <v>0</v>
      </c>
      <c r="AJ18" s="198">
        <v>0</v>
      </c>
      <c r="AK18" s="198">
        <v>0</v>
      </c>
      <c r="AL18" s="198">
        <v>0</v>
      </c>
      <c r="AM18" s="198">
        <v>0</v>
      </c>
      <c r="AN18" s="198">
        <v>0</v>
      </c>
      <c r="AO18" s="198">
        <v>0</v>
      </c>
    </row>
    <row r="19" spans="3:41" x14ac:dyDescent="0.3">
      <c r="C19" s="198">
        <v>36</v>
      </c>
      <c r="D19" s="198">
        <v>4</v>
      </c>
      <c r="E19" s="198">
        <v>2</v>
      </c>
      <c r="F19" s="198">
        <v>848</v>
      </c>
      <c r="G19" s="198">
        <v>0</v>
      </c>
      <c r="H19" s="198">
        <v>0</v>
      </c>
      <c r="I19" s="198">
        <v>0</v>
      </c>
      <c r="J19" s="198">
        <v>0</v>
      </c>
      <c r="K19" s="198">
        <v>0</v>
      </c>
      <c r="L19" s="198">
        <v>0</v>
      </c>
      <c r="M19" s="198">
        <v>0</v>
      </c>
      <c r="N19" s="198">
        <v>0</v>
      </c>
      <c r="O19" s="198">
        <v>0</v>
      </c>
      <c r="P19" s="198">
        <v>0</v>
      </c>
      <c r="Q19" s="198">
        <v>0</v>
      </c>
      <c r="R19" s="198">
        <v>0</v>
      </c>
      <c r="S19" s="198">
        <v>0</v>
      </c>
      <c r="T19" s="198">
        <v>0</v>
      </c>
      <c r="U19" s="198">
        <v>0</v>
      </c>
      <c r="V19" s="198">
        <v>0</v>
      </c>
      <c r="W19" s="198">
        <v>0</v>
      </c>
      <c r="X19" s="198">
        <v>848</v>
      </c>
      <c r="Y19" s="198">
        <v>0</v>
      </c>
      <c r="Z19" s="198">
        <v>0</v>
      </c>
      <c r="AA19" s="198">
        <v>0</v>
      </c>
      <c r="AB19" s="198">
        <v>0</v>
      </c>
      <c r="AC19" s="198">
        <v>0</v>
      </c>
      <c r="AD19" s="198">
        <v>0</v>
      </c>
      <c r="AE19" s="198">
        <v>0</v>
      </c>
      <c r="AF19" s="198">
        <v>0</v>
      </c>
      <c r="AG19" s="198">
        <v>0</v>
      </c>
      <c r="AH19" s="198">
        <v>0</v>
      </c>
      <c r="AI19" s="198">
        <v>0</v>
      </c>
      <c r="AJ19" s="198">
        <v>0</v>
      </c>
      <c r="AK19" s="198">
        <v>0</v>
      </c>
      <c r="AL19" s="198">
        <v>0</v>
      </c>
      <c r="AM19" s="198">
        <v>0</v>
      </c>
      <c r="AN19" s="198">
        <v>0</v>
      </c>
      <c r="AO19" s="198">
        <v>0</v>
      </c>
    </row>
    <row r="20" spans="3:41" x14ac:dyDescent="0.3">
      <c r="C20" s="198">
        <v>36</v>
      </c>
      <c r="D20" s="198">
        <v>4</v>
      </c>
      <c r="E20" s="198">
        <v>6</v>
      </c>
      <c r="F20" s="198">
        <v>188568</v>
      </c>
      <c r="G20" s="198">
        <v>0</v>
      </c>
      <c r="H20" s="198">
        <v>0</v>
      </c>
      <c r="I20" s="198">
        <v>0</v>
      </c>
      <c r="J20" s="198">
        <v>0</v>
      </c>
      <c r="K20" s="198">
        <v>0</v>
      </c>
      <c r="L20" s="198">
        <v>0</v>
      </c>
      <c r="M20" s="198">
        <v>0</v>
      </c>
      <c r="N20" s="198">
        <v>0</v>
      </c>
      <c r="O20" s="198">
        <v>0</v>
      </c>
      <c r="P20" s="198">
        <v>0</v>
      </c>
      <c r="Q20" s="198">
        <v>0</v>
      </c>
      <c r="R20" s="198">
        <v>0</v>
      </c>
      <c r="S20" s="198">
        <v>0</v>
      </c>
      <c r="T20" s="198">
        <v>0</v>
      </c>
      <c r="U20" s="198">
        <v>0</v>
      </c>
      <c r="V20" s="198">
        <v>0</v>
      </c>
      <c r="W20" s="198">
        <v>0</v>
      </c>
      <c r="X20" s="198">
        <v>185040</v>
      </c>
      <c r="Y20" s="198">
        <v>0</v>
      </c>
      <c r="Z20" s="198">
        <v>0</v>
      </c>
      <c r="AA20" s="198">
        <v>0</v>
      </c>
      <c r="AB20" s="198">
        <v>0</v>
      </c>
      <c r="AC20" s="198">
        <v>0</v>
      </c>
      <c r="AD20" s="198">
        <v>0</v>
      </c>
      <c r="AE20" s="198">
        <v>0</v>
      </c>
      <c r="AF20" s="198">
        <v>0</v>
      </c>
      <c r="AG20" s="198">
        <v>0</v>
      </c>
      <c r="AH20" s="198">
        <v>0</v>
      </c>
      <c r="AI20" s="198">
        <v>0</v>
      </c>
      <c r="AJ20" s="198">
        <v>0</v>
      </c>
      <c r="AK20" s="198">
        <v>0</v>
      </c>
      <c r="AL20" s="198">
        <v>0</v>
      </c>
      <c r="AM20" s="198">
        <v>0</v>
      </c>
      <c r="AN20" s="198">
        <v>3528</v>
      </c>
      <c r="AO20" s="198">
        <v>0</v>
      </c>
    </row>
    <row r="21" spans="3:41" x14ac:dyDescent="0.3">
      <c r="C21" s="198">
        <v>36</v>
      </c>
      <c r="D21" s="198">
        <v>4</v>
      </c>
      <c r="E21" s="198">
        <v>11</v>
      </c>
      <c r="F21" s="198">
        <v>833.33333333333337</v>
      </c>
      <c r="G21" s="198">
        <v>0</v>
      </c>
      <c r="H21" s="198">
        <v>0</v>
      </c>
      <c r="I21" s="198">
        <v>0</v>
      </c>
      <c r="J21" s="198">
        <v>0</v>
      </c>
      <c r="K21" s="198">
        <v>833.33333333333337</v>
      </c>
      <c r="L21" s="198">
        <v>0</v>
      </c>
      <c r="M21" s="198">
        <v>0</v>
      </c>
      <c r="N21" s="198">
        <v>0</v>
      </c>
      <c r="O21" s="198">
        <v>0</v>
      </c>
      <c r="P21" s="198">
        <v>0</v>
      </c>
      <c r="Q21" s="198">
        <v>0</v>
      </c>
      <c r="R21" s="198">
        <v>0</v>
      </c>
      <c r="S21" s="198">
        <v>0</v>
      </c>
      <c r="T21" s="198">
        <v>0</v>
      </c>
      <c r="U21" s="198">
        <v>0</v>
      </c>
      <c r="V21" s="198">
        <v>0</v>
      </c>
      <c r="W21" s="198">
        <v>0</v>
      </c>
      <c r="X21" s="198">
        <v>0</v>
      </c>
      <c r="Y21" s="198">
        <v>0</v>
      </c>
      <c r="Z21" s="198">
        <v>0</v>
      </c>
      <c r="AA21" s="198">
        <v>0</v>
      </c>
      <c r="AB21" s="198">
        <v>0</v>
      </c>
      <c r="AC21" s="198">
        <v>0</v>
      </c>
      <c r="AD21" s="198">
        <v>0</v>
      </c>
      <c r="AE21" s="198">
        <v>0</v>
      </c>
      <c r="AF21" s="198">
        <v>0</v>
      </c>
      <c r="AG21" s="198">
        <v>0</v>
      </c>
      <c r="AH21" s="198">
        <v>0</v>
      </c>
      <c r="AI21" s="198">
        <v>0</v>
      </c>
      <c r="AJ21" s="198">
        <v>0</v>
      </c>
      <c r="AK21" s="198">
        <v>0</v>
      </c>
      <c r="AL21" s="198">
        <v>0</v>
      </c>
      <c r="AM21" s="198">
        <v>0</v>
      </c>
      <c r="AN21" s="198">
        <v>0</v>
      </c>
      <c r="AO21" s="198">
        <v>0</v>
      </c>
    </row>
    <row r="22" spans="3:41" x14ac:dyDescent="0.3">
      <c r="C22" s="198">
        <v>36</v>
      </c>
      <c r="D22" s="198">
        <v>5</v>
      </c>
      <c r="E22" s="198">
        <v>1</v>
      </c>
      <c r="F22" s="198">
        <v>5</v>
      </c>
      <c r="G22" s="198">
        <v>0</v>
      </c>
      <c r="H22" s="198">
        <v>0</v>
      </c>
      <c r="I22" s="198">
        <v>0</v>
      </c>
      <c r="J22" s="198">
        <v>0</v>
      </c>
      <c r="K22" s="198">
        <v>0</v>
      </c>
      <c r="L22" s="198">
        <v>0</v>
      </c>
      <c r="M22" s="198">
        <v>0</v>
      </c>
      <c r="N22" s="198">
        <v>0</v>
      </c>
      <c r="O22" s="198">
        <v>0</v>
      </c>
      <c r="P22" s="198">
        <v>0</v>
      </c>
      <c r="Q22" s="198">
        <v>0</v>
      </c>
      <c r="R22" s="198">
        <v>0</v>
      </c>
      <c r="S22" s="198">
        <v>0</v>
      </c>
      <c r="T22" s="198">
        <v>0</v>
      </c>
      <c r="U22" s="198">
        <v>0</v>
      </c>
      <c r="V22" s="198">
        <v>0</v>
      </c>
      <c r="W22" s="198">
        <v>0</v>
      </c>
      <c r="X22" s="198">
        <v>5</v>
      </c>
      <c r="Y22" s="198">
        <v>0</v>
      </c>
      <c r="Z22" s="198">
        <v>0</v>
      </c>
      <c r="AA22" s="198">
        <v>0</v>
      </c>
      <c r="AB22" s="198">
        <v>0</v>
      </c>
      <c r="AC22" s="198">
        <v>0</v>
      </c>
      <c r="AD22" s="198">
        <v>0</v>
      </c>
      <c r="AE22" s="198">
        <v>0</v>
      </c>
      <c r="AF22" s="198">
        <v>0</v>
      </c>
      <c r="AG22" s="198">
        <v>0</v>
      </c>
      <c r="AH22" s="198">
        <v>0</v>
      </c>
      <c r="AI22" s="198">
        <v>0</v>
      </c>
      <c r="AJ22" s="198">
        <v>0</v>
      </c>
      <c r="AK22" s="198">
        <v>0</v>
      </c>
      <c r="AL22" s="198">
        <v>0</v>
      </c>
      <c r="AM22" s="198">
        <v>0</v>
      </c>
      <c r="AN22" s="198">
        <v>0</v>
      </c>
      <c r="AO22" s="198">
        <v>0</v>
      </c>
    </row>
    <row r="23" spans="3:41" x14ac:dyDescent="0.3">
      <c r="C23" s="198">
        <v>36</v>
      </c>
      <c r="D23" s="198">
        <v>5</v>
      </c>
      <c r="E23" s="198">
        <v>2</v>
      </c>
      <c r="F23" s="198">
        <v>696</v>
      </c>
      <c r="G23" s="198">
        <v>0</v>
      </c>
      <c r="H23" s="198">
        <v>0</v>
      </c>
      <c r="I23" s="198">
        <v>0</v>
      </c>
      <c r="J23" s="198">
        <v>0</v>
      </c>
      <c r="K23" s="198">
        <v>0</v>
      </c>
      <c r="L23" s="198">
        <v>0</v>
      </c>
      <c r="M23" s="198">
        <v>0</v>
      </c>
      <c r="N23" s="198">
        <v>0</v>
      </c>
      <c r="O23" s="198">
        <v>0</v>
      </c>
      <c r="P23" s="198">
        <v>0</v>
      </c>
      <c r="Q23" s="198">
        <v>0</v>
      </c>
      <c r="R23" s="198">
        <v>0</v>
      </c>
      <c r="S23" s="198">
        <v>0</v>
      </c>
      <c r="T23" s="198">
        <v>0</v>
      </c>
      <c r="U23" s="198">
        <v>0</v>
      </c>
      <c r="V23" s="198">
        <v>0</v>
      </c>
      <c r="W23" s="198">
        <v>0</v>
      </c>
      <c r="X23" s="198">
        <v>696</v>
      </c>
      <c r="Y23" s="198">
        <v>0</v>
      </c>
      <c r="Z23" s="198">
        <v>0</v>
      </c>
      <c r="AA23" s="198">
        <v>0</v>
      </c>
      <c r="AB23" s="198">
        <v>0</v>
      </c>
      <c r="AC23" s="198">
        <v>0</v>
      </c>
      <c r="AD23" s="198">
        <v>0</v>
      </c>
      <c r="AE23" s="198">
        <v>0</v>
      </c>
      <c r="AF23" s="198">
        <v>0</v>
      </c>
      <c r="AG23" s="198">
        <v>0</v>
      </c>
      <c r="AH23" s="198">
        <v>0</v>
      </c>
      <c r="AI23" s="198">
        <v>0</v>
      </c>
      <c r="AJ23" s="198">
        <v>0</v>
      </c>
      <c r="AK23" s="198">
        <v>0</v>
      </c>
      <c r="AL23" s="198">
        <v>0</v>
      </c>
      <c r="AM23" s="198">
        <v>0</v>
      </c>
      <c r="AN23" s="198">
        <v>0</v>
      </c>
      <c r="AO23" s="198">
        <v>0</v>
      </c>
    </row>
    <row r="24" spans="3:41" x14ac:dyDescent="0.3">
      <c r="C24" s="198">
        <v>36</v>
      </c>
      <c r="D24" s="198">
        <v>5</v>
      </c>
      <c r="E24" s="198">
        <v>6</v>
      </c>
      <c r="F24" s="198">
        <v>157774</v>
      </c>
      <c r="G24" s="198">
        <v>0</v>
      </c>
      <c r="H24" s="198">
        <v>0</v>
      </c>
      <c r="I24" s="198">
        <v>0</v>
      </c>
      <c r="J24" s="198">
        <v>0</v>
      </c>
      <c r="K24" s="198">
        <v>0</v>
      </c>
      <c r="L24" s="198">
        <v>0</v>
      </c>
      <c r="M24" s="198">
        <v>0</v>
      </c>
      <c r="N24" s="198">
        <v>0</v>
      </c>
      <c r="O24" s="198">
        <v>0</v>
      </c>
      <c r="P24" s="198">
        <v>0</v>
      </c>
      <c r="Q24" s="198">
        <v>0</v>
      </c>
      <c r="R24" s="198">
        <v>0</v>
      </c>
      <c r="S24" s="198">
        <v>0</v>
      </c>
      <c r="T24" s="198">
        <v>0</v>
      </c>
      <c r="U24" s="198">
        <v>0</v>
      </c>
      <c r="V24" s="198">
        <v>0</v>
      </c>
      <c r="W24" s="198">
        <v>0</v>
      </c>
      <c r="X24" s="198">
        <v>154254</v>
      </c>
      <c r="Y24" s="198">
        <v>0</v>
      </c>
      <c r="Z24" s="198">
        <v>0</v>
      </c>
      <c r="AA24" s="198">
        <v>0</v>
      </c>
      <c r="AB24" s="198">
        <v>0</v>
      </c>
      <c r="AC24" s="198">
        <v>0</v>
      </c>
      <c r="AD24" s="198">
        <v>0</v>
      </c>
      <c r="AE24" s="198">
        <v>0</v>
      </c>
      <c r="AF24" s="198">
        <v>0</v>
      </c>
      <c r="AG24" s="198">
        <v>0</v>
      </c>
      <c r="AH24" s="198">
        <v>0</v>
      </c>
      <c r="AI24" s="198">
        <v>0</v>
      </c>
      <c r="AJ24" s="198">
        <v>0</v>
      </c>
      <c r="AK24" s="198">
        <v>0</v>
      </c>
      <c r="AL24" s="198">
        <v>0</v>
      </c>
      <c r="AM24" s="198">
        <v>0</v>
      </c>
      <c r="AN24" s="198">
        <v>3520</v>
      </c>
      <c r="AO24" s="198">
        <v>0</v>
      </c>
    </row>
    <row r="25" spans="3:41" x14ac:dyDescent="0.3">
      <c r="C25" s="198">
        <v>36</v>
      </c>
      <c r="D25" s="198">
        <v>5</v>
      </c>
      <c r="E25" s="198">
        <v>11</v>
      </c>
      <c r="F25" s="198">
        <v>833.33333333333337</v>
      </c>
      <c r="G25" s="198">
        <v>0</v>
      </c>
      <c r="H25" s="198">
        <v>0</v>
      </c>
      <c r="I25" s="198">
        <v>0</v>
      </c>
      <c r="J25" s="198">
        <v>0</v>
      </c>
      <c r="K25" s="198">
        <v>833.33333333333337</v>
      </c>
      <c r="L25" s="198">
        <v>0</v>
      </c>
      <c r="M25" s="198">
        <v>0</v>
      </c>
      <c r="N25" s="198">
        <v>0</v>
      </c>
      <c r="O25" s="198">
        <v>0</v>
      </c>
      <c r="P25" s="198">
        <v>0</v>
      </c>
      <c r="Q25" s="198">
        <v>0</v>
      </c>
      <c r="R25" s="198">
        <v>0</v>
      </c>
      <c r="S25" s="198">
        <v>0</v>
      </c>
      <c r="T25" s="198">
        <v>0</v>
      </c>
      <c r="U25" s="198">
        <v>0</v>
      </c>
      <c r="V25" s="198">
        <v>0</v>
      </c>
      <c r="W25" s="198">
        <v>0</v>
      </c>
      <c r="X25" s="198">
        <v>0</v>
      </c>
      <c r="Y25" s="198">
        <v>0</v>
      </c>
      <c r="Z25" s="198">
        <v>0</v>
      </c>
      <c r="AA25" s="198">
        <v>0</v>
      </c>
      <c r="AB25" s="198">
        <v>0</v>
      </c>
      <c r="AC25" s="198">
        <v>0</v>
      </c>
      <c r="AD25" s="198">
        <v>0</v>
      </c>
      <c r="AE25" s="198">
        <v>0</v>
      </c>
      <c r="AF25" s="198">
        <v>0</v>
      </c>
      <c r="AG25" s="198">
        <v>0</v>
      </c>
      <c r="AH25" s="198">
        <v>0</v>
      </c>
      <c r="AI25" s="198">
        <v>0</v>
      </c>
      <c r="AJ25" s="198">
        <v>0</v>
      </c>
      <c r="AK25" s="198">
        <v>0</v>
      </c>
      <c r="AL25" s="198">
        <v>0</v>
      </c>
      <c r="AM25" s="198">
        <v>0</v>
      </c>
      <c r="AN25" s="198">
        <v>0</v>
      </c>
      <c r="AO25" s="198">
        <v>0</v>
      </c>
    </row>
    <row r="26" spans="3:41" x14ac:dyDescent="0.3">
      <c r="C26" s="198">
        <v>36</v>
      </c>
      <c r="D26" s="198">
        <v>6</v>
      </c>
      <c r="E26" s="198">
        <v>1</v>
      </c>
      <c r="F26" s="198">
        <v>5</v>
      </c>
      <c r="G26" s="198">
        <v>0</v>
      </c>
      <c r="H26" s="198">
        <v>0</v>
      </c>
      <c r="I26" s="198">
        <v>0</v>
      </c>
      <c r="J26" s="198">
        <v>0</v>
      </c>
      <c r="K26" s="198">
        <v>0</v>
      </c>
      <c r="L26" s="198">
        <v>0</v>
      </c>
      <c r="M26" s="198">
        <v>0</v>
      </c>
      <c r="N26" s="198">
        <v>0</v>
      </c>
      <c r="O26" s="198">
        <v>0</v>
      </c>
      <c r="P26" s="198">
        <v>0</v>
      </c>
      <c r="Q26" s="198">
        <v>0</v>
      </c>
      <c r="R26" s="198">
        <v>0</v>
      </c>
      <c r="S26" s="198">
        <v>0</v>
      </c>
      <c r="T26" s="198">
        <v>0</v>
      </c>
      <c r="U26" s="198">
        <v>0</v>
      </c>
      <c r="V26" s="198">
        <v>0</v>
      </c>
      <c r="W26" s="198">
        <v>0</v>
      </c>
      <c r="X26" s="198">
        <v>5</v>
      </c>
      <c r="Y26" s="198">
        <v>0</v>
      </c>
      <c r="Z26" s="198">
        <v>0</v>
      </c>
      <c r="AA26" s="198">
        <v>0</v>
      </c>
      <c r="AB26" s="198">
        <v>0</v>
      </c>
      <c r="AC26" s="198">
        <v>0</v>
      </c>
      <c r="AD26" s="198">
        <v>0</v>
      </c>
      <c r="AE26" s="198">
        <v>0</v>
      </c>
      <c r="AF26" s="198">
        <v>0</v>
      </c>
      <c r="AG26" s="198">
        <v>0</v>
      </c>
      <c r="AH26" s="198">
        <v>0</v>
      </c>
      <c r="AI26" s="198">
        <v>0</v>
      </c>
      <c r="AJ26" s="198">
        <v>0</v>
      </c>
      <c r="AK26" s="198">
        <v>0</v>
      </c>
      <c r="AL26" s="198">
        <v>0</v>
      </c>
      <c r="AM26" s="198">
        <v>0</v>
      </c>
      <c r="AN26" s="198">
        <v>0</v>
      </c>
      <c r="AO26" s="198">
        <v>0</v>
      </c>
    </row>
    <row r="27" spans="3:41" x14ac:dyDescent="0.3">
      <c r="C27" s="198">
        <v>36</v>
      </c>
      <c r="D27" s="198">
        <v>6</v>
      </c>
      <c r="E27" s="198">
        <v>2</v>
      </c>
      <c r="F27" s="198">
        <v>720</v>
      </c>
      <c r="G27" s="198">
        <v>0</v>
      </c>
      <c r="H27" s="198">
        <v>0</v>
      </c>
      <c r="I27" s="198">
        <v>0</v>
      </c>
      <c r="J27" s="198">
        <v>0</v>
      </c>
      <c r="K27" s="198">
        <v>0</v>
      </c>
      <c r="L27" s="198">
        <v>0</v>
      </c>
      <c r="M27" s="198">
        <v>0</v>
      </c>
      <c r="N27" s="198">
        <v>0</v>
      </c>
      <c r="O27" s="198">
        <v>0</v>
      </c>
      <c r="P27" s="198">
        <v>0</v>
      </c>
      <c r="Q27" s="198">
        <v>0</v>
      </c>
      <c r="R27" s="198">
        <v>0</v>
      </c>
      <c r="S27" s="198">
        <v>0</v>
      </c>
      <c r="T27" s="198">
        <v>0</v>
      </c>
      <c r="U27" s="198">
        <v>0</v>
      </c>
      <c r="V27" s="198">
        <v>0</v>
      </c>
      <c r="W27" s="198">
        <v>0</v>
      </c>
      <c r="X27" s="198">
        <v>720</v>
      </c>
      <c r="Y27" s="198">
        <v>0</v>
      </c>
      <c r="Z27" s="198">
        <v>0</v>
      </c>
      <c r="AA27" s="198">
        <v>0</v>
      </c>
      <c r="AB27" s="198">
        <v>0</v>
      </c>
      <c r="AC27" s="198">
        <v>0</v>
      </c>
      <c r="AD27" s="198">
        <v>0</v>
      </c>
      <c r="AE27" s="198">
        <v>0</v>
      </c>
      <c r="AF27" s="198">
        <v>0</v>
      </c>
      <c r="AG27" s="198">
        <v>0</v>
      </c>
      <c r="AH27" s="198">
        <v>0</v>
      </c>
      <c r="AI27" s="198">
        <v>0</v>
      </c>
      <c r="AJ27" s="198">
        <v>0</v>
      </c>
      <c r="AK27" s="198">
        <v>0</v>
      </c>
      <c r="AL27" s="198">
        <v>0</v>
      </c>
      <c r="AM27" s="198">
        <v>0</v>
      </c>
      <c r="AN27" s="198">
        <v>0</v>
      </c>
      <c r="AO27" s="198">
        <v>0</v>
      </c>
    </row>
    <row r="28" spans="3:41" x14ac:dyDescent="0.3">
      <c r="C28" s="198">
        <v>36</v>
      </c>
      <c r="D28" s="198">
        <v>6</v>
      </c>
      <c r="E28" s="198">
        <v>6</v>
      </c>
      <c r="F28" s="198">
        <v>267997</v>
      </c>
      <c r="G28" s="198">
        <v>0</v>
      </c>
      <c r="H28" s="198">
        <v>0</v>
      </c>
      <c r="I28" s="198">
        <v>0</v>
      </c>
      <c r="J28" s="198">
        <v>0</v>
      </c>
      <c r="K28" s="198">
        <v>0</v>
      </c>
      <c r="L28" s="198">
        <v>0</v>
      </c>
      <c r="M28" s="198">
        <v>0</v>
      </c>
      <c r="N28" s="198">
        <v>0</v>
      </c>
      <c r="O28" s="198">
        <v>0</v>
      </c>
      <c r="P28" s="198">
        <v>0</v>
      </c>
      <c r="Q28" s="198">
        <v>0</v>
      </c>
      <c r="R28" s="198">
        <v>0</v>
      </c>
      <c r="S28" s="198">
        <v>0</v>
      </c>
      <c r="T28" s="198">
        <v>0</v>
      </c>
      <c r="U28" s="198">
        <v>0</v>
      </c>
      <c r="V28" s="198">
        <v>0</v>
      </c>
      <c r="W28" s="198">
        <v>0</v>
      </c>
      <c r="X28" s="198">
        <v>264469</v>
      </c>
      <c r="Y28" s="198">
        <v>0</v>
      </c>
      <c r="Z28" s="198">
        <v>0</v>
      </c>
      <c r="AA28" s="198">
        <v>0</v>
      </c>
      <c r="AB28" s="198">
        <v>0</v>
      </c>
      <c r="AC28" s="198">
        <v>0</v>
      </c>
      <c r="AD28" s="198">
        <v>0</v>
      </c>
      <c r="AE28" s="198">
        <v>0</v>
      </c>
      <c r="AF28" s="198">
        <v>0</v>
      </c>
      <c r="AG28" s="198">
        <v>0</v>
      </c>
      <c r="AH28" s="198">
        <v>0</v>
      </c>
      <c r="AI28" s="198">
        <v>0</v>
      </c>
      <c r="AJ28" s="198">
        <v>0</v>
      </c>
      <c r="AK28" s="198">
        <v>0</v>
      </c>
      <c r="AL28" s="198">
        <v>0</v>
      </c>
      <c r="AM28" s="198">
        <v>0</v>
      </c>
      <c r="AN28" s="198">
        <v>3528</v>
      </c>
      <c r="AO28" s="198">
        <v>0</v>
      </c>
    </row>
    <row r="29" spans="3:41" x14ac:dyDescent="0.3">
      <c r="C29" s="198">
        <v>36</v>
      </c>
      <c r="D29" s="198">
        <v>6</v>
      </c>
      <c r="E29" s="198">
        <v>9</v>
      </c>
      <c r="F29" s="198">
        <v>110000</v>
      </c>
      <c r="G29" s="198">
        <v>0</v>
      </c>
      <c r="H29" s="198">
        <v>0</v>
      </c>
      <c r="I29" s="198">
        <v>0</v>
      </c>
      <c r="J29" s="198">
        <v>0</v>
      </c>
      <c r="K29" s="198">
        <v>0</v>
      </c>
      <c r="L29" s="198">
        <v>0</v>
      </c>
      <c r="M29" s="198">
        <v>0</v>
      </c>
      <c r="N29" s="198">
        <v>0</v>
      </c>
      <c r="O29" s="198">
        <v>0</v>
      </c>
      <c r="P29" s="198">
        <v>0</v>
      </c>
      <c r="Q29" s="198">
        <v>0</v>
      </c>
      <c r="R29" s="198">
        <v>0</v>
      </c>
      <c r="S29" s="198">
        <v>0</v>
      </c>
      <c r="T29" s="198">
        <v>0</v>
      </c>
      <c r="U29" s="198">
        <v>0</v>
      </c>
      <c r="V29" s="198">
        <v>0</v>
      </c>
      <c r="W29" s="198">
        <v>0</v>
      </c>
      <c r="X29" s="198">
        <v>110000</v>
      </c>
      <c r="Y29" s="198">
        <v>0</v>
      </c>
      <c r="Z29" s="198">
        <v>0</v>
      </c>
      <c r="AA29" s="198">
        <v>0</v>
      </c>
      <c r="AB29" s="198">
        <v>0</v>
      </c>
      <c r="AC29" s="198">
        <v>0</v>
      </c>
      <c r="AD29" s="198">
        <v>0</v>
      </c>
      <c r="AE29" s="198">
        <v>0</v>
      </c>
      <c r="AF29" s="198">
        <v>0</v>
      </c>
      <c r="AG29" s="198">
        <v>0</v>
      </c>
      <c r="AH29" s="198">
        <v>0</v>
      </c>
      <c r="AI29" s="198">
        <v>0</v>
      </c>
      <c r="AJ29" s="198">
        <v>0</v>
      </c>
      <c r="AK29" s="198">
        <v>0</v>
      </c>
      <c r="AL29" s="198">
        <v>0</v>
      </c>
      <c r="AM29" s="198">
        <v>0</v>
      </c>
      <c r="AN29" s="198">
        <v>0</v>
      </c>
      <c r="AO29" s="198">
        <v>0</v>
      </c>
    </row>
    <row r="30" spans="3:41" x14ac:dyDescent="0.3">
      <c r="C30" s="198">
        <v>36</v>
      </c>
      <c r="D30" s="198">
        <v>6</v>
      </c>
      <c r="E30" s="198">
        <v>11</v>
      </c>
      <c r="F30" s="198">
        <v>833.33333333333337</v>
      </c>
      <c r="G30" s="198">
        <v>0</v>
      </c>
      <c r="H30" s="198">
        <v>0</v>
      </c>
      <c r="I30" s="198">
        <v>0</v>
      </c>
      <c r="J30" s="198">
        <v>0</v>
      </c>
      <c r="K30" s="198">
        <v>833.33333333333337</v>
      </c>
      <c r="L30" s="198">
        <v>0</v>
      </c>
      <c r="M30" s="198">
        <v>0</v>
      </c>
      <c r="N30" s="198">
        <v>0</v>
      </c>
      <c r="O30" s="198">
        <v>0</v>
      </c>
      <c r="P30" s="198">
        <v>0</v>
      </c>
      <c r="Q30" s="198">
        <v>0</v>
      </c>
      <c r="R30" s="198">
        <v>0</v>
      </c>
      <c r="S30" s="198">
        <v>0</v>
      </c>
      <c r="T30" s="198">
        <v>0</v>
      </c>
      <c r="U30" s="198">
        <v>0</v>
      </c>
      <c r="V30" s="198">
        <v>0</v>
      </c>
      <c r="W30" s="198">
        <v>0</v>
      </c>
      <c r="X30" s="198">
        <v>0</v>
      </c>
      <c r="Y30" s="198">
        <v>0</v>
      </c>
      <c r="Z30" s="198">
        <v>0</v>
      </c>
      <c r="AA30" s="198">
        <v>0</v>
      </c>
      <c r="AB30" s="198">
        <v>0</v>
      </c>
      <c r="AC30" s="198">
        <v>0</v>
      </c>
      <c r="AD30" s="198">
        <v>0</v>
      </c>
      <c r="AE30" s="198">
        <v>0</v>
      </c>
      <c r="AF30" s="198">
        <v>0</v>
      </c>
      <c r="AG30" s="198">
        <v>0</v>
      </c>
      <c r="AH30" s="198">
        <v>0</v>
      </c>
      <c r="AI30" s="198">
        <v>0</v>
      </c>
      <c r="AJ30" s="198">
        <v>0</v>
      </c>
      <c r="AK30" s="198">
        <v>0</v>
      </c>
      <c r="AL30" s="198">
        <v>0</v>
      </c>
      <c r="AM30" s="198">
        <v>0</v>
      </c>
      <c r="AN30" s="198">
        <v>0</v>
      </c>
      <c r="AO30" s="198">
        <v>0</v>
      </c>
    </row>
    <row r="31" spans="3:41" x14ac:dyDescent="0.3">
      <c r="C31" s="198">
        <v>36</v>
      </c>
      <c r="D31" s="198">
        <v>7</v>
      </c>
      <c r="E31" s="198">
        <v>1</v>
      </c>
      <c r="F31" s="198">
        <v>5</v>
      </c>
      <c r="G31" s="198">
        <v>0</v>
      </c>
      <c r="H31" s="198">
        <v>0</v>
      </c>
      <c r="I31" s="198">
        <v>0</v>
      </c>
      <c r="J31" s="198">
        <v>0</v>
      </c>
      <c r="K31" s="198">
        <v>0</v>
      </c>
      <c r="L31" s="198">
        <v>0</v>
      </c>
      <c r="M31" s="198">
        <v>0</v>
      </c>
      <c r="N31" s="198">
        <v>0</v>
      </c>
      <c r="O31" s="198">
        <v>0</v>
      </c>
      <c r="P31" s="198">
        <v>0</v>
      </c>
      <c r="Q31" s="198">
        <v>0</v>
      </c>
      <c r="R31" s="198">
        <v>0</v>
      </c>
      <c r="S31" s="198">
        <v>0</v>
      </c>
      <c r="T31" s="198">
        <v>0</v>
      </c>
      <c r="U31" s="198">
        <v>0</v>
      </c>
      <c r="V31" s="198">
        <v>0</v>
      </c>
      <c r="W31" s="198">
        <v>0</v>
      </c>
      <c r="X31" s="198">
        <v>5</v>
      </c>
      <c r="Y31" s="198">
        <v>0</v>
      </c>
      <c r="Z31" s="198">
        <v>0</v>
      </c>
      <c r="AA31" s="198">
        <v>0</v>
      </c>
      <c r="AB31" s="198">
        <v>0</v>
      </c>
      <c r="AC31" s="198">
        <v>0</v>
      </c>
      <c r="AD31" s="198">
        <v>0</v>
      </c>
      <c r="AE31" s="198">
        <v>0</v>
      </c>
      <c r="AF31" s="198">
        <v>0</v>
      </c>
      <c r="AG31" s="198">
        <v>0</v>
      </c>
      <c r="AH31" s="198">
        <v>0</v>
      </c>
      <c r="AI31" s="198">
        <v>0</v>
      </c>
      <c r="AJ31" s="198">
        <v>0</v>
      </c>
      <c r="AK31" s="198">
        <v>0</v>
      </c>
      <c r="AL31" s="198">
        <v>0</v>
      </c>
      <c r="AM31" s="198">
        <v>0</v>
      </c>
      <c r="AN31" s="198">
        <v>0</v>
      </c>
      <c r="AO31" s="198">
        <v>0</v>
      </c>
    </row>
    <row r="32" spans="3:41" x14ac:dyDescent="0.3">
      <c r="C32" s="198">
        <v>36</v>
      </c>
      <c r="D32" s="198">
        <v>7</v>
      </c>
      <c r="E32" s="198">
        <v>2</v>
      </c>
      <c r="F32" s="198">
        <v>752</v>
      </c>
      <c r="G32" s="198">
        <v>0</v>
      </c>
      <c r="H32" s="198">
        <v>0</v>
      </c>
      <c r="I32" s="198">
        <v>0</v>
      </c>
      <c r="J32" s="198">
        <v>0</v>
      </c>
      <c r="K32" s="198">
        <v>0</v>
      </c>
      <c r="L32" s="198">
        <v>0</v>
      </c>
      <c r="M32" s="198">
        <v>0</v>
      </c>
      <c r="N32" s="198">
        <v>0</v>
      </c>
      <c r="O32" s="198">
        <v>0</v>
      </c>
      <c r="P32" s="198">
        <v>0</v>
      </c>
      <c r="Q32" s="198">
        <v>0</v>
      </c>
      <c r="R32" s="198">
        <v>0</v>
      </c>
      <c r="S32" s="198">
        <v>0</v>
      </c>
      <c r="T32" s="198">
        <v>0</v>
      </c>
      <c r="U32" s="198">
        <v>0</v>
      </c>
      <c r="V32" s="198">
        <v>0</v>
      </c>
      <c r="W32" s="198">
        <v>0</v>
      </c>
      <c r="X32" s="198">
        <v>752</v>
      </c>
      <c r="Y32" s="198">
        <v>0</v>
      </c>
      <c r="Z32" s="198">
        <v>0</v>
      </c>
      <c r="AA32" s="198">
        <v>0</v>
      </c>
      <c r="AB32" s="198">
        <v>0</v>
      </c>
      <c r="AC32" s="198">
        <v>0</v>
      </c>
      <c r="AD32" s="198">
        <v>0</v>
      </c>
      <c r="AE32" s="198">
        <v>0</v>
      </c>
      <c r="AF32" s="198">
        <v>0</v>
      </c>
      <c r="AG32" s="198">
        <v>0</v>
      </c>
      <c r="AH32" s="198">
        <v>0</v>
      </c>
      <c r="AI32" s="198">
        <v>0</v>
      </c>
      <c r="AJ32" s="198">
        <v>0</v>
      </c>
      <c r="AK32" s="198">
        <v>0</v>
      </c>
      <c r="AL32" s="198">
        <v>0</v>
      </c>
      <c r="AM32" s="198">
        <v>0</v>
      </c>
      <c r="AN32" s="198">
        <v>0</v>
      </c>
      <c r="AO32" s="198">
        <v>0</v>
      </c>
    </row>
    <row r="33" spans="3:41" x14ac:dyDescent="0.3">
      <c r="C33" s="198">
        <v>36</v>
      </c>
      <c r="D33" s="198">
        <v>7</v>
      </c>
      <c r="E33" s="198">
        <v>6</v>
      </c>
      <c r="F33" s="198">
        <v>268327</v>
      </c>
      <c r="G33" s="198">
        <v>0</v>
      </c>
      <c r="H33" s="198">
        <v>0</v>
      </c>
      <c r="I33" s="198">
        <v>0</v>
      </c>
      <c r="J33" s="198">
        <v>0</v>
      </c>
      <c r="K33" s="198">
        <v>0</v>
      </c>
      <c r="L33" s="198">
        <v>0</v>
      </c>
      <c r="M33" s="198">
        <v>0</v>
      </c>
      <c r="N33" s="198">
        <v>0</v>
      </c>
      <c r="O33" s="198">
        <v>0</v>
      </c>
      <c r="P33" s="198">
        <v>0</v>
      </c>
      <c r="Q33" s="198">
        <v>0</v>
      </c>
      <c r="R33" s="198">
        <v>0</v>
      </c>
      <c r="S33" s="198">
        <v>0</v>
      </c>
      <c r="T33" s="198">
        <v>0</v>
      </c>
      <c r="U33" s="198">
        <v>0</v>
      </c>
      <c r="V33" s="198">
        <v>0</v>
      </c>
      <c r="W33" s="198">
        <v>0</v>
      </c>
      <c r="X33" s="198">
        <v>266078</v>
      </c>
      <c r="Y33" s="198">
        <v>0</v>
      </c>
      <c r="Z33" s="198">
        <v>0</v>
      </c>
      <c r="AA33" s="198">
        <v>0</v>
      </c>
      <c r="AB33" s="198">
        <v>0</v>
      </c>
      <c r="AC33" s="198">
        <v>0</v>
      </c>
      <c r="AD33" s="198">
        <v>0</v>
      </c>
      <c r="AE33" s="198">
        <v>0</v>
      </c>
      <c r="AF33" s="198">
        <v>0</v>
      </c>
      <c r="AG33" s="198">
        <v>0</v>
      </c>
      <c r="AH33" s="198">
        <v>0</v>
      </c>
      <c r="AI33" s="198">
        <v>0</v>
      </c>
      <c r="AJ33" s="198">
        <v>0</v>
      </c>
      <c r="AK33" s="198">
        <v>0</v>
      </c>
      <c r="AL33" s="198">
        <v>0</v>
      </c>
      <c r="AM33" s="198">
        <v>0</v>
      </c>
      <c r="AN33" s="198">
        <v>2249</v>
      </c>
      <c r="AO33" s="198">
        <v>0</v>
      </c>
    </row>
    <row r="34" spans="3:41" x14ac:dyDescent="0.3">
      <c r="C34" s="198">
        <v>36</v>
      </c>
      <c r="D34" s="198">
        <v>7</v>
      </c>
      <c r="E34" s="198">
        <v>9</v>
      </c>
      <c r="F34" s="198">
        <v>79845</v>
      </c>
      <c r="G34" s="198">
        <v>0</v>
      </c>
      <c r="H34" s="198">
        <v>0</v>
      </c>
      <c r="I34" s="198">
        <v>0</v>
      </c>
      <c r="J34" s="198">
        <v>0</v>
      </c>
      <c r="K34" s="198">
        <v>0</v>
      </c>
      <c r="L34" s="198">
        <v>0</v>
      </c>
      <c r="M34" s="198">
        <v>0</v>
      </c>
      <c r="N34" s="198">
        <v>0</v>
      </c>
      <c r="O34" s="198">
        <v>0</v>
      </c>
      <c r="P34" s="198">
        <v>0</v>
      </c>
      <c r="Q34" s="198">
        <v>0</v>
      </c>
      <c r="R34" s="198">
        <v>0</v>
      </c>
      <c r="S34" s="198">
        <v>0</v>
      </c>
      <c r="T34" s="198">
        <v>0</v>
      </c>
      <c r="U34" s="198">
        <v>0</v>
      </c>
      <c r="V34" s="198">
        <v>0</v>
      </c>
      <c r="W34" s="198">
        <v>0</v>
      </c>
      <c r="X34" s="198">
        <v>79845</v>
      </c>
      <c r="Y34" s="198">
        <v>0</v>
      </c>
      <c r="Z34" s="198">
        <v>0</v>
      </c>
      <c r="AA34" s="198">
        <v>0</v>
      </c>
      <c r="AB34" s="198">
        <v>0</v>
      </c>
      <c r="AC34" s="198">
        <v>0</v>
      </c>
      <c r="AD34" s="198">
        <v>0</v>
      </c>
      <c r="AE34" s="198">
        <v>0</v>
      </c>
      <c r="AF34" s="198">
        <v>0</v>
      </c>
      <c r="AG34" s="198">
        <v>0</v>
      </c>
      <c r="AH34" s="198">
        <v>0</v>
      </c>
      <c r="AI34" s="198">
        <v>0</v>
      </c>
      <c r="AJ34" s="198">
        <v>0</v>
      </c>
      <c r="AK34" s="198">
        <v>0</v>
      </c>
      <c r="AL34" s="198">
        <v>0</v>
      </c>
      <c r="AM34" s="198">
        <v>0</v>
      </c>
      <c r="AN34" s="198">
        <v>0</v>
      </c>
      <c r="AO34" s="198">
        <v>0</v>
      </c>
    </row>
    <row r="35" spans="3:41" x14ac:dyDescent="0.3">
      <c r="C35" s="198">
        <v>36</v>
      </c>
      <c r="D35" s="198">
        <v>7</v>
      </c>
      <c r="E35" s="198">
        <v>11</v>
      </c>
      <c r="F35" s="198">
        <v>833.33333333333337</v>
      </c>
      <c r="G35" s="198">
        <v>0</v>
      </c>
      <c r="H35" s="198">
        <v>0</v>
      </c>
      <c r="I35" s="198">
        <v>0</v>
      </c>
      <c r="J35" s="198">
        <v>0</v>
      </c>
      <c r="K35" s="198">
        <v>833.33333333333337</v>
      </c>
      <c r="L35" s="198">
        <v>0</v>
      </c>
      <c r="M35" s="198">
        <v>0</v>
      </c>
      <c r="N35" s="198">
        <v>0</v>
      </c>
      <c r="O35" s="198">
        <v>0</v>
      </c>
      <c r="P35" s="198">
        <v>0</v>
      </c>
      <c r="Q35" s="198">
        <v>0</v>
      </c>
      <c r="R35" s="198">
        <v>0</v>
      </c>
      <c r="S35" s="198">
        <v>0</v>
      </c>
      <c r="T35" s="198">
        <v>0</v>
      </c>
      <c r="U35" s="198">
        <v>0</v>
      </c>
      <c r="V35" s="198">
        <v>0</v>
      </c>
      <c r="W35" s="198">
        <v>0</v>
      </c>
      <c r="X35" s="198">
        <v>0</v>
      </c>
      <c r="Y35" s="198">
        <v>0</v>
      </c>
      <c r="Z35" s="198">
        <v>0</v>
      </c>
      <c r="AA35" s="198">
        <v>0</v>
      </c>
      <c r="AB35" s="198">
        <v>0</v>
      </c>
      <c r="AC35" s="198">
        <v>0</v>
      </c>
      <c r="AD35" s="198">
        <v>0</v>
      </c>
      <c r="AE35" s="198">
        <v>0</v>
      </c>
      <c r="AF35" s="198">
        <v>0</v>
      </c>
      <c r="AG35" s="198">
        <v>0</v>
      </c>
      <c r="AH35" s="198">
        <v>0</v>
      </c>
      <c r="AI35" s="198">
        <v>0</v>
      </c>
      <c r="AJ35" s="198">
        <v>0</v>
      </c>
      <c r="AK35" s="198">
        <v>0</v>
      </c>
      <c r="AL35" s="198">
        <v>0</v>
      </c>
      <c r="AM35" s="198">
        <v>0</v>
      </c>
      <c r="AN35" s="198">
        <v>0</v>
      </c>
      <c r="AO35" s="198">
        <v>0</v>
      </c>
    </row>
    <row r="36" spans="3:41" x14ac:dyDescent="0.3">
      <c r="C36" s="198">
        <v>36</v>
      </c>
      <c r="D36" s="198">
        <v>8</v>
      </c>
      <c r="E36" s="198">
        <v>1</v>
      </c>
      <c r="F36" s="198">
        <v>5</v>
      </c>
      <c r="G36" s="198">
        <v>0</v>
      </c>
      <c r="H36" s="198">
        <v>0</v>
      </c>
      <c r="I36" s="198">
        <v>0</v>
      </c>
      <c r="J36" s="198">
        <v>0</v>
      </c>
      <c r="K36" s="198">
        <v>0</v>
      </c>
      <c r="L36" s="198">
        <v>0</v>
      </c>
      <c r="M36" s="198">
        <v>0</v>
      </c>
      <c r="N36" s="198">
        <v>0</v>
      </c>
      <c r="O36" s="198">
        <v>0</v>
      </c>
      <c r="P36" s="198">
        <v>0</v>
      </c>
      <c r="Q36" s="198">
        <v>0</v>
      </c>
      <c r="R36" s="198">
        <v>0</v>
      </c>
      <c r="S36" s="198">
        <v>0</v>
      </c>
      <c r="T36" s="198">
        <v>0</v>
      </c>
      <c r="U36" s="198">
        <v>0</v>
      </c>
      <c r="V36" s="198">
        <v>0</v>
      </c>
      <c r="W36" s="198">
        <v>0</v>
      </c>
      <c r="X36" s="198">
        <v>5</v>
      </c>
      <c r="Y36" s="198">
        <v>0</v>
      </c>
      <c r="Z36" s="198">
        <v>0</v>
      </c>
      <c r="AA36" s="198">
        <v>0</v>
      </c>
      <c r="AB36" s="198">
        <v>0</v>
      </c>
      <c r="AC36" s="198">
        <v>0</v>
      </c>
      <c r="AD36" s="198">
        <v>0</v>
      </c>
      <c r="AE36" s="198">
        <v>0</v>
      </c>
      <c r="AF36" s="198">
        <v>0</v>
      </c>
      <c r="AG36" s="198">
        <v>0</v>
      </c>
      <c r="AH36" s="198">
        <v>0</v>
      </c>
      <c r="AI36" s="198">
        <v>0</v>
      </c>
      <c r="AJ36" s="198">
        <v>0</v>
      </c>
      <c r="AK36" s="198">
        <v>0</v>
      </c>
      <c r="AL36" s="198">
        <v>0</v>
      </c>
      <c r="AM36" s="198">
        <v>0</v>
      </c>
      <c r="AN36" s="198">
        <v>0</v>
      </c>
      <c r="AO36" s="198">
        <v>0</v>
      </c>
    </row>
    <row r="37" spans="3:41" x14ac:dyDescent="0.3">
      <c r="C37" s="198">
        <v>36</v>
      </c>
      <c r="D37" s="198">
        <v>8</v>
      </c>
      <c r="E37" s="198">
        <v>2</v>
      </c>
      <c r="F37" s="198">
        <v>640</v>
      </c>
      <c r="G37" s="198">
        <v>0</v>
      </c>
      <c r="H37" s="198">
        <v>0</v>
      </c>
      <c r="I37" s="198">
        <v>0</v>
      </c>
      <c r="J37" s="198">
        <v>0</v>
      </c>
      <c r="K37" s="198">
        <v>0</v>
      </c>
      <c r="L37" s="198">
        <v>0</v>
      </c>
      <c r="M37" s="198">
        <v>0</v>
      </c>
      <c r="N37" s="198">
        <v>0</v>
      </c>
      <c r="O37" s="198">
        <v>0</v>
      </c>
      <c r="P37" s="198">
        <v>0</v>
      </c>
      <c r="Q37" s="198">
        <v>0</v>
      </c>
      <c r="R37" s="198">
        <v>0</v>
      </c>
      <c r="S37" s="198">
        <v>0</v>
      </c>
      <c r="T37" s="198">
        <v>0</v>
      </c>
      <c r="U37" s="198">
        <v>0</v>
      </c>
      <c r="V37" s="198">
        <v>0</v>
      </c>
      <c r="W37" s="198">
        <v>0</v>
      </c>
      <c r="X37" s="198">
        <v>640</v>
      </c>
      <c r="Y37" s="198">
        <v>0</v>
      </c>
      <c r="Z37" s="198">
        <v>0</v>
      </c>
      <c r="AA37" s="198">
        <v>0</v>
      </c>
      <c r="AB37" s="198">
        <v>0</v>
      </c>
      <c r="AC37" s="198">
        <v>0</v>
      </c>
      <c r="AD37" s="198">
        <v>0</v>
      </c>
      <c r="AE37" s="198">
        <v>0</v>
      </c>
      <c r="AF37" s="198">
        <v>0</v>
      </c>
      <c r="AG37" s="198">
        <v>0</v>
      </c>
      <c r="AH37" s="198">
        <v>0</v>
      </c>
      <c r="AI37" s="198">
        <v>0</v>
      </c>
      <c r="AJ37" s="198">
        <v>0</v>
      </c>
      <c r="AK37" s="198">
        <v>0</v>
      </c>
      <c r="AL37" s="198">
        <v>0</v>
      </c>
      <c r="AM37" s="198">
        <v>0</v>
      </c>
      <c r="AN37" s="198">
        <v>0</v>
      </c>
      <c r="AO37" s="198">
        <v>0</v>
      </c>
    </row>
    <row r="38" spans="3:41" x14ac:dyDescent="0.3">
      <c r="C38" s="198">
        <v>36</v>
      </c>
      <c r="D38" s="198">
        <v>8</v>
      </c>
      <c r="E38" s="198">
        <v>6</v>
      </c>
      <c r="F38" s="198">
        <v>185975</v>
      </c>
      <c r="G38" s="198">
        <v>0</v>
      </c>
      <c r="H38" s="198">
        <v>0</v>
      </c>
      <c r="I38" s="198">
        <v>0</v>
      </c>
      <c r="J38" s="198">
        <v>0</v>
      </c>
      <c r="K38" s="198">
        <v>0</v>
      </c>
      <c r="L38" s="198">
        <v>0</v>
      </c>
      <c r="M38" s="198">
        <v>0</v>
      </c>
      <c r="N38" s="198">
        <v>0</v>
      </c>
      <c r="O38" s="198">
        <v>0</v>
      </c>
      <c r="P38" s="198">
        <v>0</v>
      </c>
      <c r="Q38" s="198">
        <v>0</v>
      </c>
      <c r="R38" s="198">
        <v>0</v>
      </c>
      <c r="S38" s="198">
        <v>0</v>
      </c>
      <c r="T38" s="198">
        <v>0</v>
      </c>
      <c r="U38" s="198">
        <v>0</v>
      </c>
      <c r="V38" s="198">
        <v>0</v>
      </c>
      <c r="W38" s="198">
        <v>0</v>
      </c>
      <c r="X38" s="198">
        <v>183159</v>
      </c>
      <c r="Y38" s="198">
        <v>0</v>
      </c>
      <c r="Z38" s="198">
        <v>0</v>
      </c>
      <c r="AA38" s="198">
        <v>0</v>
      </c>
      <c r="AB38" s="198">
        <v>0</v>
      </c>
      <c r="AC38" s="198">
        <v>0</v>
      </c>
      <c r="AD38" s="198">
        <v>0</v>
      </c>
      <c r="AE38" s="198">
        <v>0</v>
      </c>
      <c r="AF38" s="198">
        <v>0</v>
      </c>
      <c r="AG38" s="198">
        <v>0</v>
      </c>
      <c r="AH38" s="198">
        <v>0</v>
      </c>
      <c r="AI38" s="198">
        <v>0</v>
      </c>
      <c r="AJ38" s="198">
        <v>0</v>
      </c>
      <c r="AK38" s="198">
        <v>0</v>
      </c>
      <c r="AL38" s="198">
        <v>0</v>
      </c>
      <c r="AM38" s="198">
        <v>0</v>
      </c>
      <c r="AN38" s="198">
        <v>2816</v>
      </c>
      <c r="AO38" s="198">
        <v>0</v>
      </c>
    </row>
    <row r="39" spans="3:41" x14ac:dyDescent="0.3">
      <c r="C39" s="198">
        <v>36</v>
      </c>
      <c r="D39" s="198">
        <v>8</v>
      </c>
      <c r="E39" s="198">
        <v>11</v>
      </c>
      <c r="F39" s="198">
        <v>833.33333333333337</v>
      </c>
      <c r="G39" s="198">
        <v>0</v>
      </c>
      <c r="H39" s="198">
        <v>0</v>
      </c>
      <c r="I39" s="198">
        <v>0</v>
      </c>
      <c r="J39" s="198">
        <v>0</v>
      </c>
      <c r="K39" s="198">
        <v>833.33333333333337</v>
      </c>
      <c r="L39" s="198">
        <v>0</v>
      </c>
      <c r="M39" s="198">
        <v>0</v>
      </c>
      <c r="N39" s="198">
        <v>0</v>
      </c>
      <c r="O39" s="198">
        <v>0</v>
      </c>
      <c r="P39" s="198">
        <v>0</v>
      </c>
      <c r="Q39" s="198">
        <v>0</v>
      </c>
      <c r="R39" s="198">
        <v>0</v>
      </c>
      <c r="S39" s="198">
        <v>0</v>
      </c>
      <c r="T39" s="198">
        <v>0</v>
      </c>
      <c r="U39" s="198">
        <v>0</v>
      </c>
      <c r="V39" s="198">
        <v>0</v>
      </c>
      <c r="W39" s="198">
        <v>0</v>
      </c>
      <c r="X39" s="198">
        <v>0</v>
      </c>
      <c r="Y39" s="198">
        <v>0</v>
      </c>
      <c r="Z39" s="198">
        <v>0</v>
      </c>
      <c r="AA39" s="198">
        <v>0</v>
      </c>
      <c r="AB39" s="198">
        <v>0</v>
      </c>
      <c r="AC39" s="198">
        <v>0</v>
      </c>
      <c r="AD39" s="198">
        <v>0</v>
      </c>
      <c r="AE39" s="198">
        <v>0</v>
      </c>
      <c r="AF39" s="198">
        <v>0</v>
      </c>
      <c r="AG39" s="198">
        <v>0</v>
      </c>
      <c r="AH39" s="198">
        <v>0</v>
      </c>
      <c r="AI39" s="198">
        <v>0</v>
      </c>
      <c r="AJ39" s="198">
        <v>0</v>
      </c>
      <c r="AK39" s="198">
        <v>0</v>
      </c>
      <c r="AL39" s="198">
        <v>0</v>
      </c>
      <c r="AM39" s="198">
        <v>0</v>
      </c>
      <c r="AN39" s="198">
        <v>0</v>
      </c>
      <c r="AO39" s="198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pageSetUpPr fitToPage="1"/>
  </sheetPr>
  <dimension ref="A1:S11"/>
  <sheetViews>
    <sheetView showGridLines="0" showRowColHeaders="0" workbookViewId="0">
      <pane ySplit="5" topLeftCell="A6" activePane="bottomLeft" state="frozen"/>
      <selection activeCell="A2" sqref="A2:M2"/>
      <selection pane="bottomLeft" sqref="A1:S1"/>
    </sheetView>
  </sheetViews>
  <sheetFormatPr defaultRowHeight="14.4" customHeight="1" x14ac:dyDescent="0.3"/>
  <cols>
    <col min="1" max="1" width="46.6640625" style="105" bestFit="1" customWidth="1"/>
    <col min="2" max="2" width="7.77734375" style="81" customWidth="1"/>
    <col min="3" max="3" width="5.44140625" style="105" hidden="1" customWidth="1"/>
    <col min="4" max="4" width="7.77734375" style="81" customWidth="1"/>
    <col min="5" max="5" width="5.44140625" style="105" hidden="1" customWidth="1"/>
    <col min="6" max="6" width="7.77734375" style="81" customWidth="1"/>
    <col min="7" max="7" width="7.77734375" style="183" customWidth="1"/>
    <col min="8" max="8" width="7.77734375" style="81" customWidth="1"/>
    <col min="9" max="9" width="5.44140625" style="105" hidden="1" customWidth="1"/>
    <col min="10" max="10" width="7.77734375" style="81" customWidth="1"/>
    <col min="11" max="11" width="5.44140625" style="105" hidden="1" customWidth="1"/>
    <col min="12" max="12" width="7.77734375" style="81" customWidth="1"/>
    <col min="13" max="13" width="7.77734375" style="183" customWidth="1"/>
    <col min="14" max="14" width="7.77734375" style="81" customWidth="1"/>
    <col min="15" max="15" width="5" style="105" hidden="1" customWidth="1"/>
    <col min="16" max="16" width="7.77734375" style="81" customWidth="1"/>
    <col min="17" max="17" width="5" style="105" hidden="1" customWidth="1"/>
    <col min="18" max="18" width="7.77734375" style="81" customWidth="1"/>
    <col min="19" max="19" width="7.77734375" style="183" customWidth="1"/>
    <col min="20" max="16384" width="8.88671875" style="105"/>
  </cols>
  <sheetData>
    <row r="1" spans="1:19" ht="18.600000000000001" customHeight="1" thickBot="1" x14ac:dyDescent="0.4">
      <c r="A1" s="340" t="s">
        <v>427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  <c r="N1" s="293"/>
      <c r="O1" s="293"/>
      <c r="P1" s="293"/>
      <c r="Q1" s="293"/>
      <c r="R1" s="293"/>
      <c r="S1" s="293"/>
    </row>
    <row r="2" spans="1:19" ht="14.4" customHeight="1" thickBot="1" x14ac:dyDescent="0.35">
      <c r="A2" s="202" t="s">
        <v>247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</row>
    <row r="3" spans="1:19" ht="14.4" customHeight="1" thickBot="1" x14ac:dyDescent="0.35">
      <c r="A3" s="188" t="s">
        <v>112</v>
      </c>
      <c r="B3" s="189">
        <f>SUBTOTAL(9,B6:B1048576)/2</f>
        <v>473092</v>
      </c>
      <c r="C3" s="190">
        <f t="shared" ref="C3:R3" si="0">SUBTOTAL(9,C6:C1048576)</f>
        <v>2</v>
      </c>
      <c r="D3" s="190">
        <f>SUBTOTAL(9,D6:D1048576)/2</f>
        <v>538131</v>
      </c>
      <c r="E3" s="190">
        <f t="shared" si="0"/>
        <v>2.2749528632908609</v>
      </c>
      <c r="F3" s="190">
        <f>SUBTOTAL(9,F6:F1048576)/2</f>
        <v>434170.66000000003</v>
      </c>
      <c r="G3" s="191">
        <f>IF(B3&lt;&gt;0,F3/B3,"")</f>
        <v>0.91772987072281931</v>
      </c>
      <c r="H3" s="192">
        <f t="shared" si="0"/>
        <v>0</v>
      </c>
      <c r="I3" s="190">
        <f t="shared" si="0"/>
        <v>0</v>
      </c>
      <c r="J3" s="190">
        <f t="shared" si="0"/>
        <v>0</v>
      </c>
      <c r="K3" s="190">
        <f t="shared" si="0"/>
        <v>0</v>
      </c>
      <c r="L3" s="190">
        <f t="shared" si="0"/>
        <v>0</v>
      </c>
      <c r="M3" s="193" t="str">
        <f>IF(H3&lt;&gt;0,L3/H3,"")</f>
        <v/>
      </c>
      <c r="N3" s="189">
        <f t="shared" si="0"/>
        <v>0</v>
      </c>
      <c r="O3" s="190">
        <f t="shared" si="0"/>
        <v>0</v>
      </c>
      <c r="P3" s="190">
        <f t="shared" si="0"/>
        <v>0</v>
      </c>
      <c r="Q3" s="190">
        <f t="shared" si="0"/>
        <v>0</v>
      </c>
      <c r="R3" s="190">
        <f t="shared" si="0"/>
        <v>0</v>
      </c>
      <c r="S3" s="191" t="str">
        <f>IF(N3&lt;&gt;0,R3/N3,"")</f>
        <v/>
      </c>
    </row>
    <row r="4" spans="1:19" ht="14.4" customHeight="1" x14ac:dyDescent="0.3">
      <c r="A4" s="341" t="s">
        <v>246</v>
      </c>
      <c r="B4" s="342" t="s">
        <v>85</v>
      </c>
      <c r="C4" s="343"/>
      <c r="D4" s="343"/>
      <c r="E4" s="343"/>
      <c r="F4" s="343"/>
      <c r="G4" s="344"/>
      <c r="H4" s="342" t="s">
        <v>86</v>
      </c>
      <c r="I4" s="343"/>
      <c r="J4" s="343"/>
      <c r="K4" s="343"/>
      <c r="L4" s="343"/>
      <c r="M4" s="344"/>
      <c r="N4" s="342" t="s">
        <v>87</v>
      </c>
      <c r="O4" s="343"/>
      <c r="P4" s="343"/>
      <c r="Q4" s="343"/>
      <c r="R4" s="343"/>
      <c r="S4" s="344"/>
    </row>
    <row r="5" spans="1:19" ht="14.4" customHeight="1" thickBot="1" x14ac:dyDescent="0.35">
      <c r="A5" s="466"/>
      <c r="B5" s="467">
        <v>2013</v>
      </c>
      <c r="C5" s="468"/>
      <c r="D5" s="468">
        <v>2014</v>
      </c>
      <c r="E5" s="468"/>
      <c r="F5" s="468">
        <v>2015</v>
      </c>
      <c r="G5" s="469" t="s">
        <v>2</v>
      </c>
      <c r="H5" s="467">
        <v>2013</v>
      </c>
      <c r="I5" s="468"/>
      <c r="J5" s="468">
        <v>2014</v>
      </c>
      <c r="K5" s="468"/>
      <c r="L5" s="468">
        <v>2015</v>
      </c>
      <c r="M5" s="469" t="s">
        <v>2</v>
      </c>
      <c r="N5" s="467">
        <v>2013</v>
      </c>
      <c r="O5" s="468"/>
      <c r="P5" s="468">
        <v>2014</v>
      </c>
      <c r="Q5" s="468"/>
      <c r="R5" s="468">
        <v>2015</v>
      </c>
      <c r="S5" s="469" t="s">
        <v>2</v>
      </c>
    </row>
    <row r="6" spans="1:19" ht="14.4" customHeight="1" thickBot="1" x14ac:dyDescent="0.35">
      <c r="A6" s="472" t="s">
        <v>426</v>
      </c>
      <c r="B6" s="470">
        <v>473092</v>
      </c>
      <c r="C6" s="471">
        <v>1</v>
      </c>
      <c r="D6" s="470">
        <v>538131</v>
      </c>
      <c r="E6" s="471">
        <v>1.1374764316454304</v>
      </c>
      <c r="F6" s="470">
        <v>434170.66000000003</v>
      </c>
      <c r="G6" s="270">
        <v>0.91772987072281931</v>
      </c>
      <c r="H6" s="470"/>
      <c r="I6" s="471"/>
      <c r="J6" s="470"/>
      <c r="K6" s="471"/>
      <c r="L6" s="470"/>
      <c r="M6" s="270"/>
      <c r="N6" s="470"/>
      <c r="O6" s="471"/>
      <c r="P6" s="470"/>
      <c r="Q6" s="471"/>
      <c r="R6" s="470"/>
      <c r="S6" s="271"/>
    </row>
    <row r="7" spans="1:19" ht="14.4" customHeight="1" thickBot="1" x14ac:dyDescent="0.35"/>
    <row r="8" spans="1:19" ht="14.4" customHeight="1" thickBot="1" x14ac:dyDescent="0.35">
      <c r="A8" s="472" t="s">
        <v>364</v>
      </c>
      <c r="B8" s="470">
        <v>473092</v>
      </c>
      <c r="C8" s="471">
        <v>1</v>
      </c>
      <c r="D8" s="470">
        <v>538131</v>
      </c>
      <c r="E8" s="471">
        <v>1.1374764316454304</v>
      </c>
      <c r="F8" s="470">
        <v>434170.66000000003</v>
      </c>
      <c r="G8" s="270">
        <v>0.91772987072281931</v>
      </c>
      <c r="H8" s="470"/>
      <c r="I8" s="471"/>
      <c r="J8" s="470"/>
      <c r="K8" s="471"/>
      <c r="L8" s="470"/>
      <c r="M8" s="270"/>
      <c r="N8" s="470"/>
      <c r="O8" s="471"/>
      <c r="P8" s="470"/>
      <c r="Q8" s="471"/>
      <c r="R8" s="470"/>
      <c r="S8" s="271"/>
    </row>
    <row r="9" spans="1:19" ht="14.4" customHeight="1" x14ac:dyDescent="0.3">
      <c r="A9" s="473" t="s">
        <v>428</v>
      </c>
    </row>
    <row r="10" spans="1:19" ht="14.4" customHeight="1" x14ac:dyDescent="0.3">
      <c r="A10" s="474" t="s">
        <v>429</v>
      </c>
    </row>
    <row r="11" spans="1:19" ht="14.4" customHeight="1" x14ac:dyDescent="0.3">
      <c r="A11" s="473" t="s">
        <v>430</v>
      </c>
    </row>
  </sheetData>
  <mergeCells count="5">
    <mergeCell ref="A1:S1"/>
    <mergeCell ref="A4:A5"/>
    <mergeCell ref="B4:G4"/>
    <mergeCell ref="H4:M4"/>
    <mergeCell ref="N4:S4"/>
  </mergeCells>
  <conditionalFormatting sqref="G4:G1048576">
    <cfRule type="cellIs" dxfId="0" priority="4" stopIfTrue="1" operator="lessThan">
      <formula>0.95</formula>
    </cfRule>
  </conditionalFormatting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{791987AB-EB4E-4323-988C-2CC9543F5F95}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{3D1704E4-2CF0-40FE-8B51-535F514AA804}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{DA7CE90D-FADD-456D-9A84-45478435DA52}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H3 J3 L3 N3 P3 R3 F3 D3 B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91987AB-EB4E-4323-988C-2CC9543F5F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3D1704E4-2CF0-40FE-8B51-535F514AA80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DA7CE90D-FADD-456D-9A84-45478435DA5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12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x14ac:dyDescent="0.3"/>
  <cols>
    <col min="1" max="1" width="46.6640625" style="105" bestFit="1" customWidth="1"/>
    <col min="2" max="4" width="7.77734375" style="180" customWidth="1"/>
    <col min="5" max="7" width="7.77734375" style="81" customWidth="1"/>
    <col min="8" max="16384" width="8.88671875" style="105"/>
  </cols>
  <sheetData>
    <row r="1" spans="1:7" ht="18.600000000000001" customHeight="1" thickBot="1" x14ac:dyDescent="0.4">
      <c r="A1" s="340" t="s">
        <v>435</v>
      </c>
      <c r="B1" s="293"/>
      <c r="C1" s="293"/>
      <c r="D1" s="293"/>
      <c r="E1" s="293"/>
      <c r="F1" s="293"/>
      <c r="G1" s="293"/>
    </row>
    <row r="2" spans="1:7" ht="14.4" customHeight="1" thickBot="1" x14ac:dyDescent="0.35">
      <c r="A2" s="202" t="s">
        <v>247</v>
      </c>
      <c r="B2" s="86"/>
      <c r="C2" s="86"/>
      <c r="D2" s="86"/>
      <c r="E2" s="86"/>
      <c r="F2" s="86"/>
      <c r="G2" s="86"/>
    </row>
    <row r="3" spans="1:7" ht="14.4" customHeight="1" thickBot="1" x14ac:dyDescent="0.35">
      <c r="A3" s="188" t="s">
        <v>112</v>
      </c>
      <c r="B3" s="282">
        <f t="shared" ref="B3:G3" si="0">SUBTOTAL(9,B6:B1048576)</f>
        <v>1062</v>
      </c>
      <c r="C3" s="283">
        <f t="shared" si="0"/>
        <v>1178</v>
      </c>
      <c r="D3" s="283">
        <f t="shared" si="0"/>
        <v>970</v>
      </c>
      <c r="E3" s="192">
        <f t="shared" si="0"/>
        <v>473092</v>
      </c>
      <c r="F3" s="190">
        <f t="shared" si="0"/>
        <v>538131</v>
      </c>
      <c r="G3" s="284">
        <f t="shared" si="0"/>
        <v>434170.66000000003</v>
      </c>
    </row>
    <row r="4" spans="1:7" ht="14.4" customHeight="1" x14ac:dyDescent="0.3">
      <c r="A4" s="341" t="s">
        <v>113</v>
      </c>
      <c r="B4" s="342" t="s">
        <v>222</v>
      </c>
      <c r="C4" s="343"/>
      <c r="D4" s="343"/>
      <c r="E4" s="345" t="s">
        <v>85</v>
      </c>
      <c r="F4" s="346"/>
      <c r="G4" s="347"/>
    </row>
    <row r="5" spans="1:7" ht="14.4" customHeight="1" thickBot="1" x14ac:dyDescent="0.35">
      <c r="A5" s="466"/>
      <c r="B5" s="467">
        <v>2013</v>
      </c>
      <c r="C5" s="468">
        <v>2014</v>
      </c>
      <c r="D5" s="468">
        <v>2015</v>
      </c>
      <c r="E5" s="467">
        <v>2013</v>
      </c>
      <c r="F5" s="468">
        <v>2014</v>
      </c>
      <c r="G5" s="475">
        <v>2015</v>
      </c>
    </row>
    <row r="6" spans="1:7" ht="14.4" customHeight="1" x14ac:dyDescent="0.3">
      <c r="A6" s="423" t="s">
        <v>431</v>
      </c>
      <c r="B6" s="403">
        <v>1033</v>
      </c>
      <c r="C6" s="403">
        <v>1147</v>
      </c>
      <c r="D6" s="403">
        <v>970</v>
      </c>
      <c r="E6" s="476">
        <v>473092</v>
      </c>
      <c r="F6" s="476">
        <v>538131</v>
      </c>
      <c r="G6" s="477">
        <v>434170.66000000003</v>
      </c>
    </row>
    <row r="7" spans="1:7" ht="14.4" customHeight="1" x14ac:dyDescent="0.3">
      <c r="A7" s="482" t="s">
        <v>432</v>
      </c>
      <c r="B7" s="409">
        <v>6</v>
      </c>
      <c r="C7" s="409">
        <v>3</v>
      </c>
      <c r="D7" s="409"/>
      <c r="E7" s="478">
        <v>0</v>
      </c>
      <c r="F7" s="478">
        <v>0</v>
      </c>
      <c r="G7" s="479"/>
    </row>
    <row r="8" spans="1:7" ht="14.4" customHeight="1" x14ac:dyDescent="0.3">
      <c r="A8" s="482" t="s">
        <v>433</v>
      </c>
      <c r="B8" s="409">
        <v>23</v>
      </c>
      <c r="C8" s="409">
        <v>27</v>
      </c>
      <c r="D8" s="409"/>
      <c r="E8" s="478">
        <v>0</v>
      </c>
      <c r="F8" s="478">
        <v>0</v>
      </c>
      <c r="G8" s="479"/>
    </row>
    <row r="9" spans="1:7" ht="14.4" customHeight="1" thickBot="1" x14ac:dyDescent="0.35">
      <c r="A9" s="483" t="s">
        <v>434</v>
      </c>
      <c r="B9" s="415"/>
      <c r="C9" s="415">
        <v>1</v>
      </c>
      <c r="D9" s="415"/>
      <c r="E9" s="480"/>
      <c r="F9" s="480">
        <v>0</v>
      </c>
      <c r="G9" s="481"/>
    </row>
    <row r="10" spans="1:7" ht="14.4" customHeight="1" x14ac:dyDescent="0.3">
      <c r="A10" s="473" t="s">
        <v>428</v>
      </c>
    </row>
    <row r="11" spans="1:7" ht="14.4" customHeight="1" x14ac:dyDescent="0.3">
      <c r="A11" s="474" t="s">
        <v>429</v>
      </c>
    </row>
    <row r="12" spans="1:7" ht="14.4" customHeight="1" x14ac:dyDescent="0.3">
      <c r="A12" s="473" t="s">
        <v>430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pageSetUpPr fitToPage="1"/>
  </sheetPr>
  <dimension ref="A1:Q14"/>
  <sheetViews>
    <sheetView showGridLines="0" showRowColHeaders="0" workbookViewId="0">
      <pane ySplit="5" topLeftCell="A6" activePane="bottomLeft" state="frozen"/>
      <selection activeCell="U26" sqref="U26"/>
      <selection pane="bottomLeft" sqref="A1:Q1"/>
    </sheetView>
  </sheetViews>
  <sheetFormatPr defaultRowHeight="14.4" customHeight="1" x14ac:dyDescent="0.3"/>
  <cols>
    <col min="1" max="1" width="8.6640625" style="105" bestFit="1" customWidth="1"/>
    <col min="2" max="2" width="6.109375" style="105" customWidth="1"/>
    <col min="3" max="3" width="2.109375" style="105" bestFit="1" customWidth="1"/>
    <col min="4" max="4" width="8" style="105" customWidth="1"/>
    <col min="5" max="5" width="50.88671875" style="105" bestFit="1" customWidth="1"/>
    <col min="6" max="7" width="11.109375" style="180" customWidth="1"/>
    <col min="8" max="9" width="9.33203125" style="105" hidden="1" customWidth="1"/>
    <col min="10" max="11" width="11.109375" style="180" customWidth="1"/>
    <col min="12" max="13" width="9.33203125" style="105" hidden="1" customWidth="1"/>
    <col min="14" max="15" width="11.109375" style="180" customWidth="1"/>
    <col min="16" max="16" width="11.109375" style="183" customWidth="1"/>
    <col min="17" max="17" width="11.109375" style="180" customWidth="1"/>
    <col min="18" max="16384" width="8.88671875" style="105"/>
  </cols>
  <sheetData>
    <row r="1" spans="1:17" ht="18.600000000000001" customHeight="1" thickBot="1" x14ac:dyDescent="0.4">
      <c r="A1" s="293" t="s">
        <v>456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  <c r="N1" s="293"/>
      <c r="O1" s="293"/>
      <c r="P1" s="293"/>
      <c r="Q1" s="293"/>
    </row>
    <row r="2" spans="1:17" ht="14.4" customHeight="1" thickBot="1" x14ac:dyDescent="0.35">
      <c r="A2" s="202" t="s">
        <v>247</v>
      </c>
      <c r="B2" s="288"/>
      <c r="C2" s="106"/>
      <c r="D2" s="281"/>
      <c r="E2" s="106"/>
      <c r="F2" s="196"/>
      <c r="G2" s="196"/>
      <c r="H2" s="106"/>
      <c r="I2" s="106"/>
      <c r="J2" s="196"/>
      <c r="K2" s="196"/>
      <c r="L2" s="106"/>
      <c r="M2" s="106"/>
      <c r="N2" s="196"/>
      <c r="O2" s="196"/>
      <c r="P2" s="197"/>
      <c r="Q2" s="196"/>
    </row>
    <row r="3" spans="1:17" ht="14.4" customHeight="1" thickBot="1" x14ac:dyDescent="0.35">
      <c r="E3" s="63" t="s">
        <v>112</v>
      </c>
      <c r="F3" s="77">
        <f t="shared" ref="F3:O3" si="0">SUBTOTAL(9,F6:F1048576)</f>
        <v>1062</v>
      </c>
      <c r="G3" s="78">
        <f t="shared" si="0"/>
        <v>473092</v>
      </c>
      <c r="H3" s="58"/>
      <c r="I3" s="58"/>
      <c r="J3" s="78">
        <f t="shared" si="0"/>
        <v>1178</v>
      </c>
      <c r="K3" s="78">
        <f t="shared" si="0"/>
        <v>538131</v>
      </c>
      <c r="L3" s="58"/>
      <c r="M3" s="58"/>
      <c r="N3" s="78">
        <f t="shared" si="0"/>
        <v>970</v>
      </c>
      <c r="O3" s="78">
        <f t="shared" si="0"/>
        <v>434170.66</v>
      </c>
      <c r="P3" s="59">
        <f>IF(G3=0,0,O3/G3)</f>
        <v>0.9177298707228192</v>
      </c>
      <c r="Q3" s="79">
        <f>IF(N3=0,0,O3/N3)</f>
        <v>447.59861855670101</v>
      </c>
    </row>
    <row r="4" spans="1:17" ht="14.4" customHeight="1" x14ac:dyDescent="0.3">
      <c r="A4" s="349" t="s">
        <v>81</v>
      </c>
      <c r="B4" s="356" t="s">
        <v>0</v>
      </c>
      <c r="C4" s="350" t="s">
        <v>82</v>
      </c>
      <c r="D4" s="355" t="s">
        <v>57</v>
      </c>
      <c r="E4" s="351" t="s">
        <v>56</v>
      </c>
      <c r="F4" s="352">
        <v>2013</v>
      </c>
      <c r="G4" s="353"/>
      <c r="H4" s="76"/>
      <c r="I4" s="76"/>
      <c r="J4" s="352">
        <v>2014</v>
      </c>
      <c r="K4" s="353"/>
      <c r="L4" s="76"/>
      <c r="M4" s="76"/>
      <c r="N4" s="352">
        <v>2015</v>
      </c>
      <c r="O4" s="353"/>
      <c r="P4" s="354" t="s">
        <v>2</v>
      </c>
      <c r="Q4" s="348" t="s">
        <v>84</v>
      </c>
    </row>
    <row r="5" spans="1:17" ht="14.4" customHeight="1" thickBot="1" x14ac:dyDescent="0.35">
      <c r="A5" s="484"/>
      <c r="B5" s="485"/>
      <c r="C5" s="486"/>
      <c r="D5" s="487"/>
      <c r="E5" s="488"/>
      <c r="F5" s="489" t="s">
        <v>58</v>
      </c>
      <c r="G5" s="490" t="s">
        <v>14</v>
      </c>
      <c r="H5" s="491"/>
      <c r="I5" s="491"/>
      <c r="J5" s="489" t="s">
        <v>58</v>
      </c>
      <c r="K5" s="490" t="s">
        <v>14</v>
      </c>
      <c r="L5" s="491"/>
      <c r="M5" s="491"/>
      <c r="N5" s="489" t="s">
        <v>58</v>
      </c>
      <c r="O5" s="490" t="s">
        <v>14</v>
      </c>
      <c r="P5" s="492"/>
      <c r="Q5" s="493"/>
    </row>
    <row r="6" spans="1:17" ht="14.4" customHeight="1" x14ac:dyDescent="0.3">
      <c r="A6" s="399" t="s">
        <v>436</v>
      </c>
      <c r="B6" s="400" t="s">
        <v>364</v>
      </c>
      <c r="C6" s="400" t="s">
        <v>437</v>
      </c>
      <c r="D6" s="400" t="s">
        <v>438</v>
      </c>
      <c r="E6" s="400" t="s">
        <v>439</v>
      </c>
      <c r="F6" s="403"/>
      <c r="G6" s="403"/>
      <c r="H6" s="400"/>
      <c r="I6" s="400"/>
      <c r="J6" s="403"/>
      <c r="K6" s="403"/>
      <c r="L6" s="400"/>
      <c r="M6" s="400"/>
      <c r="N6" s="403">
        <v>3</v>
      </c>
      <c r="O6" s="403">
        <v>105</v>
      </c>
      <c r="P6" s="424"/>
      <c r="Q6" s="404">
        <v>35</v>
      </c>
    </row>
    <row r="7" spans="1:17" ht="14.4" customHeight="1" x14ac:dyDescent="0.3">
      <c r="A7" s="405" t="s">
        <v>436</v>
      </c>
      <c r="B7" s="406" t="s">
        <v>364</v>
      </c>
      <c r="C7" s="406" t="s">
        <v>437</v>
      </c>
      <c r="D7" s="406" t="s">
        <v>440</v>
      </c>
      <c r="E7" s="406" t="s">
        <v>441</v>
      </c>
      <c r="F7" s="409">
        <v>62</v>
      </c>
      <c r="G7" s="409">
        <v>16368</v>
      </c>
      <c r="H7" s="406">
        <v>1</v>
      </c>
      <c r="I7" s="406">
        <v>264</v>
      </c>
      <c r="J7" s="409">
        <v>56</v>
      </c>
      <c r="K7" s="409">
        <v>14871</v>
      </c>
      <c r="L7" s="406">
        <v>0.9085410557184751</v>
      </c>
      <c r="M7" s="406">
        <v>265.55357142857144</v>
      </c>
      <c r="N7" s="409">
        <v>104</v>
      </c>
      <c r="O7" s="409">
        <v>27872</v>
      </c>
      <c r="P7" s="494">
        <v>1.7028347996089932</v>
      </c>
      <c r="Q7" s="410">
        <v>268</v>
      </c>
    </row>
    <row r="8" spans="1:17" ht="14.4" customHeight="1" x14ac:dyDescent="0.3">
      <c r="A8" s="405" t="s">
        <v>436</v>
      </c>
      <c r="B8" s="406" t="s">
        <v>364</v>
      </c>
      <c r="C8" s="406" t="s">
        <v>437</v>
      </c>
      <c r="D8" s="406" t="s">
        <v>442</v>
      </c>
      <c r="E8" s="406" t="s">
        <v>443</v>
      </c>
      <c r="F8" s="409">
        <v>638</v>
      </c>
      <c r="G8" s="409">
        <v>326656</v>
      </c>
      <c r="H8" s="406">
        <v>1</v>
      </c>
      <c r="I8" s="406">
        <v>512</v>
      </c>
      <c r="J8" s="409">
        <v>801</v>
      </c>
      <c r="K8" s="409">
        <v>410296</v>
      </c>
      <c r="L8" s="406">
        <v>1.2560491771159874</v>
      </c>
      <c r="M8" s="406">
        <v>512.22971285892629</v>
      </c>
      <c r="N8" s="409">
        <v>578</v>
      </c>
      <c r="O8" s="409">
        <v>299404</v>
      </c>
      <c r="P8" s="494">
        <v>0.91657278605015668</v>
      </c>
      <c r="Q8" s="410">
        <v>518</v>
      </c>
    </row>
    <row r="9" spans="1:17" ht="14.4" customHeight="1" x14ac:dyDescent="0.3">
      <c r="A9" s="405" t="s">
        <v>436</v>
      </c>
      <c r="B9" s="406" t="s">
        <v>364</v>
      </c>
      <c r="C9" s="406" t="s">
        <v>437</v>
      </c>
      <c r="D9" s="406" t="s">
        <v>444</v>
      </c>
      <c r="E9" s="406" t="s">
        <v>445</v>
      </c>
      <c r="F9" s="409"/>
      <c r="G9" s="409"/>
      <c r="H9" s="406"/>
      <c r="I9" s="406"/>
      <c r="J9" s="409">
        <v>2</v>
      </c>
      <c r="K9" s="409">
        <v>0</v>
      </c>
      <c r="L9" s="406"/>
      <c r="M9" s="406">
        <v>0</v>
      </c>
      <c r="N9" s="409"/>
      <c r="O9" s="409"/>
      <c r="P9" s="494"/>
      <c r="Q9" s="410"/>
    </row>
    <row r="10" spans="1:17" ht="14.4" customHeight="1" x14ac:dyDescent="0.3">
      <c r="A10" s="405" t="s">
        <v>436</v>
      </c>
      <c r="B10" s="406" t="s">
        <v>364</v>
      </c>
      <c r="C10" s="406" t="s">
        <v>437</v>
      </c>
      <c r="D10" s="406" t="s">
        <v>446</v>
      </c>
      <c r="E10" s="406" t="s">
        <v>447</v>
      </c>
      <c r="F10" s="409">
        <v>29</v>
      </c>
      <c r="G10" s="409">
        <v>0</v>
      </c>
      <c r="H10" s="406"/>
      <c r="I10" s="406">
        <v>0</v>
      </c>
      <c r="J10" s="409">
        <v>30</v>
      </c>
      <c r="K10" s="409">
        <v>0</v>
      </c>
      <c r="L10" s="406"/>
      <c r="M10" s="406">
        <v>0</v>
      </c>
      <c r="N10" s="409">
        <v>9</v>
      </c>
      <c r="O10" s="409">
        <v>66.66</v>
      </c>
      <c r="P10" s="494"/>
      <c r="Q10" s="410">
        <v>7.4066666666666663</v>
      </c>
    </row>
    <row r="11" spans="1:17" ht="14.4" customHeight="1" x14ac:dyDescent="0.3">
      <c r="A11" s="405" t="s">
        <v>436</v>
      </c>
      <c r="B11" s="406" t="s">
        <v>364</v>
      </c>
      <c r="C11" s="406" t="s">
        <v>437</v>
      </c>
      <c r="D11" s="406" t="s">
        <v>448</v>
      </c>
      <c r="E11" s="406" t="s">
        <v>449</v>
      </c>
      <c r="F11" s="409"/>
      <c r="G11" s="409"/>
      <c r="H11" s="406"/>
      <c r="I11" s="406"/>
      <c r="J11" s="409">
        <v>1</v>
      </c>
      <c r="K11" s="409">
        <v>209</v>
      </c>
      <c r="L11" s="406"/>
      <c r="M11" s="406">
        <v>209</v>
      </c>
      <c r="N11" s="409"/>
      <c r="O11" s="409"/>
      <c r="P11" s="494"/>
      <c r="Q11" s="410"/>
    </row>
    <row r="12" spans="1:17" ht="14.4" customHeight="1" x14ac:dyDescent="0.3">
      <c r="A12" s="405" t="s">
        <v>436</v>
      </c>
      <c r="B12" s="406" t="s">
        <v>364</v>
      </c>
      <c r="C12" s="406" t="s">
        <v>437</v>
      </c>
      <c r="D12" s="406" t="s">
        <v>450</v>
      </c>
      <c r="E12" s="406" t="s">
        <v>451</v>
      </c>
      <c r="F12" s="409">
        <v>30</v>
      </c>
      <c r="G12" s="409">
        <v>10350</v>
      </c>
      <c r="H12" s="406">
        <v>1</v>
      </c>
      <c r="I12" s="406">
        <v>345</v>
      </c>
      <c r="J12" s="409">
        <v>32</v>
      </c>
      <c r="K12" s="409">
        <v>11103</v>
      </c>
      <c r="L12" s="406">
        <v>1.0727536231884058</v>
      </c>
      <c r="M12" s="406">
        <v>346.96875</v>
      </c>
      <c r="N12" s="409">
        <v>26</v>
      </c>
      <c r="O12" s="409">
        <v>9100</v>
      </c>
      <c r="P12" s="494">
        <v>0.87922705314009664</v>
      </c>
      <c r="Q12" s="410">
        <v>350</v>
      </c>
    </row>
    <row r="13" spans="1:17" ht="14.4" customHeight="1" x14ac:dyDescent="0.3">
      <c r="A13" s="405" t="s">
        <v>436</v>
      </c>
      <c r="B13" s="406" t="s">
        <v>364</v>
      </c>
      <c r="C13" s="406" t="s">
        <v>437</v>
      </c>
      <c r="D13" s="406" t="s">
        <v>452</v>
      </c>
      <c r="E13" s="406" t="s">
        <v>453</v>
      </c>
      <c r="F13" s="409">
        <v>301</v>
      </c>
      <c r="G13" s="409">
        <v>119196</v>
      </c>
      <c r="H13" s="406">
        <v>1</v>
      </c>
      <c r="I13" s="406">
        <v>396</v>
      </c>
      <c r="J13" s="409">
        <v>253</v>
      </c>
      <c r="K13" s="409">
        <v>100860</v>
      </c>
      <c r="L13" s="406">
        <v>0.84616933454142762</v>
      </c>
      <c r="M13" s="406">
        <v>398.65612648221344</v>
      </c>
      <c r="N13" s="409">
        <v>229</v>
      </c>
      <c r="O13" s="409">
        <v>92058</v>
      </c>
      <c r="P13" s="494">
        <v>0.77232457465015603</v>
      </c>
      <c r="Q13" s="410">
        <v>402</v>
      </c>
    </row>
    <row r="14" spans="1:17" ht="14.4" customHeight="1" thickBot="1" x14ac:dyDescent="0.35">
      <c r="A14" s="411" t="s">
        <v>436</v>
      </c>
      <c r="B14" s="412" t="s">
        <v>364</v>
      </c>
      <c r="C14" s="412" t="s">
        <v>437</v>
      </c>
      <c r="D14" s="412" t="s">
        <v>454</v>
      </c>
      <c r="E14" s="412" t="s">
        <v>455</v>
      </c>
      <c r="F14" s="415">
        <v>2</v>
      </c>
      <c r="G14" s="415">
        <v>522</v>
      </c>
      <c r="H14" s="412">
        <v>1</v>
      </c>
      <c r="I14" s="412">
        <v>261</v>
      </c>
      <c r="J14" s="415">
        <v>3</v>
      </c>
      <c r="K14" s="415">
        <v>792</v>
      </c>
      <c r="L14" s="412">
        <v>1.5172413793103448</v>
      </c>
      <c r="M14" s="412">
        <v>264</v>
      </c>
      <c r="N14" s="415">
        <v>21</v>
      </c>
      <c r="O14" s="415">
        <v>5565</v>
      </c>
      <c r="P14" s="426">
        <v>10.660919540229886</v>
      </c>
      <c r="Q14" s="416">
        <v>265</v>
      </c>
    </row>
  </sheetData>
  <autoFilter ref="A5:Q5"/>
  <mergeCells count="11">
    <mergeCell ref="Q4:Q5"/>
    <mergeCell ref="A1:Q1"/>
    <mergeCell ref="A4:A5"/>
    <mergeCell ref="C4:C5"/>
    <mergeCell ref="E4:E5"/>
    <mergeCell ref="F4:G4"/>
    <mergeCell ref="J4:K4"/>
    <mergeCell ref="N4:O4"/>
    <mergeCell ref="P4:P5"/>
    <mergeCell ref="D4:D5"/>
    <mergeCell ref="B4:B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pageSetUpPr fitToPage="1"/>
  </sheetPr>
  <dimension ref="A1:S21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x14ac:dyDescent="0.3"/>
  <cols>
    <col min="1" max="1" width="46.6640625" style="105" bestFit="1" customWidth="1"/>
    <col min="2" max="2" width="7.77734375" style="81" customWidth="1"/>
    <col min="3" max="3" width="0.109375" style="105" hidden="1" customWidth="1"/>
    <col min="4" max="4" width="7.77734375" style="81" customWidth="1"/>
    <col min="5" max="5" width="5.44140625" style="105" hidden="1" customWidth="1"/>
    <col min="6" max="6" width="7.77734375" style="81" customWidth="1"/>
    <col min="7" max="7" width="7.77734375" style="183" customWidth="1"/>
    <col min="8" max="8" width="7.77734375" style="81" customWidth="1"/>
    <col min="9" max="9" width="5.44140625" style="105" hidden="1" customWidth="1"/>
    <col min="10" max="10" width="7.77734375" style="81" customWidth="1"/>
    <col min="11" max="11" width="5.44140625" style="105" hidden="1" customWidth="1"/>
    <col min="12" max="12" width="7.77734375" style="81" customWidth="1"/>
    <col min="13" max="13" width="7.77734375" style="183" customWidth="1"/>
    <col min="14" max="14" width="7.77734375" style="81" customWidth="1"/>
    <col min="15" max="15" width="5" style="105" hidden="1" customWidth="1"/>
    <col min="16" max="16" width="7.77734375" style="81" customWidth="1"/>
    <col min="17" max="17" width="5" style="105" hidden="1" customWidth="1"/>
    <col min="18" max="18" width="7.77734375" style="81" customWidth="1"/>
    <col min="19" max="19" width="7.77734375" style="183" customWidth="1"/>
    <col min="20" max="16384" width="8.88671875" style="105"/>
  </cols>
  <sheetData>
    <row r="1" spans="1:19" ht="18.600000000000001" customHeight="1" thickBot="1" x14ac:dyDescent="0.4">
      <c r="A1" s="302" t="s">
        <v>111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  <c r="N1" s="293"/>
      <c r="O1" s="293"/>
      <c r="P1" s="293"/>
      <c r="Q1" s="293"/>
      <c r="R1" s="293"/>
      <c r="S1" s="293"/>
    </row>
    <row r="2" spans="1:19" ht="14.4" customHeight="1" thickBot="1" x14ac:dyDescent="0.35">
      <c r="A2" s="202" t="s">
        <v>247</v>
      </c>
      <c r="B2" s="194"/>
      <c r="C2" s="86"/>
      <c r="D2" s="194"/>
      <c r="E2" s="86"/>
      <c r="F2" s="194"/>
      <c r="G2" s="195"/>
      <c r="H2" s="194"/>
      <c r="I2" s="86"/>
      <c r="J2" s="194"/>
      <c r="K2" s="86"/>
      <c r="L2" s="194"/>
      <c r="M2" s="195"/>
      <c r="N2" s="194"/>
      <c r="O2" s="86"/>
      <c r="P2" s="194"/>
      <c r="Q2" s="86"/>
      <c r="R2" s="194"/>
      <c r="S2" s="195"/>
    </row>
    <row r="3" spans="1:19" ht="14.4" customHeight="1" thickBot="1" x14ac:dyDescent="0.35">
      <c r="A3" s="188" t="s">
        <v>112</v>
      </c>
      <c r="B3" s="189">
        <f>SUBTOTAL(9,B6:B1048576)</f>
        <v>468935</v>
      </c>
      <c r="C3" s="190">
        <f t="shared" ref="C3:R3" si="0">SUBTOTAL(9,C6:C1048576)</f>
        <v>8</v>
      </c>
      <c r="D3" s="190">
        <f t="shared" si="0"/>
        <v>578445</v>
      </c>
      <c r="E3" s="190">
        <f t="shared" si="0"/>
        <v>6.2273251489130024</v>
      </c>
      <c r="F3" s="190">
        <f t="shared" si="0"/>
        <v>861069.66</v>
      </c>
      <c r="G3" s="193">
        <f>IF(B3&lt;&gt;0,F3/B3,"")</f>
        <v>1.8362239116295436</v>
      </c>
      <c r="H3" s="189">
        <f t="shared" si="0"/>
        <v>0</v>
      </c>
      <c r="I3" s="190">
        <f t="shared" si="0"/>
        <v>0</v>
      </c>
      <c r="J3" s="190">
        <f t="shared" si="0"/>
        <v>0</v>
      </c>
      <c r="K3" s="190">
        <f t="shared" si="0"/>
        <v>0</v>
      </c>
      <c r="L3" s="190">
        <f t="shared" si="0"/>
        <v>0</v>
      </c>
      <c r="M3" s="191" t="str">
        <f>IF(H3&lt;&gt;0,L3/H3,"")</f>
        <v/>
      </c>
      <c r="N3" s="192">
        <f t="shared" si="0"/>
        <v>0</v>
      </c>
      <c r="O3" s="190">
        <f t="shared" si="0"/>
        <v>0</v>
      </c>
      <c r="P3" s="190">
        <f t="shared" si="0"/>
        <v>0</v>
      </c>
      <c r="Q3" s="190">
        <f t="shared" si="0"/>
        <v>0</v>
      </c>
      <c r="R3" s="190">
        <f t="shared" si="0"/>
        <v>0</v>
      </c>
      <c r="S3" s="191" t="str">
        <f>IF(N3&lt;&gt;0,R3/N3,"")</f>
        <v/>
      </c>
    </row>
    <row r="4" spans="1:19" ht="14.4" customHeight="1" x14ac:dyDescent="0.3">
      <c r="A4" s="341" t="s">
        <v>91</v>
      </c>
      <c r="B4" s="342" t="s">
        <v>85</v>
      </c>
      <c r="C4" s="343"/>
      <c r="D4" s="343"/>
      <c r="E4" s="343"/>
      <c r="F4" s="343"/>
      <c r="G4" s="344"/>
      <c r="H4" s="342" t="s">
        <v>86</v>
      </c>
      <c r="I4" s="343"/>
      <c r="J4" s="343"/>
      <c r="K4" s="343"/>
      <c r="L4" s="343"/>
      <c r="M4" s="344"/>
      <c r="N4" s="342" t="s">
        <v>87</v>
      </c>
      <c r="O4" s="343"/>
      <c r="P4" s="343"/>
      <c r="Q4" s="343"/>
      <c r="R4" s="343"/>
      <c r="S4" s="344"/>
    </row>
    <row r="5" spans="1:19" ht="14.4" customHeight="1" thickBot="1" x14ac:dyDescent="0.35">
      <c r="A5" s="466"/>
      <c r="B5" s="467">
        <v>2013</v>
      </c>
      <c r="C5" s="468"/>
      <c r="D5" s="468">
        <v>2014</v>
      </c>
      <c r="E5" s="468"/>
      <c r="F5" s="468">
        <v>2015</v>
      </c>
      <c r="G5" s="469" t="s">
        <v>2</v>
      </c>
      <c r="H5" s="467">
        <v>2013</v>
      </c>
      <c r="I5" s="468"/>
      <c r="J5" s="468">
        <v>2014</v>
      </c>
      <c r="K5" s="468"/>
      <c r="L5" s="468">
        <v>2015</v>
      </c>
      <c r="M5" s="469" t="s">
        <v>2</v>
      </c>
      <c r="N5" s="467">
        <v>2013</v>
      </c>
      <c r="O5" s="468"/>
      <c r="P5" s="468">
        <v>2014</v>
      </c>
      <c r="Q5" s="468"/>
      <c r="R5" s="468">
        <v>2015</v>
      </c>
      <c r="S5" s="469" t="s">
        <v>2</v>
      </c>
    </row>
    <row r="6" spans="1:19" ht="14.4" customHeight="1" x14ac:dyDescent="0.3">
      <c r="A6" s="423" t="s">
        <v>457</v>
      </c>
      <c r="B6" s="476">
        <v>3929</v>
      </c>
      <c r="C6" s="400">
        <v>1</v>
      </c>
      <c r="D6" s="476">
        <v>6249</v>
      </c>
      <c r="E6" s="400">
        <v>1.590481038432171</v>
      </c>
      <c r="F6" s="476">
        <v>5530</v>
      </c>
      <c r="G6" s="424">
        <v>1.4074828200559939</v>
      </c>
      <c r="H6" s="476"/>
      <c r="I6" s="400"/>
      <c r="J6" s="476"/>
      <c r="K6" s="400"/>
      <c r="L6" s="476"/>
      <c r="M6" s="424"/>
      <c r="N6" s="476"/>
      <c r="O6" s="400"/>
      <c r="P6" s="476"/>
      <c r="Q6" s="400"/>
      <c r="R6" s="476"/>
      <c r="S6" s="425"/>
    </row>
    <row r="7" spans="1:19" ht="14.4" customHeight="1" x14ac:dyDescent="0.3">
      <c r="A7" s="482" t="s">
        <v>458</v>
      </c>
      <c r="B7" s="478">
        <v>1285</v>
      </c>
      <c r="C7" s="406">
        <v>1</v>
      </c>
      <c r="D7" s="478"/>
      <c r="E7" s="406"/>
      <c r="F7" s="478"/>
      <c r="G7" s="494"/>
      <c r="H7" s="478"/>
      <c r="I7" s="406"/>
      <c r="J7" s="478"/>
      <c r="K7" s="406"/>
      <c r="L7" s="478"/>
      <c r="M7" s="494"/>
      <c r="N7" s="478"/>
      <c r="O7" s="406"/>
      <c r="P7" s="478"/>
      <c r="Q7" s="406"/>
      <c r="R7" s="478"/>
      <c r="S7" s="495"/>
    </row>
    <row r="8" spans="1:19" ht="14.4" customHeight="1" x14ac:dyDescent="0.3">
      <c r="A8" s="482" t="s">
        <v>459</v>
      </c>
      <c r="B8" s="478"/>
      <c r="C8" s="406"/>
      <c r="D8" s="478">
        <v>1032</v>
      </c>
      <c r="E8" s="406"/>
      <c r="F8" s="478">
        <v>3108</v>
      </c>
      <c r="G8" s="494"/>
      <c r="H8" s="478"/>
      <c r="I8" s="406"/>
      <c r="J8" s="478"/>
      <c r="K8" s="406"/>
      <c r="L8" s="478"/>
      <c r="M8" s="494"/>
      <c r="N8" s="478"/>
      <c r="O8" s="406"/>
      <c r="P8" s="478"/>
      <c r="Q8" s="406"/>
      <c r="R8" s="478"/>
      <c r="S8" s="495"/>
    </row>
    <row r="9" spans="1:19" ht="14.4" customHeight="1" x14ac:dyDescent="0.3">
      <c r="A9" s="482" t="s">
        <v>460</v>
      </c>
      <c r="B9" s="478"/>
      <c r="C9" s="406"/>
      <c r="D9" s="478"/>
      <c r="E9" s="406"/>
      <c r="F9" s="478">
        <v>2422</v>
      </c>
      <c r="G9" s="494"/>
      <c r="H9" s="478"/>
      <c r="I9" s="406"/>
      <c r="J9" s="478"/>
      <c r="K9" s="406"/>
      <c r="L9" s="478"/>
      <c r="M9" s="494"/>
      <c r="N9" s="478"/>
      <c r="O9" s="406"/>
      <c r="P9" s="478"/>
      <c r="Q9" s="406"/>
      <c r="R9" s="478"/>
      <c r="S9" s="495"/>
    </row>
    <row r="10" spans="1:19" ht="14.4" customHeight="1" x14ac:dyDescent="0.3">
      <c r="A10" s="482" t="s">
        <v>461</v>
      </c>
      <c r="B10" s="478">
        <v>9180</v>
      </c>
      <c r="C10" s="406">
        <v>1</v>
      </c>
      <c r="D10" s="478">
        <v>7596</v>
      </c>
      <c r="E10" s="406">
        <v>0.82745098039215681</v>
      </c>
      <c r="F10" s="478">
        <v>6848</v>
      </c>
      <c r="G10" s="494">
        <v>0.74596949891067543</v>
      </c>
      <c r="H10" s="478"/>
      <c r="I10" s="406"/>
      <c r="J10" s="478"/>
      <c r="K10" s="406"/>
      <c r="L10" s="478"/>
      <c r="M10" s="494"/>
      <c r="N10" s="478"/>
      <c r="O10" s="406"/>
      <c r="P10" s="478"/>
      <c r="Q10" s="406"/>
      <c r="R10" s="478"/>
      <c r="S10" s="495"/>
    </row>
    <row r="11" spans="1:19" ht="14.4" customHeight="1" x14ac:dyDescent="0.3">
      <c r="A11" s="482" t="s">
        <v>462</v>
      </c>
      <c r="B11" s="478"/>
      <c r="C11" s="406"/>
      <c r="D11" s="478"/>
      <c r="E11" s="406"/>
      <c r="F11" s="478">
        <v>350</v>
      </c>
      <c r="G11" s="494"/>
      <c r="H11" s="478"/>
      <c r="I11" s="406"/>
      <c r="J11" s="478"/>
      <c r="K11" s="406"/>
      <c r="L11" s="478"/>
      <c r="M11" s="494"/>
      <c r="N11" s="478"/>
      <c r="O11" s="406"/>
      <c r="P11" s="478"/>
      <c r="Q11" s="406"/>
      <c r="R11" s="478"/>
      <c r="S11" s="495"/>
    </row>
    <row r="12" spans="1:19" ht="14.4" customHeight="1" x14ac:dyDescent="0.3">
      <c r="A12" s="482" t="s">
        <v>463</v>
      </c>
      <c r="B12" s="478"/>
      <c r="C12" s="406"/>
      <c r="D12" s="478"/>
      <c r="E12" s="406"/>
      <c r="F12" s="478">
        <v>4494</v>
      </c>
      <c r="G12" s="494"/>
      <c r="H12" s="478"/>
      <c r="I12" s="406"/>
      <c r="J12" s="478"/>
      <c r="K12" s="406"/>
      <c r="L12" s="478"/>
      <c r="M12" s="494"/>
      <c r="N12" s="478"/>
      <c r="O12" s="406"/>
      <c r="P12" s="478"/>
      <c r="Q12" s="406"/>
      <c r="R12" s="478"/>
      <c r="S12" s="495"/>
    </row>
    <row r="13" spans="1:19" ht="14.4" customHeight="1" x14ac:dyDescent="0.3">
      <c r="A13" s="482" t="s">
        <v>464</v>
      </c>
      <c r="B13" s="478">
        <v>6028</v>
      </c>
      <c r="C13" s="406">
        <v>1</v>
      </c>
      <c r="D13" s="478"/>
      <c r="E13" s="406"/>
      <c r="F13" s="478"/>
      <c r="G13" s="494"/>
      <c r="H13" s="478"/>
      <c r="I13" s="406"/>
      <c r="J13" s="478"/>
      <c r="K13" s="406"/>
      <c r="L13" s="478"/>
      <c r="M13" s="494"/>
      <c r="N13" s="478"/>
      <c r="O13" s="406"/>
      <c r="P13" s="478"/>
      <c r="Q13" s="406"/>
      <c r="R13" s="478"/>
      <c r="S13" s="495"/>
    </row>
    <row r="14" spans="1:19" ht="14.4" customHeight="1" x14ac:dyDescent="0.3">
      <c r="A14" s="482" t="s">
        <v>465</v>
      </c>
      <c r="B14" s="478">
        <v>1024</v>
      </c>
      <c r="C14" s="406">
        <v>1</v>
      </c>
      <c r="D14" s="478"/>
      <c r="E14" s="406"/>
      <c r="F14" s="478"/>
      <c r="G14" s="494"/>
      <c r="H14" s="478"/>
      <c r="I14" s="406"/>
      <c r="J14" s="478"/>
      <c r="K14" s="406"/>
      <c r="L14" s="478"/>
      <c r="M14" s="494"/>
      <c r="N14" s="478"/>
      <c r="O14" s="406"/>
      <c r="P14" s="478"/>
      <c r="Q14" s="406"/>
      <c r="R14" s="478"/>
      <c r="S14" s="495"/>
    </row>
    <row r="15" spans="1:19" ht="14.4" customHeight="1" x14ac:dyDescent="0.3">
      <c r="A15" s="482" t="s">
        <v>466</v>
      </c>
      <c r="B15" s="478">
        <v>178909</v>
      </c>
      <c r="C15" s="406">
        <v>1</v>
      </c>
      <c r="D15" s="478">
        <v>244345</v>
      </c>
      <c r="E15" s="406">
        <v>1.3657501858486716</v>
      </c>
      <c r="F15" s="478">
        <v>436399.99999999994</v>
      </c>
      <c r="G15" s="494">
        <v>2.4392288817219923</v>
      </c>
      <c r="H15" s="478"/>
      <c r="I15" s="406"/>
      <c r="J15" s="478"/>
      <c r="K15" s="406"/>
      <c r="L15" s="478"/>
      <c r="M15" s="494"/>
      <c r="N15" s="478"/>
      <c r="O15" s="406"/>
      <c r="P15" s="478"/>
      <c r="Q15" s="406"/>
      <c r="R15" s="478"/>
      <c r="S15" s="495"/>
    </row>
    <row r="16" spans="1:19" ht="14.4" customHeight="1" x14ac:dyDescent="0.3">
      <c r="A16" s="482" t="s">
        <v>467</v>
      </c>
      <c r="B16" s="478"/>
      <c r="C16" s="406"/>
      <c r="D16" s="478">
        <v>5389</v>
      </c>
      <c r="E16" s="406"/>
      <c r="F16" s="478">
        <v>3205</v>
      </c>
      <c r="G16" s="494"/>
      <c r="H16" s="478"/>
      <c r="I16" s="406"/>
      <c r="J16" s="478"/>
      <c r="K16" s="406"/>
      <c r="L16" s="478"/>
      <c r="M16" s="494"/>
      <c r="N16" s="478"/>
      <c r="O16" s="406"/>
      <c r="P16" s="478"/>
      <c r="Q16" s="406"/>
      <c r="R16" s="478"/>
      <c r="S16" s="495"/>
    </row>
    <row r="17" spans="1:19" ht="14.4" customHeight="1" x14ac:dyDescent="0.3">
      <c r="A17" s="482" t="s">
        <v>468</v>
      </c>
      <c r="B17" s="478">
        <v>96350</v>
      </c>
      <c r="C17" s="406">
        <v>1</v>
      </c>
      <c r="D17" s="478">
        <v>150015</v>
      </c>
      <c r="E17" s="406">
        <v>1.5569797612869745</v>
      </c>
      <c r="F17" s="478">
        <v>217376.00000000003</v>
      </c>
      <c r="G17" s="494">
        <v>2.2561079398028028</v>
      </c>
      <c r="H17" s="478"/>
      <c r="I17" s="406"/>
      <c r="J17" s="478"/>
      <c r="K17" s="406"/>
      <c r="L17" s="478"/>
      <c r="M17" s="494"/>
      <c r="N17" s="478"/>
      <c r="O17" s="406"/>
      <c r="P17" s="478"/>
      <c r="Q17" s="406"/>
      <c r="R17" s="478"/>
      <c r="S17" s="495"/>
    </row>
    <row r="18" spans="1:19" ht="14.4" customHeight="1" x14ac:dyDescent="0.3">
      <c r="A18" s="482" t="s">
        <v>469</v>
      </c>
      <c r="B18" s="478">
        <v>172230</v>
      </c>
      <c r="C18" s="406">
        <v>1</v>
      </c>
      <c r="D18" s="478">
        <v>152710</v>
      </c>
      <c r="E18" s="406">
        <v>0.88666318295302793</v>
      </c>
      <c r="F18" s="478">
        <v>175423.33000000002</v>
      </c>
      <c r="G18" s="494">
        <v>1.0185410787899902</v>
      </c>
      <c r="H18" s="478"/>
      <c r="I18" s="406"/>
      <c r="J18" s="478"/>
      <c r="K18" s="406"/>
      <c r="L18" s="478"/>
      <c r="M18" s="494"/>
      <c r="N18" s="478"/>
      <c r="O18" s="406"/>
      <c r="P18" s="478"/>
      <c r="Q18" s="406"/>
      <c r="R18" s="478"/>
      <c r="S18" s="495"/>
    </row>
    <row r="19" spans="1:19" ht="14.4" customHeight="1" x14ac:dyDescent="0.3">
      <c r="A19" s="482" t="s">
        <v>470</v>
      </c>
      <c r="B19" s="478"/>
      <c r="C19" s="406"/>
      <c r="D19" s="478">
        <v>11109</v>
      </c>
      <c r="E19" s="406"/>
      <c r="F19" s="478"/>
      <c r="G19" s="494"/>
      <c r="H19" s="478"/>
      <c r="I19" s="406"/>
      <c r="J19" s="478"/>
      <c r="K19" s="406"/>
      <c r="L19" s="478"/>
      <c r="M19" s="494"/>
      <c r="N19" s="478"/>
      <c r="O19" s="406"/>
      <c r="P19" s="478"/>
      <c r="Q19" s="406"/>
      <c r="R19" s="478"/>
      <c r="S19" s="495"/>
    </row>
    <row r="20" spans="1:19" ht="14.4" customHeight="1" x14ac:dyDescent="0.3">
      <c r="A20" s="482" t="s">
        <v>471</v>
      </c>
      <c r="B20" s="478"/>
      <c r="C20" s="406"/>
      <c r="D20" s="478"/>
      <c r="E20" s="406"/>
      <c r="F20" s="478">
        <v>5395.33</v>
      </c>
      <c r="G20" s="494"/>
      <c r="H20" s="478"/>
      <c r="I20" s="406"/>
      <c r="J20" s="478"/>
      <c r="K20" s="406"/>
      <c r="L20" s="478"/>
      <c r="M20" s="494"/>
      <c r="N20" s="478"/>
      <c r="O20" s="406"/>
      <c r="P20" s="478"/>
      <c r="Q20" s="406"/>
      <c r="R20" s="478"/>
      <c r="S20" s="495"/>
    </row>
    <row r="21" spans="1:19" ht="14.4" customHeight="1" thickBot="1" x14ac:dyDescent="0.35">
      <c r="A21" s="483" t="s">
        <v>472</v>
      </c>
      <c r="B21" s="480"/>
      <c r="C21" s="412"/>
      <c r="D21" s="480"/>
      <c r="E21" s="412"/>
      <c r="F21" s="480">
        <v>518</v>
      </c>
      <c r="G21" s="426"/>
      <c r="H21" s="480"/>
      <c r="I21" s="412"/>
      <c r="J21" s="480"/>
      <c r="K21" s="412"/>
      <c r="L21" s="480"/>
      <c r="M21" s="426"/>
      <c r="N21" s="480"/>
      <c r="O21" s="412"/>
      <c r="P21" s="480"/>
      <c r="Q21" s="412"/>
      <c r="R21" s="480"/>
      <c r="S21" s="427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pageSetUpPr fitToPage="1"/>
  </sheetPr>
  <dimension ref="A1:Q50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x14ac:dyDescent="0.3"/>
  <cols>
    <col min="1" max="1" width="3" style="105" bestFit="1" customWidth="1"/>
    <col min="2" max="2" width="8.6640625" style="105" bestFit="1" customWidth="1"/>
    <col min="3" max="3" width="2.109375" style="105" bestFit="1" customWidth="1"/>
    <col min="4" max="4" width="8" style="105" bestFit="1" customWidth="1"/>
    <col min="5" max="5" width="52.88671875" style="105" bestFit="1" customWidth="1"/>
    <col min="6" max="7" width="11.109375" style="180" customWidth="1"/>
    <col min="8" max="9" width="9.33203125" style="180" hidden="1" customWidth="1"/>
    <col min="10" max="11" width="11.109375" style="180" customWidth="1"/>
    <col min="12" max="13" width="9.33203125" style="180" hidden="1" customWidth="1"/>
    <col min="14" max="15" width="11.109375" style="180" customWidth="1"/>
    <col min="16" max="16" width="11.109375" style="183" customWidth="1"/>
    <col min="17" max="17" width="11.109375" style="180" customWidth="1"/>
    <col min="18" max="16384" width="8.88671875" style="105"/>
  </cols>
  <sheetData>
    <row r="1" spans="1:17" ht="18.600000000000001" customHeight="1" thickBot="1" x14ac:dyDescent="0.4">
      <c r="A1" s="293" t="s">
        <v>491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  <c r="N1" s="293"/>
      <c r="O1" s="293"/>
      <c r="P1" s="293"/>
      <c r="Q1" s="293"/>
    </row>
    <row r="2" spans="1:17" ht="14.4" customHeight="1" thickBot="1" x14ac:dyDescent="0.35">
      <c r="A2" s="202" t="s">
        <v>247</v>
      </c>
      <c r="B2" s="106"/>
      <c r="C2" s="106"/>
      <c r="D2" s="106"/>
      <c r="E2" s="106"/>
      <c r="F2" s="196"/>
      <c r="G2" s="196"/>
      <c r="H2" s="196"/>
      <c r="I2" s="196"/>
      <c r="J2" s="196"/>
      <c r="K2" s="196"/>
      <c r="L2" s="196"/>
      <c r="M2" s="196"/>
      <c r="N2" s="196"/>
      <c r="O2" s="196"/>
      <c r="P2" s="197"/>
      <c r="Q2" s="196"/>
    </row>
    <row r="3" spans="1:17" ht="14.4" customHeight="1" thickBot="1" x14ac:dyDescent="0.35">
      <c r="E3" s="63" t="s">
        <v>112</v>
      </c>
      <c r="F3" s="77">
        <f t="shared" ref="F3:O3" si="0">SUBTOTAL(9,F6:F1048576)</f>
        <v>942</v>
      </c>
      <c r="G3" s="78">
        <f t="shared" si="0"/>
        <v>468935</v>
      </c>
      <c r="H3" s="78"/>
      <c r="I3" s="78"/>
      <c r="J3" s="78">
        <f t="shared" si="0"/>
        <v>1293</v>
      </c>
      <c r="K3" s="78">
        <f t="shared" si="0"/>
        <v>578445</v>
      </c>
      <c r="L3" s="78"/>
      <c r="M3" s="78"/>
      <c r="N3" s="78">
        <f t="shared" si="0"/>
        <v>1829</v>
      </c>
      <c r="O3" s="78">
        <f t="shared" si="0"/>
        <v>861069.65999999992</v>
      </c>
      <c r="P3" s="59">
        <f>IF(G3=0,0,O3/G3)</f>
        <v>1.8362239116295433</v>
      </c>
      <c r="Q3" s="79">
        <f>IF(N3=0,0,O3/N3)</f>
        <v>470.7871295790049</v>
      </c>
    </row>
    <row r="4" spans="1:17" ht="14.4" customHeight="1" x14ac:dyDescent="0.3">
      <c r="A4" s="350" t="s">
        <v>55</v>
      </c>
      <c r="B4" s="349" t="s">
        <v>81</v>
      </c>
      <c r="C4" s="350" t="s">
        <v>82</v>
      </c>
      <c r="D4" s="359" t="s">
        <v>83</v>
      </c>
      <c r="E4" s="351" t="s">
        <v>56</v>
      </c>
      <c r="F4" s="357">
        <v>2013</v>
      </c>
      <c r="G4" s="358"/>
      <c r="H4" s="80"/>
      <c r="I4" s="80"/>
      <c r="J4" s="357">
        <v>2014</v>
      </c>
      <c r="K4" s="358"/>
      <c r="L4" s="80"/>
      <c r="M4" s="80"/>
      <c r="N4" s="357">
        <v>2015</v>
      </c>
      <c r="O4" s="358"/>
      <c r="P4" s="360" t="s">
        <v>2</v>
      </c>
      <c r="Q4" s="348" t="s">
        <v>84</v>
      </c>
    </row>
    <row r="5" spans="1:17" ht="14.4" customHeight="1" thickBot="1" x14ac:dyDescent="0.35">
      <c r="A5" s="486"/>
      <c r="B5" s="484"/>
      <c r="C5" s="486"/>
      <c r="D5" s="496"/>
      <c r="E5" s="488"/>
      <c r="F5" s="497" t="s">
        <v>58</v>
      </c>
      <c r="G5" s="498" t="s">
        <v>14</v>
      </c>
      <c r="H5" s="499"/>
      <c r="I5" s="499"/>
      <c r="J5" s="497" t="s">
        <v>58</v>
      </c>
      <c r="K5" s="498" t="s">
        <v>14</v>
      </c>
      <c r="L5" s="499"/>
      <c r="M5" s="499"/>
      <c r="N5" s="497" t="s">
        <v>58</v>
      </c>
      <c r="O5" s="498" t="s">
        <v>14</v>
      </c>
      <c r="P5" s="500"/>
      <c r="Q5" s="493"/>
    </row>
    <row r="6" spans="1:17" ht="14.4" customHeight="1" x14ac:dyDescent="0.3">
      <c r="A6" s="399" t="s">
        <v>473</v>
      </c>
      <c r="B6" s="400" t="s">
        <v>436</v>
      </c>
      <c r="C6" s="400" t="s">
        <v>437</v>
      </c>
      <c r="D6" s="400" t="s">
        <v>442</v>
      </c>
      <c r="E6" s="400" t="s">
        <v>443</v>
      </c>
      <c r="F6" s="403">
        <v>7</v>
      </c>
      <c r="G6" s="403">
        <v>3584</v>
      </c>
      <c r="H6" s="403">
        <v>1</v>
      </c>
      <c r="I6" s="403">
        <v>512</v>
      </c>
      <c r="J6" s="403">
        <v>11</v>
      </c>
      <c r="K6" s="403">
        <v>5640</v>
      </c>
      <c r="L6" s="403">
        <v>1.5736607142857142</v>
      </c>
      <c r="M6" s="403">
        <v>512.72727272727275</v>
      </c>
      <c r="N6" s="403">
        <v>10</v>
      </c>
      <c r="O6" s="403">
        <v>5180</v>
      </c>
      <c r="P6" s="424">
        <v>1.4453125</v>
      </c>
      <c r="Q6" s="404">
        <v>518</v>
      </c>
    </row>
    <row r="7" spans="1:17" ht="14.4" customHeight="1" x14ac:dyDescent="0.3">
      <c r="A7" s="405" t="s">
        <v>473</v>
      </c>
      <c r="B7" s="406" t="s">
        <v>436</v>
      </c>
      <c r="C7" s="406" t="s">
        <v>437</v>
      </c>
      <c r="D7" s="406" t="s">
        <v>446</v>
      </c>
      <c r="E7" s="406" t="s">
        <v>447</v>
      </c>
      <c r="F7" s="409"/>
      <c r="G7" s="409"/>
      <c r="H7" s="409"/>
      <c r="I7" s="409"/>
      <c r="J7" s="409"/>
      <c r="K7" s="409"/>
      <c r="L7" s="409"/>
      <c r="M7" s="409"/>
      <c r="N7" s="409">
        <v>1</v>
      </c>
      <c r="O7" s="409">
        <v>0</v>
      </c>
      <c r="P7" s="494"/>
      <c r="Q7" s="410">
        <v>0</v>
      </c>
    </row>
    <row r="8" spans="1:17" ht="14.4" customHeight="1" x14ac:dyDescent="0.3">
      <c r="A8" s="405" t="s">
        <v>473</v>
      </c>
      <c r="B8" s="406" t="s">
        <v>436</v>
      </c>
      <c r="C8" s="406" t="s">
        <v>437</v>
      </c>
      <c r="D8" s="406" t="s">
        <v>450</v>
      </c>
      <c r="E8" s="406" t="s">
        <v>451</v>
      </c>
      <c r="F8" s="409">
        <v>1</v>
      </c>
      <c r="G8" s="409">
        <v>345</v>
      </c>
      <c r="H8" s="409">
        <v>1</v>
      </c>
      <c r="I8" s="409">
        <v>345</v>
      </c>
      <c r="J8" s="409">
        <v>1</v>
      </c>
      <c r="K8" s="409">
        <v>345</v>
      </c>
      <c r="L8" s="409">
        <v>1</v>
      </c>
      <c r="M8" s="409">
        <v>345</v>
      </c>
      <c r="N8" s="409">
        <v>1</v>
      </c>
      <c r="O8" s="409">
        <v>350</v>
      </c>
      <c r="P8" s="494">
        <v>1.0144927536231885</v>
      </c>
      <c r="Q8" s="410">
        <v>350</v>
      </c>
    </row>
    <row r="9" spans="1:17" ht="14.4" customHeight="1" x14ac:dyDescent="0.3">
      <c r="A9" s="405" t="s">
        <v>473</v>
      </c>
      <c r="B9" s="406" t="s">
        <v>436</v>
      </c>
      <c r="C9" s="406" t="s">
        <v>437</v>
      </c>
      <c r="D9" s="406" t="s">
        <v>454</v>
      </c>
      <c r="E9" s="406" t="s">
        <v>455</v>
      </c>
      <c r="F9" s="409"/>
      <c r="G9" s="409"/>
      <c r="H9" s="409"/>
      <c r="I9" s="409"/>
      <c r="J9" s="409">
        <v>1</v>
      </c>
      <c r="K9" s="409">
        <v>264</v>
      </c>
      <c r="L9" s="409"/>
      <c r="M9" s="409">
        <v>264</v>
      </c>
      <c r="N9" s="409"/>
      <c r="O9" s="409"/>
      <c r="P9" s="494"/>
      <c r="Q9" s="410"/>
    </row>
    <row r="10" spans="1:17" ht="14.4" customHeight="1" x14ac:dyDescent="0.3">
      <c r="A10" s="405" t="s">
        <v>474</v>
      </c>
      <c r="B10" s="406" t="s">
        <v>436</v>
      </c>
      <c r="C10" s="406" t="s">
        <v>437</v>
      </c>
      <c r="D10" s="406" t="s">
        <v>442</v>
      </c>
      <c r="E10" s="406" t="s">
        <v>443</v>
      </c>
      <c r="F10" s="409">
        <v>2</v>
      </c>
      <c r="G10" s="409">
        <v>1024</v>
      </c>
      <c r="H10" s="409">
        <v>1</v>
      </c>
      <c r="I10" s="409">
        <v>512</v>
      </c>
      <c r="J10" s="409"/>
      <c r="K10" s="409"/>
      <c r="L10" s="409"/>
      <c r="M10" s="409"/>
      <c r="N10" s="409"/>
      <c r="O10" s="409"/>
      <c r="P10" s="494"/>
      <c r="Q10" s="410"/>
    </row>
    <row r="11" spans="1:17" ht="14.4" customHeight="1" x14ac:dyDescent="0.3">
      <c r="A11" s="405" t="s">
        <v>474</v>
      </c>
      <c r="B11" s="406" t="s">
        <v>436</v>
      </c>
      <c r="C11" s="406" t="s">
        <v>437</v>
      </c>
      <c r="D11" s="406" t="s">
        <v>454</v>
      </c>
      <c r="E11" s="406" t="s">
        <v>455</v>
      </c>
      <c r="F11" s="409">
        <v>1</v>
      </c>
      <c r="G11" s="409">
        <v>261</v>
      </c>
      <c r="H11" s="409">
        <v>1</v>
      </c>
      <c r="I11" s="409">
        <v>261</v>
      </c>
      <c r="J11" s="409"/>
      <c r="K11" s="409"/>
      <c r="L11" s="409"/>
      <c r="M11" s="409"/>
      <c r="N11" s="409"/>
      <c r="O11" s="409"/>
      <c r="P11" s="494"/>
      <c r="Q11" s="410"/>
    </row>
    <row r="12" spans="1:17" ht="14.4" customHeight="1" x14ac:dyDescent="0.3">
      <c r="A12" s="405" t="s">
        <v>475</v>
      </c>
      <c r="B12" s="406" t="s">
        <v>436</v>
      </c>
      <c r="C12" s="406" t="s">
        <v>437</v>
      </c>
      <c r="D12" s="406" t="s">
        <v>442</v>
      </c>
      <c r="E12" s="406" t="s">
        <v>443</v>
      </c>
      <c r="F12" s="409"/>
      <c r="G12" s="409"/>
      <c r="H12" s="409"/>
      <c r="I12" s="409"/>
      <c r="J12" s="409">
        <v>2</v>
      </c>
      <c r="K12" s="409">
        <v>1032</v>
      </c>
      <c r="L12" s="409"/>
      <c r="M12" s="409">
        <v>516</v>
      </c>
      <c r="N12" s="409">
        <v>6</v>
      </c>
      <c r="O12" s="409">
        <v>3108</v>
      </c>
      <c r="P12" s="494"/>
      <c r="Q12" s="410">
        <v>518</v>
      </c>
    </row>
    <row r="13" spans="1:17" ht="14.4" customHeight="1" x14ac:dyDescent="0.3">
      <c r="A13" s="405" t="s">
        <v>476</v>
      </c>
      <c r="B13" s="406" t="s">
        <v>436</v>
      </c>
      <c r="C13" s="406" t="s">
        <v>437</v>
      </c>
      <c r="D13" s="406" t="s">
        <v>442</v>
      </c>
      <c r="E13" s="406" t="s">
        <v>443</v>
      </c>
      <c r="F13" s="409"/>
      <c r="G13" s="409"/>
      <c r="H13" s="409"/>
      <c r="I13" s="409"/>
      <c r="J13" s="409"/>
      <c r="K13" s="409"/>
      <c r="L13" s="409"/>
      <c r="M13" s="409"/>
      <c r="N13" s="409">
        <v>4</v>
      </c>
      <c r="O13" s="409">
        <v>2072</v>
      </c>
      <c r="P13" s="494"/>
      <c r="Q13" s="410">
        <v>518</v>
      </c>
    </row>
    <row r="14" spans="1:17" ht="14.4" customHeight="1" x14ac:dyDescent="0.3">
      <c r="A14" s="405" t="s">
        <v>476</v>
      </c>
      <c r="B14" s="406" t="s">
        <v>436</v>
      </c>
      <c r="C14" s="406" t="s">
        <v>437</v>
      </c>
      <c r="D14" s="406" t="s">
        <v>450</v>
      </c>
      <c r="E14" s="406" t="s">
        <v>451</v>
      </c>
      <c r="F14" s="409"/>
      <c r="G14" s="409"/>
      <c r="H14" s="409"/>
      <c r="I14" s="409"/>
      <c r="J14" s="409"/>
      <c r="K14" s="409"/>
      <c r="L14" s="409"/>
      <c r="M14" s="409"/>
      <c r="N14" s="409">
        <v>1</v>
      </c>
      <c r="O14" s="409">
        <v>350</v>
      </c>
      <c r="P14" s="494"/>
      <c r="Q14" s="410">
        <v>350</v>
      </c>
    </row>
    <row r="15" spans="1:17" ht="14.4" customHeight="1" x14ac:dyDescent="0.3">
      <c r="A15" s="405" t="s">
        <v>477</v>
      </c>
      <c r="B15" s="406" t="s">
        <v>436</v>
      </c>
      <c r="C15" s="406" t="s">
        <v>437</v>
      </c>
      <c r="D15" s="406" t="s">
        <v>478</v>
      </c>
      <c r="E15" s="406" t="s">
        <v>479</v>
      </c>
      <c r="F15" s="409">
        <v>1</v>
      </c>
      <c r="G15" s="409">
        <v>131</v>
      </c>
      <c r="H15" s="409">
        <v>1</v>
      </c>
      <c r="I15" s="409">
        <v>131</v>
      </c>
      <c r="J15" s="409"/>
      <c r="K15" s="409"/>
      <c r="L15" s="409"/>
      <c r="M15" s="409"/>
      <c r="N15" s="409"/>
      <c r="O15" s="409"/>
      <c r="P15" s="494"/>
      <c r="Q15" s="410"/>
    </row>
    <row r="16" spans="1:17" ht="14.4" customHeight="1" x14ac:dyDescent="0.3">
      <c r="A16" s="405" t="s">
        <v>477</v>
      </c>
      <c r="B16" s="406" t="s">
        <v>436</v>
      </c>
      <c r="C16" s="406" t="s">
        <v>437</v>
      </c>
      <c r="D16" s="406" t="s">
        <v>442</v>
      </c>
      <c r="E16" s="406" t="s">
        <v>443</v>
      </c>
      <c r="F16" s="409">
        <v>17</v>
      </c>
      <c r="G16" s="409">
        <v>8704</v>
      </c>
      <c r="H16" s="409">
        <v>1</v>
      </c>
      <c r="I16" s="409">
        <v>512</v>
      </c>
      <c r="J16" s="409">
        <v>10</v>
      </c>
      <c r="K16" s="409">
        <v>5160</v>
      </c>
      <c r="L16" s="409">
        <v>0.59283088235294112</v>
      </c>
      <c r="M16" s="409">
        <v>516</v>
      </c>
      <c r="N16" s="409">
        <v>11</v>
      </c>
      <c r="O16" s="409">
        <v>5698</v>
      </c>
      <c r="P16" s="494">
        <v>0.65464154411764708</v>
      </c>
      <c r="Q16" s="410">
        <v>518</v>
      </c>
    </row>
    <row r="17" spans="1:17" ht="14.4" customHeight="1" x14ac:dyDescent="0.3">
      <c r="A17" s="405" t="s">
        <v>477</v>
      </c>
      <c r="B17" s="406" t="s">
        <v>436</v>
      </c>
      <c r="C17" s="406" t="s">
        <v>437</v>
      </c>
      <c r="D17" s="406" t="s">
        <v>446</v>
      </c>
      <c r="E17" s="406" t="s">
        <v>447</v>
      </c>
      <c r="F17" s="409"/>
      <c r="G17" s="409"/>
      <c r="H17" s="409"/>
      <c r="I17" s="409"/>
      <c r="J17" s="409"/>
      <c r="K17" s="409"/>
      <c r="L17" s="409"/>
      <c r="M17" s="409"/>
      <c r="N17" s="409">
        <v>3</v>
      </c>
      <c r="O17" s="409">
        <v>100</v>
      </c>
      <c r="P17" s="494"/>
      <c r="Q17" s="410">
        <v>33.333333333333336</v>
      </c>
    </row>
    <row r="18" spans="1:17" ht="14.4" customHeight="1" x14ac:dyDescent="0.3">
      <c r="A18" s="405" t="s">
        <v>477</v>
      </c>
      <c r="B18" s="406" t="s">
        <v>436</v>
      </c>
      <c r="C18" s="406" t="s">
        <v>437</v>
      </c>
      <c r="D18" s="406" t="s">
        <v>450</v>
      </c>
      <c r="E18" s="406" t="s">
        <v>451</v>
      </c>
      <c r="F18" s="409">
        <v>1</v>
      </c>
      <c r="G18" s="409">
        <v>345</v>
      </c>
      <c r="H18" s="409">
        <v>1</v>
      </c>
      <c r="I18" s="409">
        <v>345</v>
      </c>
      <c r="J18" s="409">
        <v>7</v>
      </c>
      <c r="K18" s="409">
        <v>2436</v>
      </c>
      <c r="L18" s="409">
        <v>7.0608695652173914</v>
      </c>
      <c r="M18" s="409">
        <v>348</v>
      </c>
      <c r="N18" s="409">
        <v>3</v>
      </c>
      <c r="O18" s="409">
        <v>1050</v>
      </c>
      <c r="P18" s="494">
        <v>3.0434782608695654</v>
      </c>
      <c r="Q18" s="410">
        <v>350</v>
      </c>
    </row>
    <row r="19" spans="1:17" ht="14.4" customHeight="1" x14ac:dyDescent="0.3">
      <c r="A19" s="405" t="s">
        <v>480</v>
      </c>
      <c r="B19" s="406" t="s">
        <v>436</v>
      </c>
      <c r="C19" s="406" t="s">
        <v>437</v>
      </c>
      <c r="D19" s="406" t="s">
        <v>446</v>
      </c>
      <c r="E19" s="406" t="s">
        <v>447</v>
      </c>
      <c r="F19" s="409"/>
      <c r="G19" s="409"/>
      <c r="H19" s="409"/>
      <c r="I19" s="409"/>
      <c r="J19" s="409"/>
      <c r="K19" s="409"/>
      <c r="L19" s="409"/>
      <c r="M19" s="409"/>
      <c r="N19" s="409">
        <v>0</v>
      </c>
      <c r="O19" s="409">
        <v>0</v>
      </c>
      <c r="P19" s="494"/>
      <c r="Q19" s="410"/>
    </row>
    <row r="20" spans="1:17" ht="14.4" customHeight="1" x14ac:dyDescent="0.3">
      <c r="A20" s="405" t="s">
        <v>480</v>
      </c>
      <c r="B20" s="406" t="s">
        <v>436</v>
      </c>
      <c r="C20" s="406" t="s">
        <v>437</v>
      </c>
      <c r="D20" s="406" t="s">
        <v>450</v>
      </c>
      <c r="E20" s="406" t="s">
        <v>451</v>
      </c>
      <c r="F20" s="409"/>
      <c r="G20" s="409"/>
      <c r="H20" s="409"/>
      <c r="I20" s="409"/>
      <c r="J20" s="409"/>
      <c r="K20" s="409"/>
      <c r="L20" s="409"/>
      <c r="M20" s="409"/>
      <c r="N20" s="409">
        <v>1</v>
      </c>
      <c r="O20" s="409">
        <v>350</v>
      </c>
      <c r="P20" s="494"/>
      <c r="Q20" s="410">
        <v>350</v>
      </c>
    </row>
    <row r="21" spans="1:17" ht="14.4" customHeight="1" x14ac:dyDescent="0.3">
      <c r="A21" s="405" t="s">
        <v>481</v>
      </c>
      <c r="B21" s="406" t="s">
        <v>436</v>
      </c>
      <c r="C21" s="406" t="s">
        <v>437</v>
      </c>
      <c r="D21" s="406" t="s">
        <v>442</v>
      </c>
      <c r="E21" s="406" t="s">
        <v>443</v>
      </c>
      <c r="F21" s="409"/>
      <c r="G21" s="409"/>
      <c r="H21" s="409"/>
      <c r="I21" s="409"/>
      <c r="J21" s="409"/>
      <c r="K21" s="409"/>
      <c r="L21" s="409"/>
      <c r="M21" s="409"/>
      <c r="N21" s="409">
        <v>8</v>
      </c>
      <c r="O21" s="409">
        <v>4144</v>
      </c>
      <c r="P21" s="494"/>
      <c r="Q21" s="410">
        <v>518</v>
      </c>
    </row>
    <row r="22" spans="1:17" ht="14.4" customHeight="1" x14ac:dyDescent="0.3">
      <c r="A22" s="405" t="s">
        <v>481</v>
      </c>
      <c r="B22" s="406" t="s">
        <v>436</v>
      </c>
      <c r="C22" s="406" t="s">
        <v>437</v>
      </c>
      <c r="D22" s="406" t="s">
        <v>446</v>
      </c>
      <c r="E22" s="406" t="s">
        <v>447</v>
      </c>
      <c r="F22" s="409"/>
      <c r="G22" s="409"/>
      <c r="H22" s="409"/>
      <c r="I22" s="409"/>
      <c r="J22" s="409"/>
      <c r="K22" s="409"/>
      <c r="L22" s="409"/>
      <c r="M22" s="409"/>
      <c r="N22" s="409">
        <v>1</v>
      </c>
      <c r="O22" s="409">
        <v>0</v>
      </c>
      <c r="P22" s="494"/>
      <c r="Q22" s="410">
        <v>0</v>
      </c>
    </row>
    <row r="23" spans="1:17" ht="14.4" customHeight="1" x14ac:dyDescent="0.3">
      <c r="A23" s="405" t="s">
        <v>481</v>
      </c>
      <c r="B23" s="406" t="s">
        <v>436</v>
      </c>
      <c r="C23" s="406" t="s">
        <v>437</v>
      </c>
      <c r="D23" s="406" t="s">
        <v>450</v>
      </c>
      <c r="E23" s="406" t="s">
        <v>451</v>
      </c>
      <c r="F23" s="409"/>
      <c r="G23" s="409"/>
      <c r="H23" s="409"/>
      <c r="I23" s="409"/>
      <c r="J23" s="409"/>
      <c r="K23" s="409"/>
      <c r="L23" s="409"/>
      <c r="M23" s="409"/>
      <c r="N23" s="409">
        <v>1</v>
      </c>
      <c r="O23" s="409">
        <v>350</v>
      </c>
      <c r="P23" s="494"/>
      <c r="Q23" s="410">
        <v>350</v>
      </c>
    </row>
    <row r="24" spans="1:17" ht="14.4" customHeight="1" x14ac:dyDescent="0.3">
      <c r="A24" s="405" t="s">
        <v>482</v>
      </c>
      <c r="B24" s="406" t="s">
        <v>436</v>
      </c>
      <c r="C24" s="406" t="s">
        <v>437</v>
      </c>
      <c r="D24" s="406" t="s">
        <v>442</v>
      </c>
      <c r="E24" s="406" t="s">
        <v>443</v>
      </c>
      <c r="F24" s="409">
        <v>11</v>
      </c>
      <c r="G24" s="409">
        <v>5632</v>
      </c>
      <c r="H24" s="409">
        <v>1</v>
      </c>
      <c r="I24" s="409">
        <v>512</v>
      </c>
      <c r="J24" s="409"/>
      <c r="K24" s="409"/>
      <c r="L24" s="409"/>
      <c r="M24" s="409"/>
      <c r="N24" s="409"/>
      <c r="O24" s="409"/>
      <c r="P24" s="494"/>
      <c r="Q24" s="410"/>
    </row>
    <row r="25" spans="1:17" ht="14.4" customHeight="1" x14ac:dyDescent="0.3">
      <c r="A25" s="405" t="s">
        <v>482</v>
      </c>
      <c r="B25" s="406" t="s">
        <v>436</v>
      </c>
      <c r="C25" s="406" t="s">
        <v>437</v>
      </c>
      <c r="D25" s="406" t="s">
        <v>452</v>
      </c>
      <c r="E25" s="406" t="s">
        <v>453</v>
      </c>
      <c r="F25" s="409">
        <v>1</v>
      </c>
      <c r="G25" s="409">
        <v>396</v>
      </c>
      <c r="H25" s="409">
        <v>1</v>
      </c>
      <c r="I25" s="409">
        <v>396</v>
      </c>
      <c r="J25" s="409"/>
      <c r="K25" s="409"/>
      <c r="L25" s="409"/>
      <c r="M25" s="409"/>
      <c r="N25" s="409"/>
      <c r="O25" s="409"/>
      <c r="P25" s="494"/>
      <c r="Q25" s="410"/>
    </row>
    <row r="26" spans="1:17" ht="14.4" customHeight="1" x14ac:dyDescent="0.3">
      <c r="A26" s="405" t="s">
        <v>483</v>
      </c>
      <c r="B26" s="406" t="s">
        <v>436</v>
      </c>
      <c r="C26" s="406" t="s">
        <v>437</v>
      </c>
      <c r="D26" s="406" t="s">
        <v>442</v>
      </c>
      <c r="E26" s="406" t="s">
        <v>443</v>
      </c>
      <c r="F26" s="409">
        <v>2</v>
      </c>
      <c r="G26" s="409">
        <v>1024</v>
      </c>
      <c r="H26" s="409">
        <v>1</v>
      </c>
      <c r="I26" s="409">
        <v>512</v>
      </c>
      <c r="J26" s="409"/>
      <c r="K26" s="409"/>
      <c r="L26" s="409"/>
      <c r="M26" s="409"/>
      <c r="N26" s="409"/>
      <c r="O26" s="409"/>
      <c r="P26" s="494"/>
      <c r="Q26" s="410"/>
    </row>
    <row r="27" spans="1:17" ht="14.4" customHeight="1" x14ac:dyDescent="0.3">
      <c r="A27" s="405" t="s">
        <v>484</v>
      </c>
      <c r="B27" s="406" t="s">
        <v>436</v>
      </c>
      <c r="C27" s="406" t="s">
        <v>437</v>
      </c>
      <c r="D27" s="406" t="s">
        <v>442</v>
      </c>
      <c r="E27" s="406" t="s">
        <v>443</v>
      </c>
      <c r="F27" s="409">
        <v>317</v>
      </c>
      <c r="G27" s="409">
        <v>162304</v>
      </c>
      <c r="H27" s="409">
        <v>1</v>
      </c>
      <c r="I27" s="409">
        <v>512</v>
      </c>
      <c r="J27" s="409">
        <v>506</v>
      </c>
      <c r="K27" s="409">
        <v>215188</v>
      </c>
      <c r="L27" s="409">
        <v>1.3258330047318612</v>
      </c>
      <c r="M27" s="409">
        <v>425.27272727272725</v>
      </c>
      <c r="N27" s="409">
        <v>745</v>
      </c>
      <c r="O27" s="409">
        <v>385910</v>
      </c>
      <c r="P27" s="494">
        <v>2.3776986395899056</v>
      </c>
      <c r="Q27" s="410">
        <v>518</v>
      </c>
    </row>
    <row r="28" spans="1:17" ht="14.4" customHeight="1" x14ac:dyDescent="0.3">
      <c r="A28" s="405" t="s">
        <v>484</v>
      </c>
      <c r="B28" s="406" t="s">
        <v>436</v>
      </c>
      <c r="C28" s="406" t="s">
        <v>437</v>
      </c>
      <c r="D28" s="406" t="s">
        <v>446</v>
      </c>
      <c r="E28" s="406" t="s">
        <v>447</v>
      </c>
      <c r="F28" s="409"/>
      <c r="G28" s="409"/>
      <c r="H28" s="409"/>
      <c r="I28" s="409"/>
      <c r="J28" s="409"/>
      <c r="K28" s="409"/>
      <c r="L28" s="409"/>
      <c r="M28" s="409"/>
      <c r="N28" s="409">
        <v>86</v>
      </c>
      <c r="O28" s="409">
        <v>1800</v>
      </c>
      <c r="P28" s="494"/>
      <c r="Q28" s="410">
        <v>20.930232558139537</v>
      </c>
    </row>
    <row r="29" spans="1:17" ht="14.4" customHeight="1" x14ac:dyDescent="0.3">
      <c r="A29" s="405" t="s">
        <v>484</v>
      </c>
      <c r="B29" s="406" t="s">
        <v>436</v>
      </c>
      <c r="C29" s="406" t="s">
        <v>437</v>
      </c>
      <c r="D29" s="406" t="s">
        <v>450</v>
      </c>
      <c r="E29" s="406" t="s">
        <v>451</v>
      </c>
      <c r="F29" s="409">
        <v>33</v>
      </c>
      <c r="G29" s="409">
        <v>11385</v>
      </c>
      <c r="H29" s="409">
        <v>1</v>
      </c>
      <c r="I29" s="409">
        <v>345</v>
      </c>
      <c r="J29" s="409">
        <v>81</v>
      </c>
      <c r="K29" s="409">
        <v>22566</v>
      </c>
      <c r="L29" s="409">
        <v>1.9820816864295125</v>
      </c>
      <c r="M29" s="409">
        <v>278.59259259259261</v>
      </c>
      <c r="N29" s="409">
        <v>127</v>
      </c>
      <c r="O29" s="409">
        <v>44450</v>
      </c>
      <c r="P29" s="494">
        <v>3.904259991216513</v>
      </c>
      <c r="Q29" s="410">
        <v>350</v>
      </c>
    </row>
    <row r="30" spans="1:17" ht="14.4" customHeight="1" x14ac:dyDescent="0.3">
      <c r="A30" s="405" t="s">
        <v>484</v>
      </c>
      <c r="B30" s="406" t="s">
        <v>436</v>
      </c>
      <c r="C30" s="406" t="s">
        <v>437</v>
      </c>
      <c r="D30" s="406" t="s">
        <v>454</v>
      </c>
      <c r="E30" s="406" t="s">
        <v>455</v>
      </c>
      <c r="F30" s="409">
        <v>20</v>
      </c>
      <c r="G30" s="409">
        <v>5220</v>
      </c>
      <c r="H30" s="409">
        <v>1</v>
      </c>
      <c r="I30" s="409">
        <v>261</v>
      </c>
      <c r="J30" s="409">
        <v>33</v>
      </c>
      <c r="K30" s="409">
        <v>6591</v>
      </c>
      <c r="L30" s="409">
        <v>1.2626436781609196</v>
      </c>
      <c r="M30" s="409">
        <v>199.72727272727272</v>
      </c>
      <c r="N30" s="409">
        <v>16</v>
      </c>
      <c r="O30" s="409">
        <v>4240</v>
      </c>
      <c r="P30" s="494">
        <v>0.8122605363984674</v>
      </c>
      <c r="Q30" s="410">
        <v>265</v>
      </c>
    </row>
    <row r="31" spans="1:17" ht="14.4" customHeight="1" x14ac:dyDescent="0.3">
      <c r="A31" s="405" t="s">
        <v>485</v>
      </c>
      <c r="B31" s="406" t="s">
        <v>436</v>
      </c>
      <c r="C31" s="406" t="s">
        <v>437</v>
      </c>
      <c r="D31" s="406" t="s">
        <v>442</v>
      </c>
      <c r="E31" s="406" t="s">
        <v>443</v>
      </c>
      <c r="F31" s="409"/>
      <c r="G31" s="409"/>
      <c r="H31" s="409"/>
      <c r="I31" s="409"/>
      <c r="J31" s="409">
        <v>10</v>
      </c>
      <c r="K31" s="409">
        <v>5128</v>
      </c>
      <c r="L31" s="409"/>
      <c r="M31" s="409">
        <v>512.79999999999995</v>
      </c>
      <c r="N31" s="409">
        <v>5</v>
      </c>
      <c r="O31" s="409">
        <v>2590</v>
      </c>
      <c r="P31" s="494"/>
      <c r="Q31" s="410">
        <v>518</v>
      </c>
    </row>
    <row r="32" spans="1:17" ht="14.4" customHeight="1" x14ac:dyDescent="0.3">
      <c r="A32" s="405" t="s">
        <v>485</v>
      </c>
      <c r="B32" s="406" t="s">
        <v>436</v>
      </c>
      <c r="C32" s="406" t="s">
        <v>437</v>
      </c>
      <c r="D32" s="406" t="s">
        <v>446</v>
      </c>
      <c r="E32" s="406" t="s">
        <v>447</v>
      </c>
      <c r="F32" s="409"/>
      <c r="G32" s="409"/>
      <c r="H32" s="409"/>
      <c r="I32" s="409"/>
      <c r="J32" s="409"/>
      <c r="K32" s="409"/>
      <c r="L32" s="409"/>
      <c r="M32" s="409"/>
      <c r="N32" s="409">
        <v>2</v>
      </c>
      <c r="O32" s="409">
        <v>0</v>
      </c>
      <c r="P32" s="494"/>
      <c r="Q32" s="410">
        <v>0</v>
      </c>
    </row>
    <row r="33" spans="1:17" ht="14.4" customHeight="1" x14ac:dyDescent="0.3">
      <c r="A33" s="405" t="s">
        <v>485</v>
      </c>
      <c r="B33" s="406" t="s">
        <v>436</v>
      </c>
      <c r="C33" s="406" t="s">
        <v>437</v>
      </c>
      <c r="D33" s="406" t="s">
        <v>450</v>
      </c>
      <c r="E33" s="406" t="s">
        <v>451</v>
      </c>
      <c r="F33" s="409"/>
      <c r="G33" s="409"/>
      <c r="H33" s="409"/>
      <c r="I33" s="409"/>
      <c r="J33" s="409"/>
      <c r="K33" s="409"/>
      <c r="L33" s="409"/>
      <c r="M33" s="409"/>
      <c r="N33" s="409">
        <v>1</v>
      </c>
      <c r="O33" s="409">
        <v>350</v>
      </c>
      <c r="P33" s="494"/>
      <c r="Q33" s="410">
        <v>350</v>
      </c>
    </row>
    <row r="34" spans="1:17" ht="14.4" customHeight="1" x14ac:dyDescent="0.3">
      <c r="A34" s="405" t="s">
        <v>485</v>
      </c>
      <c r="B34" s="406" t="s">
        <v>436</v>
      </c>
      <c r="C34" s="406" t="s">
        <v>437</v>
      </c>
      <c r="D34" s="406" t="s">
        <v>454</v>
      </c>
      <c r="E34" s="406" t="s">
        <v>455</v>
      </c>
      <c r="F34" s="409"/>
      <c r="G34" s="409"/>
      <c r="H34" s="409"/>
      <c r="I34" s="409"/>
      <c r="J34" s="409">
        <v>1</v>
      </c>
      <c r="K34" s="409">
        <v>261</v>
      </c>
      <c r="L34" s="409"/>
      <c r="M34" s="409">
        <v>261</v>
      </c>
      <c r="N34" s="409">
        <v>1</v>
      </c>
      <c r="O34" s="409">
        <v>265</v>
      </c>
      <c r="P34" s="494"/>
      <c r="Q34" s="410">
        <v>265</v>
      </c>
    </row>
    <row r="35" spans="1:17" ht="14.4" customHeight="1" x14ac:dyDescent="0.3">
      <c r="A35" s="405" t="s">
        <v>486</v>
      </c>
      <c r="B35" s="406" t="s">
        <v>436</v>
      </c>
      <c r="C35" s="406" t="s">
        <v>437</v>
      </c>
      <c r="D35" s="406" t="s">
        <v>478</v>
      </c>
      <c r="E35" s="406" t="s">
        <v>479</v>
      </c>
      <c r="F35" s="409"/>
      <c r="G35" s="409"/>
      <c r="H35" s="409"/>
      <c r="I35" s="409"/>
      <c r="J35" s="409">
        <v>2</v>
      </c>
      <c r="K35" s="409">
        <v>263</v>
      </c>
      <c r="L35" s="409"/>
      <c r="M35" s="409">
        <v>131.5</v>
      </c>
      <c r="N35" s="409">
        <v>4</v>
      </c>
      <c r="O35" s="409">
        <v>532</v>
      </c>
      <c r="P35" s="494"/>
      <c r="Q35" s="410">
        <v>133</v>
      </c>
    </row>
    <row r="36" spans="1:17" ht="14.4" customHeight="1" x14ac:dyDescent="0.3">
      <c r="A36" s="405" t="s">
        <v>486</v>
      </c>
      <c r="B36" s="406" t="s">
        <v>436</v>
      </c>
      <c r="C36" s="406" t="s">
        <v>437</v>
      </c>
      <c r="D36" s="406" t="s">
        <v>442</v>
      </c>
      <c r="E36" s="406" t="s">
        <v>443</v>
      </c>
      <c r="F36" s="409">
        <v>187</v>
      </c>
      <c r="G36" s="409">
        <v>95744</v>
      </c>
      <c r="H36" s="409">
        <v>1</v>
      </c>
      <c r="I36" s="409">
        <v>512</v>
      </c>
      <c r="J36" s="409">
        <v>286</v>
      </c>
      <c r="K36" s="409">
        <v>147304</v>
      </c>
      <c r="L36" s="409">
        <v>1.538519385026738</v>
      </c>
      <c r="M36" s="409">
        <v>515.04895104895104</v>
      </c>
      <c r="N36" s="409">
        <v>413</v>
      </c>
      <c r="O36" s="409">
        <v>213934</v>
      </c>
      <c r="P36" s="494">
        <v>2.2344376671122994</v>
      </c>
      <c r="Q36" s="410">
        <v>518</v>
      </c>
    </row>
    <row r="37" spans="1:17" ht="14.4" customHeight="1" x14ac:dyDescent="0.3">
      <c r="A37" s="405" t="s">
        <v>486</v>
      </c>
      <c r="B37" s="406" t="s">
        <v>436</v>
      </c>
      <c r="C37" s="406" t="s">
        <v>437</v>
      </c>
      <c r="D37" s="406" t="s">
        <v>446</v>
      </c>
      <c r="E37" s="406" t="s">
        <v>447</v>
      </c>
      <c r="F37" s="409"/>
      <c r="G37" s="409"/>
      <c r="H37" s="409"/>
      <c r="I37" s="409"/>
      <c r="J37" s="409"/>
      <c r="K37" s="409"/>
      <c r="L37" s="409"/>
      <c r="M37" s="409"/>
      <c r="N37" s="409">
        <v>4</v>
      </c>
      <c r="O37" s="409">
        <v>100</v>
      </c>
      <c r="P37" s="494"/>
      <c r="Q37" s="410">
        <v>25</v>
      </c>
    </row>
    <row r="38" spans="1:17" ht="14.4" customHeight="1" x14ac:dyDescent="0.3">
      <c r="A38" s="405" t="s">
        <v>486</v>
      </c>
      <c r="B38" s="406" t="s">
        <v>436</v>
      </c>
      <c r="C38" s="406" t="s">
        <v>437</v>
      </c>
      <c r="D38" s="406" t="s">
        <v>450</v>
      </c>
      <c r="E38" s="406" t="s">
        <v>451</v>
      </c>
      <c r="F38" s="409">
        <v>1</v>
      </c>
      <c r="G38" s="409">
        <v>345</v>
      </c>
      <c r="H38" s="409">
        <v>1</v>
      </c>
      <c r="I38" s="409">
        <v>345</v>
      </c>
      <c r="J38" s="409">
        <v>4</v>
      </c>
      <c r="K38" s="409">
        <v>1392</v>
      </c>
      <c r="L38" s="409">
        <v>4.034782608695652</v>
      </c>
      <c r="M38" s="409">
        <v>348</v>
      </c>
      <c r="N38" s="409">
        <v>5</v>
      </c>
      <c r="O38" s="409">
        <v>1750</v>
      </c>
      <c r="P38" s="494">
        <v>5.0724637681159424</v>
      </c>
      <c r="Q38" s="410">
        <v>350</v>
      </c>
    </row>
    <row r="39" spans="1:17" ht="14.4" customHeight="1" x14ac:dyDescent="0.3">
      <c r="A39" s="405" t="s">
        <v>486</v>
      </c>
      <c r="B39" s="406" t="s">
        <v>436</v>
      </c>
      <c r="C39" s="406" t="s">
        <v>437</v>
      </c>
      <c r="D39" s="406" t="s">
        <v>454</v>
      </c>
      <c r="E39" s="406" t="s">
        <v>455</v>
      </c>
      <c r="F39" s="409">
        <v>1</v>
      </c>
      <c r="G39" s="409">
        <v>261</v>
      </c>
      <c r="H39" s="409">
        <v>1</v>
      </c>
      <c r="I39" s="409">
        <v>261</v>
      </c>
      <c r="J39" s="409">
        <v>4</v>
      </c>
      <c r="K39" s="409">
        <v>1056</v>
      </c>
      <c r="L39" s="409">
        <v>4.0459770114942533</v>
      </c>
      <c r="M39" s="409">
        <v>264</v>
      </c>
      <c r="N39" s="409">
        <v>4</v>
      </c>
      <c r="O39" s="409">
        <v>1060</v>
      </c>
      <c r="P39" s="494">
        <v>4.0613026819923368</v>
      </c>
      <c r="Q39" s="410">
        <v>265</v>
      </c>
    </row>
    <row r="40" spans="1:17" ht="14.4" customHeight="1" x14ac:dyDescent="0.3">
      <c r="A40" s="405" t="s">
        <v>487</v>
      </c>
      <c r="B40" s="406" t="s">
        <v>436</v>
      </c>
      <c r="C40" s="406" t="s">
        <v>437</v>
      </c>
      <c r="D40" s="406" t="s">
        <v>478</v>
      </c>
      <c r="E40" s="406" t="s">
        <v>479</v>
      </c>
      <c r="F40" s="409"/>
      <c r="G40" s="409"/>
      <c r="H40" s="409"/>
      <c r="I40" s="409"/>
      <c r="J40" s="409"/>
      <c r="K40" s="409"/>
      <c r="L40" s="409"/>
      <c r="M40" s="409"/>
      <c r="N40" s="409">
        <v>2</v>
      </c>
      <c r="O40" s="409">
        <v>266</v>
      </c>
      <c r="P40" s="494"/>
      <c r="Q40" s="410">
        <v>133</v>
      </c>
    </row>
    <row r="41" spans="1:17" ht="14.4" customHeight="1" x14ac:dyDescent="0.3">
      <c r="A41" s="405" t="s">
        <v>487</v>
      </c>
      <c r="B41" s="406" t="s">
        <v>436</v>
      </c>
      <c r="C41" s="406" t="s">
        <v>437</v>
      </c>
      <c r="D41" s="406" t="s">
        <v>442</v>
      </c>
      <c r="E41" s="406" t="s">
        <v>443</v>
      </c>
      <c r="F41" s="409">
        <v>333</v>
      </c>
      <c r="G41" s="409">
        <v>170496</v>
      </c>
      <c r="H41" s="409">
        <v>1</v>
      </c>
      <c r="I41" s="409">
        <v>512</v>
      </c>
      <c r="J41" s="409">
        <v>304</v>
      </c>
      <c r="K41" s="409">
        <v>150184</v>
      </c>
      <c r="L41" s="409">
        <v>0.88086524024024027</v>
      </c>
      <c r="M41" s="409">
        <v>494.0263157894737</v>
      </c>
      <c r="N41" s="409">
        <v>333</v>
      </c>
      <c r="O41" s="409">
        <v>172494</v>
      </c>
      <c r="P41" s="494">
        <v>1.01171875</v>
      </c>
      <c r="Q41" s="410">
        <v>518</v>
      </c>
    </row>
    <row r="42" spans="1:17" ht="14.4" customHeight="1" x14ac:dyDescent="0.3">
      <c r="A42" s="405" t="s">
        <v>487</v>
      </c>
      <c r="B42" s="406" t="s">
        <v>436</v>
      </c>
      <c r="C42" s="406" t="s">
        <v>437</v>
      </c>
      <c r="D42" s="406" t="s">
        <v>446</v>
      </c>
      <c r="E42" s="406" t="s">
        <v>447</v>
      </c>
      <c r="F42" s="409"/>
      <c r="G42" s="409"/>
      <c r="H42" s="409"/>
      <c r="I42" s="409"/>
      <c r="J42" s="409"/>
      <c r="K42" s="409"/>
      <c r="L42" s="409"/>
      <c r="M42" s="409"/>
      <c r="N42" s="409">
        <v>9</v>
      </c>
      <c r="O42" s="409">
        <v>33.33</v>
      </c>
      <c r="P42" s="494"/>
      <c r="Q42" s="410">
        <v>3.7033333333333331</v>
      </c>
    </row>
    <row r="43" spans="1:17" ht="14.4" customHeight="1" x14ac:dyDescent="0.3">
      <c r="A43" s="405" t="s">
        <v>487</v>
      </c>
      <c r="B43" s="406" t="s">
        <v>436</v>
      </c>
      <c r="C43" s="406" t="s">
        <v>437</v>
      </c>
      <c r="D43" s="406" t="s">
        <v>450</v>
      </c>
      <c r="E43" s="406" t="s">
        <v>451</v>
      </c>
      <c r="F43" s="409">
        <v>2</v>
      </c>
      <c r="G43" s="409">
        <v>690</v>
      </c>
      <c r="H43" s="409">
        <v>1</v>
      </c>
      <c r="I43" s="409">
        <v>345</v>
      </c>
      <c r="J43" s="409">
        <v>5</v>
      </c>
      <c r="K43" s="409">
        <v>1737</v>
      </c>
      <c r="L43" s="409">
        <v>2.517391304347826</v>
      </c>
      <c r="M43" s="409">
        <v>347.4</v>
      </c>
      <c r="N43" s="409">
        <v>6</v>
      </c>
      <c r="O43" s="409">
        <v>2100</v>
      </c>
      <c r="P43" s="494">
        <v>3.0434782608695654</v>
      </c>
      <c r="Q43" s="410">
        <v>350</v>
      </c>
    </row>
    <row r="44" spans="1:17" ht="14.4" customHeight="1" x14ac:dyDescent="0.3">
      <c r="A44" s="405" t="s">
        <v>487</v>
      </c>
      <c r="B44" s="406" t="s">
        <v>436</v>
      </c>
      <c r="C44" s="406" t="s">
        <v>437</v>
      </c>
      <c r="D44" s="406" t="s">
        <v>454</v>
      </c>
      <c r="E44" s="406" t="s">
        <v>455</v>
      </c>
      <c r="F44" s="409">
        <v>4</v>
      </c>
      <c r="G44" s="409">
        <v>1044</v>
      </c>
      <c r="H44" s="409">
        <v>1</v>
      </c>
      <c r="I44" s="409">
        <v>261</v>
      </c>
      <c r="J44" s="409">
        <v>3</v>
      </c>
      <c r="K44" s="409">
        <v>789</v>
      </c>
      <c r="L44" s="409">
        <v>0.75574712643678166</v>
      </c>
      <c r="M44" s="409">
        <v>263</v>
      </c>
      <c r="N44" s="409">
        <v>2</v>
      </c>
      <c r="O44" s="409">
        <v>530</v>
      </c>
      <c r="P44" s="494">
        <v>0.5076628352490421</v>
      </c>
      <c r="Q44" s="410">
        <v>265</v>
      </c>
    </row>
    <row r="45" spans="1:17" ht="14.4" customHeight="1" x14ac:dyDescent="0.3">
      <c r="A45" s="405" t="s">
        <v>488</v>
      </c>
      <c r="B45" s="406" t="s">
        <v>436</v>
      </c>
      <c r="C45" s="406" t="s">
        <v>437</v>
      </c>
      <c r="D45" s="406" t="s">
        <v>442</v>
      </c>
      <c r="E45" s="406" t="s">
        <v>443</v>
      </c>
      <c r="F45" s="409"/>
      <c r="G45" s="409"/>
      <c r="H45" s="409"/>
      <c r="I45" s="409"/>
      <c r="J45" s="409">
        <v>21</v>
      </c>
      <c r="K45" s="409">
        <v>10764</v>
      </c>
      <c r="L45" s="409"/>
      <c r="M45" s="409">
        <v>512.57142857142856</v>
      </c>
      <c r="N45" s="409"/>
      <c r="O45" s="409"/>
      <c r="P45" s="494"/>
      <c r="Q45" s="410"/>
    </row>
    <row r="46" spans="1:17" ht="14.4" customHeight="1" x14ac:dyDescent="0.3">
      <c r="A46" s="405" t="s">
        <v>488</v>
      </c>
      <c r="B46" s="406" t="s">
        <v>436</v>
      </c>
      <c r="C46" s="406" t="s">
        <v>437</v>
      </c>
      <c r="D46" s="406" t="s">
        <v>450</v>
      </c>
      <c r="E46" s="406" t="s">
        <v>451</v>
      </c>
      <c r="F46" s="409"/>
      <c r="G46" s="409"/>
      <c r="H46" s="409"/>
      <c r="I46" s="409"/>
      <c r="J46" s="409">
        <v>1</v>
      </c>
      <c r="K46" s="409">
        <v>345</v>
      </c>
      <c r="L46" s="409"/>
      <c r="M46" s="409">
        <v>345</v>
      </c>
      <c r="N46" s="409"/>
      <c r="O46" s="409"/>
      <c r="P46" s="494"/>
      <c r="Q46" s="410"/>
    </row>
    <row r="47" spans="1:17" ht="14.4" customHeight="1" x14ac:dyDescent="0.3">
      <c r="A47" s="405" t="s">
        <v>489</v>
      </c>
      <c r="B47" s="406" t="s">
        <v>436</v>
      </c>
      <c r="C47" s="406" t="s">
        <v>437</v>
      </c>
      <c r="D47" s="406" t="s">
        <v>442</v>
      </c>
      <c r="E47" s="406" t="s">
        <v>443</v>
      </c>
      <c r="F47" s="409"/>
      <c r="G47" s="409"/>
      <c r="H47" s="409"/>
      <c r="I47" s="409"/>
      <c r="J47" s="409"/>
      <c r="K47" s="409"/>
      <c r="L47" s="409"/>
      <c r="M47" s="409"/>
      <c r="N47" s="409">
        <v>9</v>
      </c>
      <c r="O47" s="409">
        <v>4662</v>
      </c>
      <c r="P47" s="494"/>
      <c r="Q47" s="410">
        <v>518</v>
      </c>
    </row>
    <row r="48" spans="1:17" ht="14.4" customHeight="1" x14ac:dyDescent="0.3">
      <c r="A48" s="405" t="s">
        <v>489</v>
      </c>
      <c r="B48" s="406" t="s">
        <v>436</v>
      </c>
      <c r="C48" s="406" t="s">
        <v>437</v>
      </c>
      <c r="D48" s="406" t="s">
        <v>446</v>
      </c>
      <c r="E48" s="406" t="s">
        <v>447</v>
      </c>
      <c r="F48" s="409"/>
      <c r="G48" s="409"/>
      <c r="H48" s="409"/>
      <c r="I48" s="409"/>
      <c r="J48" s="409"/>
      <c r="K48" s="409"/>
      <c r="L48" s="409"/>
      <c r="M48" s="409"/>
      <c r="N48" s="409">
        <v>1</v>
      </c>
      <c r="O48" s="409">
        <v>33.33</v>
      </c>
      <c r="P48" s="494"/>
      <c r="Q48" s="410">
        <v>33.33</v>
      </c>
    </row>
    <row r="49" spans="1:17" ht="14.4" customHeight="1" x14ac:dyDescent="0.3">
      <c r="A49" s="405" t="s">
        <v>489</v>
      </c>
      <c r="B49" s="406" t="s">
        <v>436</v>
      </c>
      <c r="C49" s="406" t="s">
        <v>437</v>
      </c>
      <c r="D49" s="406" t="s">
        <v>450</v>
      </c>
      <c r="E49" s="406" t="s">
        <v>451</v>
      </c>
      <c r="F49" s="409"/>
      <c r="G49" s="409"/>
      <c r="H49" s="409"/>
      <c r="I49" s="409"/>
      <c r="J49" s="409"/>
      <c r="K49" s="409"/>
      <c r="L49" s="409"/>
      <c r="M49" s="409"/>
      <c r="N49" s="409">
        <v>2</v>
      </c>
      <c r="O49" s="409">
        <v>700</v>
      </c>
      <c r="P49" s="494"/>
      <c r="Q49" s="410">
        <v>350</v>
      </c>
    </row>
    <row r="50" spans="1:17" ht="14.4" customHeight="1" thickBot="1" x14ac:dyDescent="0.35">
      <c r="A50" s="411" t="s">
        <v>490</v>
      </c>
      <c r="B50" s="412" t="s">
        <v>436</v>
      </c>
      <c r="C50" s="412" t="s">
        <v>437</v>
      </c>
      <c r="D50" s="412" t="s">
        <v>442</v>
      </c>
      <c r="E50" s="412" t="s">
        <v>443</v>
      </c>
      <c r="F50" s="415"/>
      <c r="G50" s="415"/>
      <c r="H50" s="415"/>
      <c r="I50" s="415"/>
      <c r="J50" s="415"/>
      <c r="K50" s="415"/>
      <c r="L50" s="415"/>
      <c r="M50" s="415"/>
      <c r="N50" s="415">
        <v>1</v>
      </c>
      <c r="O50" s="415">
        <v>518</v>
      </c>
      <c r="P50" s="426"/>
      <c r="Q50" s="416">
        <v>518</v>
      </c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2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24" bestFit="1" customWidth="1"/>
    <col min="2" max="2" width="11.6640625" style="124" hidden="1" customWidth="1"/>
    <col min="3" max="4" width="11" style="126" customWidth="1"/>
    <col min="5" max="5" width="11" style="127" customWidth="1"/>
    <col min="6" max="16384" width="8.88671875" style="124"/>
  </cols>
  <sheetData>
    <row r="1" spans="1:5" ht="18.600000000000001" thickBot="1" x14ac:dyDescent="0.4">
      <c r="A1" s="293" t="s">
        <v>105</v>
      </c>
      <c r="B1" s="293"/>
      <c r="C1" s="294"/>
      <c r="D1" s="294"/>
      <c r="E1" s="294"/>
    </row>
    <row r="2" spans="1:5" ht="14.4" customHeight="1" thickBot="1" x14ac:dyDescent="0.35">
      <c r="A2" s="202" t="s">
        <v>247</v>
      </c>
      <c r="B2" s="125"/>
    </row>
    <row r="3" spans="1:5" ht="14.4" customHeight="1" thickBot="1" x14ac:dyDescent="0.35">
      <c r="A3" s="128"/>
      <c r="C3" s="129" t="s">
        <v>93</v>
      </c>
      <c r="D3" s="130" t="s">
        <v>59</v>
      </c>
      <c r="E3" s="131" t="s">
        <v>61</v>
      </c>
    </row>
    <row r="4" spans="1:5" ht="14.4" customHeight="1" thickBot="1" x14ac:dyDescent="0.35">
      <c r="A4" s="132" t="str">
        <f>HYPERLINK("#HI!A1","NÁKLADY CELKEM (v tisících Kč)")</f>
        <v>NÁKLADY CELKEM (v tisících Kč)</v>
      </c>
      <c r="B4" s="133"/>
      <c r="C4" s="134">
        <f ca="1">IF(ISERROR(VLOOKUP("Náklady celkem",INDIRECT("HI!$A:$G"),6,0)),0,VLOOKUP("Náklady celkem",INDIRECT("HI!$A:$G"),6,0))</f>
        <v>2225.5301169190402</v>
      </c>
      <c r="D4" s="134">
        <f ca="1">IF(ISERROR(VLOOKUP("Náklady celkem",INDIRECT("HI!$A:$G"),5,0)),0,VLOOKUP("Náklady celkem",INDIRECT("HI!$A:$G"),5,0))</f>
        <v>2330.4133200000015</v>
      </c>
      <c r="E4" s="135">
        <f ca="1">IF(C4=0,0,D4/C4)</f>
        <v>1.0471272899358282</v>
      </c>
    </row>
    <row r="5" spans="1:5" ht="14.4" customHeight="1" x14ac:dyDescent="0.3">
      <c r="A5" s="136" t="s">
        <v>120</v>
      </c>
      <c r="B5" s="137"/>
      <c r="C5" s="138"/>
      <c r="D5" s="138"/>
      <c r="E5" s="139"/>
    </row>
    <row r="6" spans="1:5" ht="14.4" customHeight="1" x14ac:dyDescent="0.3">
      <c r="A6" s="140" t="s">
        <v>125</v>
      </c>
      <c r="B6" s="141"/>
      <c r="C6" s="142"/>
      <c r="D6" s="142"/>
      <c r="E6" s="139"/>
    </row>
    <row r="7" spans="1:5" ht="14.4" customHeight="1" x14ac:dyDescent="0.3">
      <c r="A7" s="279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41" t="s">
        <v>97</v>
      </c>
      <c r="C7" s="142">
        <f>IF(ISERROR(HI!F5),"",HI!F5)</f>
        <v>0</v>
      </c>
      <c r="D7" s="142">
        <f>IF(ISERROR(HI!E5),"",HI!E5)</f>
        <v>0.33857999999999999</v>
      </c>
      <c r="E7" s="139">
        <f t="shared" ref="E7:E12" si="0">IF(C7=0,0,D7/C7)</f>
        <v>0</v>
      </c>
    </row>
    <row r="8" spans="1:5" ht="14.4" customHeight="1" x14ac:dyDescent="0.3">
      <c r="A8" s="279" t="str">
        <f>HYPERLINK("#'LŽ Statim'!A1","Podíl statimových žádanek (max. 30%)")</f>
        <v>Podíl statimových žádanek (max. 30%)</v>
      </c>
      <c r="B8" s="277" t="s">
        <v>220</v>
      </c>
      <c r="C8" s="278">
        <v>0.3</v>
      </c>
      <c r="D8" s="278">
        <f>IF('LŽ Statim'!G3="",0,'LŽ Statim'!G3)</f>
        <v>0</v>
      </c>
      <c r="E8" s="139">
        <f>IF(C8=0,0,D8/C8)</f>
        <v>0</v>
      </c>
    </row>
    <row r="9" spans="1:5" ht="14.4" customHeight="1" x14ac:dyDescent="0.3">
      <c r="A9" s="144" t="s">
        <v>121</v>
      </c>
      <c r="B9" s="141"/>
      <c r="C9" s="142"/>
      <c r="D9" s="142"/>
      <c r="E9" s="139"/>
    </row>
    <row r="10" spans="1:5" ht="14.4" customHeight="1" x14ac:dyDescent="0.3">
      <c r="A10" s="144" t="s">
        <v>122</v>
      </c>
      <c r="B10" s="141"/>
      <c r="C10" s="142"/>
      <c r="D10" s="142"/>
      <c r="E10" s="139"/>
    </row>
    <row r="11" spans="1:5" ht="14.4" customHeight="1" x14ac:dyDescent="0.3">
      <c r="A11" s="145" t="s">
        <v>126</v>
      </c>
      <c r="B11" s="141"/>
      <c r="C11" s="138"/>
      <c r="D11" s="138"/>
      <c r="E11" s="139"/>
    </row>
    <row r="12" spans="1:5" ht="14.4" customHeight="1" x14ac:dyDescent="0.3">
      <c r="A12" s="146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2" s="141" t="s">
        <v>97</v>
      </c>
      <c r="C12" s="142">
        <f>IF(ISERROR(HI!F6),"",HI!F6)</f>
        <v>0</v>
      </c>
      <c r="D12" s="142">
        <f>IF(ISERROR(HI!E6),"",HI!E6)</f>
        <v>1.01122</v>
      </c>
      <c r="E12" s="139">
        <f t="shared" si="0"/>
        <v>0</v>
      </c>
    </row>
    <row r="13" spans="1:5" ht="14.4" customHeight="1" thickBot="1" x14ac:dyDescent="0.35">
      <c r="A13" s="147" t="str">
        <f>HYPERLINK("#HI!A1","Osobní náklady")</f>
        <v>Osobní náklady</v>
      </c>
      <c r="B13" s="141"/>
      <c r="C13" s="138">
        <f ca="1">IF(ISERROR(VLOOKUP("Osobní náklady (Kč) *",INDIRECT("HI!$A:$G"),6,0)),0,VLOOKUP("Osobní náklady (Kč) *",INDIRECT("HI!$A:$G"),6,0))</f>
        <v>2074.6666013196932</v>
      </c>
      <c r="D13" s="138">
        <f ca="1">IF(ISERROR(VLOOKUP("Osobní náklady (Kč) *",INDIRECT("HI!$A:$G"),5,0)),0,VLOOKUP("Osobní náklady (Kč) *",INDIRECT("HI!$A:$G"),5,0))</f>
        <v>2183.065000000001</v>
      </c>
      <c r="E13" s="139">
        <f ca="1">IF(C13=0,0,D13/C13)</f>
        <v>1.0522485871278573</v>
      </c>
    </row>
    <row r="14" spans="1:5" ht="14.4" customHeight="1" thickBot="1" x14ac:dyDescent="0.35">
      <c r="A14" s="151"/>
      <c r="B14" s="152"/>
      <c r="C14" s="153"/>
      <c r="D14" s="153"/>
      <c r="E14" s="154"/>
    </row>
    <row r="15" spans="1:5" ht="14.4" customHeight="1" thickBot="1" x14ac:dyDescent="0.35">
      <c r="A15" s="155" t="str">
        <f>HYPERLINK("#HI!A1","VÝNOSY CELKEM (v tisících)")</f>
        <v>VÝNOSY CELKEM (v tisících)</v>
      </c>
      <c r="B15" s="156"/>
      <c r="C15" s="157">
        <f ca="1">IF(ISERROR(VLOOKUP("Výnosy celkem",INDIRECT("HI!$A:$G"),6,0)),0,VLOOKUP("Výnosy celkem",INDIRECT("HI!$A:$G"),6,0))</f>
        <v>473.09199999999998</v>
      </c>
      <c r="D15" s="157">
        <f ca="1">IF(ISERROR(VLOOKUP("Výnosy celkem",INDIRECT("HI!$A:$G"),5,0)),0,VLOOKUP("Výnosy celkem",INDIRECT("HI!$A:$G"),5,0))</f>
        <v>434.17066000000005</v>
      </c>
      <c r="E15" s="158">
        <f t="shared" ref="E15:E18" ca="1" si="1">IF(C15=0,0,D15/C15)</f>
        <v>0.91772987072281942</v>
      </c>
    </row>
    <row r="16" spans="1:5" ht="14.4" customHeight="1" x14ac:dyDescent="0.3">
      <c r="A16" s="159" t="str">
        <f>HYPERLINK("#HI!A1","Ambulance (body za výkony + Kč za ZUM a ZULP)")</f>
        <v>Ambulance (body za výkony + Kč za ZUM a ZULP)</v>
      </c>
      <c r="B16" s="137"/>
      <c r="C16" s="138">
        <f ca="1">IF(ISERROR(VLOOKUP("Ambulance *",INDIRECT("HI!$A:$G"),6,0)),0,VLOOKUP("Ambulance *",INDIRECT("HI!$A:$G"),6,0))</f>
        <v>473.09199999999998</v>
      </c>
      <c r="D16" s="138">
        <f ca="1">IF(ISERROR(VLOOKUP("Ambulance *",INDIRECT("HI!$A:$G"),5,0)),0,VLOOKUP("Ambulance *",INDIRECT("HI!$A:$G"),5,0))</f>
        <v>434.17066000000005</v>
      </c>
      <c r="E16" s="139">
        <f t="shared" ca="1" si="1"/>
        <v>0.91772987072281942</v>
      </c>
    </row>
    <row r="17" spans="1:5" ht="14.4" customHeight="1" x14ac:dyDescent="0.3">
      <c r="A17" s="160" t="str">
        <f>HYPERLINK("#'ZV Vykáz.-A'!A1","Zdravotní výkony vykázané u ambulantních pacientů (min. 100 %)")</f>
        <v>Zdravotní výkony vykázané u ambulantních pacientů (min. 100 %)</v>
      </c>
      <c r="B17" s="124" t="s">
        <v>107</v>
      </c>
      <c r="C17" s="143">
        <v>1</v>
      </c>
      <c r="D17" s="143">
        <f>IF(ISERROR(VLOOKUP("Celkem:",'ZV Vykáz.-A'!$A:$S,7,0)),"",VLOOKUP("Celkem:",'ZV Vykáz.-A'!$A:$S,7,0))</f>
        <v>0.91772987072281931</v>
      </c>
      <c r="E17" s="139">
        <f t="shared" si="1"/>
        <v>0.91772987072281931</v>
      </c>
    </row>
    <row r="18" spans="1:5" ht="14.4" customHeight="1" x14ac:dyDescent="0.3">
      <c r="A18" s="160" t="str">
        <f>HYPERLINK("#'ZV Vykáz.-H'!A1","Zdravotní výkony vykázané u hospitalizovaných pacientů (max. 85 %)")</f>
        <v>Zdravotní výkony vykázané u hospitalizovaných pacientů (max. 85 %)</v>
      </c>
      <c r="B18" s="124" t="s">
        <v>109</v>
      </c>
      <c r="C18" s="143">
        <v>0.85</v>
      </c>
      <c r="D18" s="143">
        <f>IF(ISERROR(VLOOKUP("Celkem:",'ZV Vykáz.-H'!$A:$S,7,0)),"",VLOOKUP("Celkem:",'ZV Vykáz.-H'!$A:$S,7,0))</f>
        <v>1.8362239116295436</v>
      </c>
      <c r="E18" s="139">
        <f t="shared" si="1"/>
        <v>2.1602634254465221</v>
      </c>
    </row>
    <row r="19" spans="1:5" ht="14.4" customHeight="1" x14ac:dyDescent="0.3">
      <c r="A19" s="161" t="str">
        <f>HYPERLINK("#HI!A1","Hospitalizace (casemix * 30000)")</f>
        <v>Hospitalizace (casemix * 30000)</v>
      </c>
      <c r="B19" s="141"/>
      <c r="C19" s="138">
        <f ca="1">IF(ISERROR(VLOOKUP("Hospitalizace *",INDIRECT("HI!$A:$G"),6,0)),0,VLOOKUP("Hospitalizace *",INDIRECT("HI!$A:$G"),6,0))</f>
        <v>0</v>
      </c>
      <c r="D19" s="138">
        <f ca="1">IF(ISERROR(VLOOKUP("Hospitalizace *",INDIRECT("HI!$A:$G"),5,0)),0,VLOOKUP("Hospitalizace *",INDIRECT("HI!$A:$G"),5,0))</f>
        <v>0</v>
      </c>
      <c r="E19" s="139">
        <f ca="1">IF(C19=0,0,D19/C19)</f>
        <v>0</v>
      </c>
    </row>
    <row r="20" spans="1:5" ht="14.4" customHeight="1" thickBot="1" x14ac:dyDescent="0.35">
      <c r="A20" s="162" t="s">
        <v>123</v>
      </c>
      <c r="B20" s="148"/>
      <c r="C20" s="149"/>
      <c r="D20" s="149"/>
      <c r="E20" s="150"/>
    </row>
    <row r="21" spans="1:5" ht="14.4" customHeight="1" thickBot="1" x14ac:dyDescent="0.35">
      <c r="A21" s="163"/>
      <c r="B21" s="164"/>
      <c r="C21" s="165"/>
      <c r="D21" s="165"/>
      <c r="E21" s="166"/>
    </row>
    <row r="22" spans="1:5" ht="14.4" customHeight="1" thickBot="1" x14ac:dyDescent="0.35">
      <c r="A22" s="167" t="s">
        <v>124</v>
      </c>
      <c r="B22" s="168"/>
      <c r="C22" s="169"/>
      <c r="D22" s="169"/>
      <c r="E22" s="170"/>
    </row>
  </sheetData>
  <mergeCells count="1">
    <mergeCell ref="A1:E1"/>
  </mergeCells>
  <conditionalFormatting sqref="E5">
    <cfRule type="cellIs" dxfId="50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1">
    <cfRule type="cellIs" dxfId="49" priority="15" operator="greaterThan">
      <formula>1</formula>
    </cfRule>
    <cfRule type="iconSet" priority="16">
      <iconSet iconSet="3Symbols2" reverse="1">
        <cfvo type="percent" val="0"/>
        <cfvo type="num" val="1"/>
        <cfvo type="num" val="1"/>
      </iconSet>
    </cfRule>
  </conditionalFormatting>
  <conditionalFormatting sqref="E13">
    <cfRule type="cellIs" dxfId="48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47" priority="9" operator="lessThan">
      <formula>1</formula>
    </cfRule>
    <cfRule type="iconSet" priority="10">
      <iconSet iconSet="3Symbols2">
        <cfvo type="percent" val="0"/>
        <cfvo type="num" val="1"/>
        <cfvo type="num" val="1"/>
      </iconSet>
    </cfRule>
  </conditionalFormatting>
  <conditionalFormatting sqref="E19">
    <cfRule type="cellIs" dxfId="46" priority="7" operator="lessThan">
      <formula>1</formula>
    </cfRule>
    <cfRule type="iconSet" priority="8">
      <iconSet iconSet="3Symbols2">
        <cfvo type="percent" val="0"/>
        <cfvo type="num" val="1"/>
        <cfvo type="num" val="1"/>
      </iconSet>
    </cfRule>
  </conditionalFormatting>
  <conditionalFormatting sqref="E6">
    <cfRule type="cellIs" dxfId="45" priority="5" operator="greaterThan">
      <formula>1</formula>
    </cfRule>
    <cfRule type="iconSet" priority="6">
      <iconSet iconSet="3Symbols2" reverse="1">
        <cfvo type="percent" val="0"/>
        <cfvo type="num" val="1"/>
        <cfvo type="num" val="1"/>
      </iconSet>
    </cfRule>
  </conditionalFormatting>
  <conditionalFormatting sqref="E15 E17">
    <cfRule type="cellIs" dxfId="44" priority="20" operator="lessThan">
      <formula>1</formula>
    </cfRule>
  </conditionalFormatting>
  <conditionalFormatting sqref="E8">
    <cfRule type="cellIs" dxfId="43" priority="3" operator="greaterThan">
      <formula>1</formula>
    </cfRule>
    <cfRule type="iconSet" priority="4">
      <iconSet iconSet="3Symbols2" reverse="1">
        <cfvo type="percent" val="0"/>
        <cfvo type="num" val="1"/>
        <cfvo type="num" val="1"/>
      </iconSet>
    </cfRule>
  </conditionalFormatting>
  <conditionalFormatting sqref="E15 E17">
    <cfRule type="iconSet" priority="60">
      <iconSet iconSet="3Symbols2">
        <cfvo type="percent" val="0"/>
        <cfvo type="num" val="1"/>
        <cfvo type="num" val="1"/>
      </iconSet>
    </cfRule>
  </conditionalFormatting>
  <conditionalFormatting sqref="E4 E7 E12 E18">
    <cfRule type="cellIs" dxfId="42" priority="65" operator="greaterThan">
      <formula>1</formula>
    </cfRule>
    <cfRule type="iconSet" priority="66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H23"/>
  <sheetViews>
    <sheetView showGridLines="0" showRowColHeaders="0" zoomScaleNormal="100" workbookViewId="0">
      <selection sqref="A1:H1"/>
    </sheetView>
  </sheetViews>
  <sheetFormatPr defaultRowHeight="14.4" customHeight="1" x14ac:dyDescent="0.3"/>
  <cols>
    <col min="1" max="1" width="34.21875" style="105" bestFit="1" customWidth="1"/>
    <col min="2" max="3" width="9.5546875" style="105" customWidth="1"/>
    <col min="4" max="4" width="2.21875" style="105" customWidth="1"/>
    <col min="5" max="8" width="9.5546875" style="105" customWidth="1"/>
    <col min="9" max="16384" width="8.88671875" style="105"/>
  </cols>
  <sheetData>
    <row r="1" spans="1:8" ht="18.600000000000001" customHeight="1" thickBot="1" x14ac:dyDescent="0.4">
      <c r="A1" s="293" t="s">
        <v>114</v>
      </c>
      <c r="B1" s="293"/>
      <c r="C1" s="293"/>
      <c r="D1" s="293"/>
      <c r="E1" s="293"/>
      <c r="F1" s="293"/>
      <c r="G1" s="294"/>
      <c r="H1" s="294"/>
    </row>
    <row r="2" spans="1:8" ht="14.4" customHeight="1" thickBot="1" x14ac:dyDescent="0.35">
      <c r="A2" s="202" t="s">
        <v>247</v>
      </c>
      <c r="B2" s="86"/>
      <c r="C2" s="86"/>
      <c r="D2" s="86"/>
      <c r="E2" s="86"/>
      <c r="F2" s="86"/>
    </row>
    <row r="3" spans="1:8" ht="14.4" customHeight="1" x14ac:dyDescent="0.3">
      <c r="A3" s="295"/>
      <c r="B3" s="82">
        <v>2013</v>
      </c>
      <c r="C3" s="40">
        <v>2014</v>
      </c>
      <c r="D3" s="7"/>
      <c r="E3" s="299">
        <v>2015</v>
      </c>
      <c r="F3" s="300"/>
      <c r="G3" s="300"/>
      <c r="H3" s="301"/>
    </row>
    <row r="4" spans="1:8" ht="14.4" customHeight="1" thickBot="1" x14ac:dyDescent="0.35">
      <c r="A4" s="296"/>
      <c r="B4" s="297" t="s">
        <v>59</v>
      </c>
      <c r="C4" s="298"/>
      <c r="D4" s="7"/>
      <c r="E4" s="103" t="s">
        <v>59</v>
      </c>
      <c r="F4" s="84" t="s">
        <v>60</v>
      </c>
      <c r="G4" s="84" t="s">
        <v>54</v>
      </c>
      <c r="H4" s="85" t="s">
        <v>61</v>
      </c>
    </row>
    <row r="5" spans="1:8" ht="14.4" customHeight="1" x14ac:dyDescent="0.3">
      <c r="A5" s="87" t="str">
        <f>HYPERLINK("#'Léky Žádanky'!A1","Léky (Kč)")</f>
        <v>Léky (Kč)</v>
      </c>
      <c r="B5" s="27">
        <v>0.47911999999999999</v>
      </c>
      <c r="C5" s="29">
        <v>0</v>
      </c>
      <c r="D5" s="8"/>
      <c r="E5" s="92">
        <v>0.33857999999999999</v>
      </c>
      <c r="F5" s="28">
        <v>0</v>
      </c>
      <c r="G5" s="91">
        <f>E5-F5</f>
        <v>0.33857999999999999</v>
      </c>
      <c r="H5" s="97" t="str">
        <f>IF(F5&lt;0.00000001,"",E5/F5)</f>
        <v/>
      </c>
    </row>
    <row r="6" spans="1:8" ht="14.4" customHeight="1" x14ac:dyDescent="0.3">
      <c r="A6" s="87" t="str">
        <f>HYPERLINK("#'Materiál Žádanky'!A1","Materiál - SZM (Kč)")</f>
        <v>Materiál - SZM (Kč)</v>
      </c>
      <c r="B6" s="10">
        <v>0.04</v>
      </c>
      <c r="C6" s="31">
        <v>0</v>
      </c>
      <c r="D6" s="8"/>
      <c r="E6" s="93">
        <v>1.01122</v>
      </c>
      <c r="F6" s="30">
        <v>0</v>
      </c>
      <c r="G6" s="94">
        <f>E6-F6</f>
        <v>1.01122</v>
      </c>
      <c r="H6" s="98" t="str">
        <f>IF(F6&lt;0.00000001,"",E6/F6)</f>
        <v/>
      </c>
    </row>
    <row r="7" spans="1:8" ht="14.4" customHeight="1" x14ac:dyDescent="0.3">
      <c r="A7" s="87" t="str">
        <f>HYPERLINK("#'Osobní náklady'!A1","Osobní náklady (Kč) *")</f>
        <v>Osobní náklady (Kč) *</v>
      </c>
      <c r="B7" s="10">
        <v>1692.7951</v>
      </c>
      <c r="C7" s="31">
        <v>1718.0718000000008</v>
      </c>
      <c r="D7" s="8"/>
      <c r="E7" s="93">
        <v>2183.065000000001</v>
      </c>
      <c r="F7" s="30">
        <v>2074.6666013196932</v>
      </c>
      <c r="G7" s="94">
        <f>E7-F7</f>
        <v>108.39839868030776</v>
      </c>
      <c r="H7" s="98">
        <f>IF(F7&lt;0.00000001,"",E7/F7)</f>
        <v>1.0522485871278573</v>
      </c>
    </row>
    <row r="8" spans="1:8" ht="14.4" customHeight="1" thickBot="1" x14ac:dyDescent="0.35">
      <c r="A8" s="1" t="s">
        <v>62</v>
      </c>
      <c r="B8" s="11">
        <v>161.4141299999996</v>
      </c>
      <c r="C8" s="33">
        <v>136.44435000000044</v>
      </c>
      <c r="D8" s="8"/>
      <c r="E8" s="95">
        <v>145.9985200000005</v>
      </c>
      <c r="F8" s="32">
        <v>150.86351559934701</v>
      </c>
      <c r="G8" s="96">
        <f>E8-F8</f>
        <v>-4.8649955993465142</v>
      </c>
      <c r="H8" s="99">
        <f>IF(F8&lt;0.00000001,"",E8/F8)</f>
        <v>0.96775233839660324</v>
      </c>
    </row>
    <row r="9" spans="1:8" ht="14.4" customHeight="1" thickBot="1" x14ac:dyDescent="0.35">
      <c r="A9" s="2" t="s">
        <v>63</v>
      </c>
      <c r="B9" s="3">
        <v>1854.7283499999996</v>
      </c>
      <c r="C9" s="35">
        <v>1854.5161500000013</v>
      </c>
      <c r="D9" s="8"/>
      <c r="E9" s="3">
        <v>2330.4133200000015</v>
      </c>
      <c r="F9" s="34">
        <v>2225.5301169190402</v>
      </c>
      <c r="G9" s="34">
        <f>E9-F9</f>
        <v>104.88320308096127</v>
      </c>
      <c r="H9" s="100">
        <f>IF(F9&lt;0.00000001,"",E9/F9)</f>
        <v>1.0471272899358282</v>
      </c>
    </row>
    <row r="10" spans="1:8" ht="14.4" customHeight="1" thickBot="1" x14ac:dyDescent="0.35">
      <c r="A10" s="12"/>
      <c r="B10" s="12"/>
      <c r="C10" s="83"/>
      <c r="D10" s="8"/>
      <c r="E10" s="12"/>
      <c r="F10" s="13"/>
    </row>
    <row r="11" spans="1:8" ht="14.4" customHeight="1" x14ac:dyDescent="0.3">
      <c r="A11" s="108" t="str">
        <f>HYPERLINK("#'ZV Vykáz.-A'!A1","Ambulance *")</f>
        <v>Ambulance *</v>
      </c>
      <c r="B11" s="9">
        <f>IF(ISERROR(VLOOKUP("Celkem:",'ZV Vykáz.-A'!A:F,2,0)),0,VLOOKUP("Celkem:",'ZV Vykáz.-A'!A:F,2,0)/1000)</f>
        <v>473.09199999999998</v>
      </c>
      <c r="C11" s="29">
        <f>IF(ISERROR(VLOOKUP("Celkem:",'ZV Vykáz.-A'!A:F,4,0)),0,VLOOKUP("Celkem:",'ZV Vykáz.-A'!A:F,4,0)/1000)</f>
        <v>538.13099999999997</v>
      </c>
      <c r="D11" s="8"/>
      <c r="E11" s="92">
        <f>IF(ISERROR(VLOOKUP("Celkem:",'ZV Vykáz.-A'!A:F,6,0)),0,VLOOKUP("Celkem:",'ZV Vykáz.-A'!A:F,6,0)/1000)</f>
        <v>434.17066000000005</v>
      </c>
      <c r="F11" s="28">
        <f>B11</f>
        <v>473.09199999999998</v>
      </c>
      <c r="G11" s="91">
        <f>E11-F11</f>
        <v>-38.92133999999993</v>
      </c>
      <c r="H11" s="97">
        <f>IF(F11&lt;0.00000001,"",E11/F11)</f>
        <v>0.91772987072281942</v>
      </c>
    </row>
    <row r="12" spans="1:8" ht="14.4" customHeight="1" thickBot="1" x14ac:dyDescent="0.35">
      <c r="A12" s="109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95">
        <f>IF(ISERROR(VLOOKUP("Celkem",#REF!,4,0)),0,VLOOKUP("Celkem",#REF!,4,0)*30)</f>
        <v>0</v>
      </c>
      <c r="F12" s="32">
        <f>B12</f>
        <v>0</v>
      </c>
      <c r="G12" s="96">
        <f>E12-F12</f>
        <v>0</v>
      </c>
      <c r="H12" s="99" t="str">
        <f>IF(F12&lt;0.00000001,"",E12/F12)</f>
        <v/>
      </c>
    </row>
    <row r="13" spans="1:8" ht="14.4" customHeight="1" thickBot="1" x14ac:dyDescent="0.35">
      <c r="A13" s="4" t="s">
        <v>66</v>
      </c>
      <c r="B13" s="5">
        <f>SUM(B11:B12)</f>
        <v>473.09199999999998</v>
      </c>
      <c r="C13" s="37">
        <f>SUM(C11:C12)</f>
        <v>538.13099999999997</v>
      </c>
      <c r="D13" s="8"/>
      <c r="E13" s="5">
        <f>SUM(E11:E12)</f>
        <v>434.17066000000005</v>
      </c>
      <c r="F13" s="36">
        <f>SUM(F11:F12)</f>
        <v>473.09199999999998</v>
      </c>
      <c r="G13" s="36">
        <f>E13-F13</f>
        <v>-38.92133999999993</v>
      </c>
      <c r="H13" s="101">
        <f>IF(F13&lt;0.00000001,"",E13/F13)</f>
        <v>0.91772987072281942</v>
      </c>
    </row>
    <row r="14" spans="1:8" ht="14.4" customHeight="1" thickBot="1" x14ac:dyDescent="0.35">
      <c r="A14" s="12"/>
      <c r="B14" s="12"/>
      <c r="C14" s="83"/>
      <c r="D14" s="8"/>
      <c r="E14" s="12"/>
      <c r="F14" s="13"/>
    </row>
    <row r="15" spans="1:8" ht="14.4" customHeight="1" thickBot="1" x14ac:dyDescent="0.35">
      <c r="A15" s="110" t="str">
        <f>HYPERLINK("#'HI Graf'!A1","Hospodářský index (Výnosy / Náklady) *")</f>
        <v>Hospodářský index (Výnosy / Náklady) *</v>
      </c>
      <c r="B15" s="6">
        <f>IF(B9=0,"",B13/B9)</f>
        <v>0.25507347208015668</v>
      </c>
      <c r="C15" s="39">
        <f>IF(C9=0,"",C13/C9)</f>
        <v>0.29017326163484725</v>
      </c>
      <c r="D15" s="8"/>
      <c r="E15" s="6">
        <f>IF(E9=0,"",E13/E9)</f>
        <v>0.18630629007904906</v>
      </c>
      <c r="F15" s="38">
        <f>IF(F9=0,"",F13/F9)</f>
        <v>0.21257497097138139</v>
      </c>
      <c r="G15" s="38">
        <f>IF(ISERROR(F15-E15),"",E15-F15)</f>
        <v>-2.6268680892332336E-2</v>
      </c>
      <c r="H15" s="102">
        <f>IF(ISERROR(F15-E15),"",IF(F15&lt;0.00000001,"",E15/F15))</f>
        <v>0.87642627552860475</v>
      </c>
    </row>
    <row r="17" spans="1:8" ht="14.4" customHeight="1" x14ac:dyDescent="0.3">
      <c r="A17" s="88" t="s">
        <v>128</v>
      </c>
    </row>
    <row r="18" spans="1:8" ht="14.4" customHeight="1" x14ac:dyDescent="0.3">
      <c r="A18" s="255" t="s">
        <v>167</v>
      </c>
      <c r="B18" s="256"/>
      <c r="C18" s="256"/>
      <c r="D18" s="256"/>
      <c r="E18" s="256"/>
      <c r="F18" s="256"/>
      <c r="G18" s="256"/>
      <c r="H18" s="256"/>
    </row>
    <row r="19" spans="1:8" x14ac:dyDescent="0.3">
      <c r="A19" s="254" t="s">
        <v>166</v>
      </c>
      <c r="B19" s="256"/>
      <c r="C19" s="256"/>
      <c r="D19" s="256"/>
      <c r="E19" s="256"/>
      <c r="F19" s="256"/>
      <c r="G19" s="256"/>
      <c r="H19" s="256"/>
    </row>
    <row r="20" spans="1:8" ht="14.4" customHeight="1" x14ac:dyDescent="0.3">
      <c r="A20" s="89" t="s">
        <v>221</v>
      </c>
    </row>
    <row r="21" spans="1:8" ht="14.4" customHeight="1" x14ac:dyDescent="0.3">
      <c r="A21" s="89" t="s">
        <v>129</v>
      </c>
    </row>
    <row r="22" spans="1:8" ht="14.4" customHeight="1" x14ac:dyDescent="0.3">
      <c r="A22" s="90" t="s">
        <v>130</v>
      </c>
    </row>
    <row r="23" spans="1:8" ht="14.4" customHeight="1" x14ac:dyDescent="0.3">
      <c r="A23" s="90" t="s">
        <v>131</v>
      </c>
    </row>
  </sheetData>
  <mergeCells count="4">
    <mergeCell ref="A3:A4"/>
    <mergeCell ref="B4:C4"/>
    <mergeCell ref="E3:H3"/>
    <mergeCell ref="A1:H1"/>
  </mergeCells>
  <conditionalFormatting sqref="F11:F12">
    <cfRule type="dataBar" priority="5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6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41" priority="4" operator="greaterThan">
      <formula>0</formula>
    </cfRule>
  </conditionalFormatting>
  <conditionalFormatting sqref="G11:G13 G15">
    <cfRule type="cellIs" dxfId="40" priority="3" operator="lessThan">
      <formula>0</formula>
    </cfRule>
  </conditionalFormatting>
  <conditionalFormatting sqref="H5:H9">
    <cfRule type="cellIs" dxfId="39" priority="2" operator="greaterThan">
      <formula>1</formula>
    </cfRule>
  </conditionalFormatting>
  <conditionalFormatting sqref="H11:H13 H15">
    <cfRule type="cellIs" dxfId="38" priority="1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05"/>
    <col min="2" max="13" width="8.88671875" style="105" customWidth="1"/>
    <col min="14" max="16384" width="8.88671875" style="105"/>
  </cols>
  <sheetData>
    <row r="1" spans="1:13" ht="18.600000000000001" customHeight="1" thickBot="1" x14ac:dyDescent="0.4">
      <c r="A1" s="293" t="s">
        <v>90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</row>
    <row r="2" spans="1:13" ht="14.4" customHeight="1" x14ac:dyDescent="0.3">
      <c r="A2" s="202" t="s">
        <v>247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</row>
    <row r="3" spans="1:13" ht="14.4" customHeight="1" x14ac:dyDescent="0.3">
      <c r="A3" s="171"/>
      <c r="B3" s="172" t="s">
        <v>68</v>
      </c>
      <c r="C3" s="173" t="s">
        <v>69</v>
      </c>
      <c r="D3" s="173" t="s">
        <v>70</v>
      </c>
      <c r="E3" s="172" t="s">
        <v>71</v>
      </c>
      <c r="F3" s="173" t="s">
        <v>72</v>
      </c>
      <c r="G3" s="173" t="s">
        <v>73</v>
      </c>
      <c r="H3" s="173" t="s">
        <v>74</v>
      </c>
      <c r="I3" s="173" t="s">
        <v>75</v>
      </c>
      <c r="J3" s="173" t="s">
        <v>76</v>
      </c>
      <c r="K3" s="173" t="s">
        <v>77</v>
      </c>
      <c r="L3" s="173" t="s">
        <v>78</v>
      </c>
      <c r="M3" s="173" t="s">
        <v>79</v>
      </c>
    </row>
    <row r="4" spans="1:13" ht="14.4" customHeight="1" x14ac:dyDescent="0.3">
      <c r="A4" s="171" t="s">
        <v>67</v>
      </c>
      <c r="B4" s="174">
        <f>(B10+B8)/B6</f>
        <v>0.32498034981432233</v>
      </c>
      <c r="C4" s="174">
        <f t="shared" ref="C4:M4" si="0">(C10+C8)/C6</f>
        <v>0.30184141430937139</v>
      </c>
      <c r="D4" s="174">
        <f t="shared" si="0"/>
        <v>0.29001689192977709</v>
      </c>
      <c r="E4" s="174">
        <f t="shared" si="0"/>
        <v>0.29230780340304424</v>
      </c>
      <c r="F4" s="174">
        <f t="shared" si="0"/>
        <v>0.28883195321294552</v>
      </c>
      <c r="G4" s="174">
        <f t="shared" si="0"/>
        <v>0.23092189190655923</v>
      </c>
      <c r="H4" s="174">
        <f t="shared" si="0"/>
        <v>0.19203060867758112</v>
      </c>
      <c r="I4" s="174">
        <f t="shared" si="0"/>
        <v>0.186306290079049</v>
      </c>
      <c r="J4" s="174">
        <f t="shared" si="0"/>
        <v>0.186306290079049</v>
      </c>
      <c r="K4" s="174">
        <f t="shared" si="0"/>
        <v>0.186306290079049</v>
      </c>
      <c r="L4" s="174">
        <f t="shared" si="0"/>
        <v>0.186306290079049</v>
      </c>
      <c r="M4" s="174">
        <f t="shared" si="0"/>
        <v>0.186306290079049</v>
      </c>
    </row>
    <row r="5" spans="1:13" ht="14.4" customHeight="1" x14ac:dyDescent="0.3">
      <c r="A5" s="175" t="s">
        <v>39</v>
      </c>
      <c r="B5" s="174">
        <f>IF(ISERROR(VLOOKUP($A5,'Man Tab'!$A:$Q,COLUMN()+2,0)),0,VLOOKUP($A5,'Man Tab'!$A:$Q,COLUMN()+2,0))</f>
        <v>275.49358000000001</v>
      </c>
      <c r="C5" s="174">
        <f>IF(ISERROR(VLOOKUP($A5,'Man Tab'!$A:$Q,COLUMN()+2,0)),0,VLOOKUP($A5,'Man Tab'!$A:$Q,COLUMN()+2,0))</f>
        <v>274.36801000000099</v>
      </c>
      <c r="D5" s="174">
        <f>IF(ISERROR(VLOOKUP($A5,'Man Tab'!$A:$Q,COLUMN()+2,0)),0,VLOOKUP($A5,'Man Tab'!$A:$Q,COLUMN()+2,0))</f>
        <v>257.15692000000001</v>
      </c>
      <c r="E5" s="174">
        <f>IF(ISERROR(VLOOKUP($A5,'Man Tab'!$A:$Q,COLUMN()+2,0)),0,VLOOKUP($A5,'Man Tab'!$A:$Q,COLUMN()+2,0))</f>
        <v>274.51949999999999</v>
      </c>
      <c r="F5" s="174">
        <f>IF(ISERROR(VLOOKUP($A5,'Man Tab'!$A:$Q,COLUMN()+2,0)),0,VLOOKUP($A5,'Man Tab'!$A:$Q,COLUMN()+2,0))</f>
        <v>227.21376000000001</v>
      </c>
      <c r="G5" s="174">
        <f>IF(ISERROR(VLOOKUP($A5,'Man Tab'!$A:$Q,COLUMN()+2,0)),0,VLOOKUP($A5,'Man Tab'!$A:$Q,COLUMN()+2,0))</f>
        <v>373.21375</v>
      </c>
      <c r="H5" s="174">
        <f>IF(ISERROR(VLOOKUP($A5,'Man Tab'!$A:$Q,COLUMN()+2,0)),0,VLOOKUP($A5,'Man Tab'!$A:$Q,COLUMN()+2,0))</f>
        <v>379.86547000000002</v>
      </c>
      <c r="I5" s="174">
        <f>IF(ISERROR(VLOOKUP($A5,'Man Tab'!$A:$Q,COLUMN()+2,0)),0,VLOOKUP($A5,'Man Tab'!$A:$Q,COLUMN()+2,0))</f>
        <v>268.58233000000001</v>
      </c>
      <c r="J5" s="174">
        <f>IF(ISERROR(VLOOKUP($A5,'Man Tab'!$A:$Q,COLUMN()+2,0)),0,VLOOKUP($A5,'Man Tab'!$A:$Q,COLUMN()+2,0))</f>
        <v>0</v>
      </c>
      <c r="K5" s="174">
        <f>IF(ISERROR(VLOOKUP($A5,'Man Tab'!$A:$Q,COLUMN()+2,0)),0,VLOOKUP($A5,'Man Tab'!$A:$Q,COLUMN()+2,0))</f>
        <v>0</v>
      </c>
      <c r="L5" s="174">
        <f>IF(ISERROR(VLOOKUP($A5,'Man Tab'!$A:$Q,COLUMN()+2,0)),0,VLOOKUP($A5,'Man Tab'!$A:$Q,COLUMN()+2,0))</f>
        <v>0</v>
      </c>
      <c r="M5" s="174">
        <f>IF(ISERROR(VLOOKUP($A5,'Man Tab'!$A:$Q,COLUMN()+2,0)),0,VLOOKUP($A5,'Man Tab'!$A:$Q,COLUMN()+2,0))</f>
        <v>0</v>
      </c>
    </row>
    <row r="6" spans="1:13" ht="14.4" customHeight="1" x14ac:dyDescent="0.3">
      <c r="A6" s="175" t="s">
        <v>63</v>
      </c>
      <c r="B6" s="176">
        <f>B5</f>
        <v>275.49358000000001</v>
      </c>
      <c r="C6" s="176">
        <f t="shared" ref="C6:M6" si="1">C5+B6</f>
        <v>549.861590000001</v>
      </c>
      <c r="D6" s="176">
        <f t="shared" si="1"/>
        <v>807.01851000000102</v>
      </c>
      <c r="E6" s="176">
        <f t="shared" si="1"/>
        <v>1081.5380100000011</v>
      </c>
      <c r="F6" s="176">
        <f t="shared" si="1"/>
        <v>1308.7517700000012</v>
      </c>
      <c r="G6" s="176">
        <f t="shared" si="1"/>
        <v>1681.9655200000011</v>
      </c>
      <c r="H6" s="176">
        <f t="shared" si="1"/>
        <v>2061.8309900000013</v>
      </c>
      <c r="I6" s="176">
        <f t="shared" si="1"/>
        <v>2330.4133200000015</v>
      </c>
      <c r="J6" s="176">
        <f t="shared" si="1"/>
        <v>2330.4133200000015</v>
      </c>
      <c r="K6" s="176">
        <f t="shared" si="1"/>
        <v>2330.4133200000015</v>
      </c>
      <c r="L6" s="176">
        <f t="shared" si="1"/>
        <v>2330.4133200000015</v>
      </c>
      <c r="M6" s="176">
        <f t="shared" si="1"/>
        <v>2330.4133200000015</v>
      </c>
    </row>
    <row r="7" spans="1:13" ht="14.4" customHeight="1" x14ac:dyDescent="0.3">
      <c r="A7" s="175" t="s">
        <v>88</v>
      </c>
      <c r="B7" s="175"/>
      <c r="C7" s="175"/>
      <c r="D7" s="175"/>
      <c r="E7" s="175"/>
      <c r="F7" s="175"/>
      <c r="G7" s="175"/>
      <c r="H7" s="175"/>
      <c r="I7" s="175"/>
      <c r="J7" s="175"/>
      <c r="K7" s="175"/>
      <c r="L7" s="175"/>
      <c r="M7" s="175"/>
    </row>
    <row r="8" spans="1:13" ht="14.4" customHeight="1" x14ac:dyDescent="0.3">
      <c r="A8" s="175" t="s">
        <v>64</v>
      </c>
      <c r="B8" s="176">
        <f>B7*30</f>
        <v>0</v>
      </c>
      <c r="C8" s="176">
        <f t="shared" ref="C8:M8" si="2">C7*30</f>
        <v>0</v>
      </c>
      <c r="D8" s="176">
        <f t="shared" si="2"/>
        <v>0</v>
      </c>
      <c r="E8" s="176">
        <f t="shared" si="2"/>
        <v>0</v>
      </c>
      <c r="F8" s="176">
        <f t="shared" si="2"/>
        <v>0</v>
      </c>
      <c r="G8" s="176">
        <f t="shared" si="2"/>
        <v>0</v>
      </c>
      <c r="H8" s="176">
        <f t="shared" si="2"/>
        <v>0</v>
      </c>
      <c r="I8" s="176">
        <f t="shared" si="2"/>
        <v>0</v>
      </c>
      <c r="J8" s="176">
        <f t="shared" si="2"/>
        <v>0</v>
      </c>
      <c r="K8" s="176">
        <f t="shared" si="2"/>
        <v>0</v>
      </c>
      <c r="L8" s="176">
        <f t="shared" si="2"/>
        <v>0</v>
      </c>
      <c r="M8" s="176">
        <f t="shared" si="2"/>
        <v>0</v>
      </c>
    </row>
    <row r="9" spans="1:13" ht="14.4" customHeight="1" x14ac:dyDescent="0.3">
      <c r="A9" s="175" t="s">
        <v>89</v>
      </c>
      <c r="B9" s="175">
        <v>89530</v>
      </c>
      <c r="C9" s="175">
        <v>76441</v>
      </c>
      <c r="D9" s="175">
        <v>68078</v>
      </c>
      <c r="E9" s="175">
        <v>82093</v>
      </c>
      <c r="F9" s="175">
        <v>61867.33</v>
      </c>
      <c r="G9" s="175">
        <v>10393.33</v>
      </c>
      <c r="H9" s="175">
        <v>7532</v>
      </c>
      <c r="I9" s="175">
        <v>38236</v>
      </c>
      <c r="J9" s="175">
        <v>0</v>
      </c>
      <c r="K9" s="175">
        <v>0</v>
      </c>
      <c r="L9" s="175">
        <v>0</v>
      </c>
      <c r="M9" s="175">
        <v>0</v>
      </c>
    </row>
    <row r="10" spans="1:13" ht="14.4" customHeight="1" x14ac:dyDescent="0.3">
      <c r="A10" s="175" t="s">
        <v>65</v>
      </c>
      <c r="B10" s="176">
        <f>B9/1000</f>
        <v>89.53</v>
      </c>
      <c r="C10" s="176">
        <f t="shared" ref="C10:M10" si="3">C9/1000+B10</f>
        <v>165.971</v>
      </c>
      <c r="D10" s="176">
        <f t="shared" si="3"/>
        <v>234.04900000000001</v>
      </c>
      <c r="E10" s="176">
        <f t="shared" si="3"/>
        <v>316.142</v>
      </c>
      <c r="F10" s="176">
        <f t="shared" si="3"/>
        <v>378.00932999999998</v>
      </c>
      <c r="G10" s="176">
        <f t="shared" si="3"/>
        <v>388.40265999999997</v>
      </c>
      <c r="H10" s="176">
        <f t="shared" si="3"/>
        <v>395.93465999999995</v>
      </c>
      <c r="I10" s="176">
        <f t="shared" si="3"/>
        <v>434.17065999999994</v>
      </c>
      <c r="J10" s="176">
        <f t="shared" si="3"/>
        <v>434.17065999999994</v>
      </c>
      <c r="K10" s="176">
        <f t="shared" si="3"/>
        <v>434.17065999999994</v>
      </c>
      <c r="L10" s="176">
        <f t="shared" si="3"/>
        <v>434.17065999999994</v>
      </c>
      <c r="M10" s="176">
        <f t="shared" si="3"/>
        <v>434.17065999999994</v>
      </c>
    </row>
    <row r="11" spans="1:13" ht="14.4" customHeight="1" x14ac:dyDescent="0.3">
      <c r="A11" s="171"/>
      <c r="B11" s="171" t="s">
        <v>80</v>
      </c>
      <c r="C11" s="171">
        <f ca="1">IF(MONTH(TODAY())=1,12,MONTH(TODAY())-1)</f>
        <v>8</v>
      </c>
      <c r="D11" s="171"/>
      <c r="E11" s="171"/>
      <c r="F11" s="171"/>
      <c r="G11" s="171"/>
      <c r="H11" s="171"/>
      <c r="I11" s="171"/>
      <c r="J11" s="171"/>
      <c r="K11" s="171"/>
      <c r="L11" s="171"/>
      <c r="M11" s="171"/>
    </row>
    <row r="12" spans="1:13" ht="14.4" customHeight="1" x14ac:dyDescent="0.3">
      <c r="A12" s="171">
        <v>0</v>
      </c>
      <c r="B12" s="174">
        <f>IF(ISERROR(HI!F15),#REF!,HI!F15)</f>
        <v>0.21257497097138139</v>
      </c>
      <c r="C12" s="171"/>
      <c r="D12" s="171"/>
      <c r="E12" s="171"/>
      <c r="F12" s="171"/>
      <c r="G12" s="171"/>
      <c r="H12" s="171"/>
      <c r="I12" s="171"/>
      <c r="J12" s="171"/>
      <c r="K12" s="171"/>
      <c r="L12" s="171"/>
      <c r="M12" s="171"/>
    </row>
    <row r="13" spans="1:13" ht="14.4" customHeight="1" x14ac:dyDescent="0.3">
      <c r="A13" s="171">
        <v>1</v>
      </c>
      <c r="B13" s="174">
        <f>IF(ISERROR(HI!F15),#REF!,HI!F15)</f>
        <v>0.21257497097138139</v>
      </c>
      <c r="C13" s="171"/>
      <c r="D13" s="171"/>
      <c r="E13" s="171"/>
      <c r="F13" s="171"/>
      <c r="G13" s="171"/>
      <c r="H13" s="171"/>
      <c r="I13" s="171"/>
      <c r="J13" s="171"/>
      <c r="K13" s="171"/>
      <c r="L13" s="171"/>
      <c r="M13" s="171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05" bestFit="1" customWidth="1"/>
    <col min="2" max="2" width="12.77734375" style="105" bestFit="1" customWidth="1"/>
    <col min="3" max="3" width="13.6640625" style="105" bestFit="1" customWidth="1"/>
    <col min="4" max="15" width="7.77734375" style="105" bestFit="1" customWidth="1"/>
    <col min="16" max="16" width="8.88671875" style="105" customWidth="1"/>
    <col min="17" max="17" width="6.6640625" style="105" bestFit="1" customWidth="1"/>
    <col min="18" max="16384" width="8.88671875" style="105"/>
  </cols>
  <sheetData>
    <row r="1" spans="1:17" s="177" customFormat="1" ht="18.600000000000001" customHeight="1" thickBot="1" x14ac:dyDescent="0.4">
      <c r="A1" s="302" t="s">
        <v>250</v>
      </c>
      <c r="B1" s="302"/>
      <c r="C1" s="302"/>
      <c r="D1" s="302"/>
      <c r="E1" s="302"/>
      <c r="F1" s="302"/>
      <c r="G1" s="302"/>
      <c r="H1" s="293"/>
      <c r="I1" s="293"/>
      <c r="J1" s="293"/>
      <c r="K1" s="293"/>
      <c r="L1" s="293"/>
      <c r="M1" s="293"/>
      <c r="N1" s="293"/>
      <c r="O1" s="293"/>
      <c r="P1" s="293"/>
      <c r="Q1" s="293"/>
    </row>
    <row r="2" spans="1:17" s="177" customFormat="1" ht="14.4" customHeight="1" thickBot="1" x14ac:dyDescent="0.3">
      <c r="A2" s="202" t="s">
        <v>247</v>
      </c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178"/>
    </row>
    <row r="3" spans="1:17" ht="14.4" customHeight="1" x14ac:dyDescent="0.3">
      <c r="A3" s="60"/>
      <c r="B3" s="303" t="s">
        <v>15</v>
      </c>
      <c r="C3" s="304"/>
      <c r="D3" s="304"/>
      <c r="E3" s="304"/>
      <c r="F3" s="304"/>
      <c r="G3" s="304"/>
      <c r="H3" s="304"/>
      <c r="I3" s="304"/>
      <c r="J3" s="304"/>
      <c r="K3" s="304"/>
      <c r="L3" s="304"/>
      <c r="M3" s="304"/>
      <c r="N3" s="304"/>
      <c r="O3" s="304"/>
      <c r="P3" s="113"/>
      <c r="Q3" s="115"/>
    </row>
    <row r="4" spans="1:17" ht="14.4" customHeight="1" x14ac:dyDescent="0.3">
      <c r="A4" s="61"/>
      <c r="B4" s="20">
        <v>2015</v>
      </c>
      <c r="C4" s="114" t="s">
        <v>16</v>
      </c>
      <c r="D4" s="104" t="s">
        <v>224</v>
      </c>
      <c r="E4" s="104" t="s">
        <v>225</v>
      </c>
      <c r="F4" s="104" t="s">
        <v>226</v>
      </c>
      <c r="G4" s="104" t="s">
        <v>227</v>
      </c>
      <c r="H4" s="104" t="s">
        <v>228</v>
      </c>
      <c r="I4" s="104" t="s">
        <v>229</v>
      </c>
      <c r="J4" s="104" t="s">
        <v>230</v>
      </c>
      <c r="K4" s="104" t="s">
        <v>231</v>
      </c>
      <c r="L4" s="104" t="s">
        <v>232</v>
      </c>
      <c r="M4" s="104" t="s">
        <v>233</v>
      </c>
      <c r="N4" s="104" t="s">
        <v>234</v>
      </c>
      <c r="O4" s="104" t="s">
        <v>235</v>
      </c>
      <c r="P4" s="305" t="s">
        <v>3</v>
      </c>
      <c r="Q4" s="306"/>
    </row>
    <row r="5" spans="1:17" ht="14.4" customHeight="1" thickBot="1" x14ac:dyDescent="0.35">
      <c r="A5" s="62"/>
      <c r="B5" s="21" t="s">
        <v>17</v>
      </c>
      <c r="C5" s="22" t="s">
        <v>17</v>
      </c>
      <c r="D5" s="22" t="s">
        <v>18</v>
      </c>
      <c r="E5" s="22" t="s">
        <v>18</v>
      </c>
      <c r="F5" s="22" t="s">
        <v>18</v>
      </c>
      <c r="G5" s="22" t="s">
        <v>18</v>
      </c>
      <c r="H5" s="22" t="s">
        <v>18</v>
      </c>
      <c r="I5" s="22" t="s">
        <v>18</v>
      </c>
      <c r="J5" s="22" t="s">
        <v>18</v>
      </c>
      <c r="K5" s="22" t="s">
        <v>18</v>
      </c>
      <c r="L5" s="22" t="s">
        <v>18</v>
      </c>
      <c r="M5" s="22" t="s">
        <v>18</v>
      </c>
      <c r="N5" s="22" t="s">
        <v>18</v>
      </c>
      <c r="O5" s="22" t="s">
        <v>18</v>
      </c>
      <c r="P5" s="22" t="s">
        <v>18</v>
      </c>
      <c r="Q5" s="23" t="s">
        <v>19</v>
      </c>
    </row>
    <row r="6" spans="1:17" ht="14.4" customHeight="1" x14ac:dyDescent="0.3">
      <c r="A6" s="14" t="s">
        <v>20</v>
      </c>
      <c r="B6" s="43">
        <v>0</v>
      </c>
      <c r="C6" s="44">
        <v>0</v>
      </c>
      <c r="D6" s="44">
        <v>0</v>
      </c>
      <c r="E6" s="44">
        <v>0</v>
      </c>
      <c r="F6" s="44">
        <v>0</v>
      </c>
      <c r="G6" s="44">
        <v>0</v>
      </c>
      <c r="H6" s="44">
        <v>0</v>
      </c>
      <c r="I6" s="44">
        <v>0</v>
      </c>
      <c r="J6" s="44">
        <v>0</v>
      </c>
      <c r="K6" s="44">
        <v>0</v>
      </c>
      <c r="L6" s="44">
        <v>0</v>
      </c>
      <c r="M6" s="44">
        <v>0</v>
      </c>
      <c r="N6" s="44">
        <v>0</v>
      </c>
      <c r="O6" s="44">
        <v>0</v>
      </c>
      <c r="P6" s="45">
        <v>0</v>
      </c>
      <c r="Q6" s="70" t="s">
        <v>248</v>
      </c>
    </row>
    <row r="7" spans="1:17" ht="14.4" customHeight="1" x14ac:dyDescent="0.3">
      <c r="A7" s="15" t="s">
        <v>21</v>
      </c>
      <c r="B7" s="46">
        <v>0</v>
      </c>
      <c r="C7" s="47">
        <v>0</v>
      </c>
      <c r="D7" s="47">
        <v>0</v>
      </c>
      <c r="E7" s="47">
        <v>0</v>
      </c>
      <c r="F7" s="47">
        <v>0</v>
      </c>
      <c r="G7" s="47">
        <v>0</v>
      </c>
      <c r="H7" s="47">
        <v>0</v>
      </c>
      <c r="I7" s="47">
        <v>0.33857999999999999</v>
      </c>
      <c r="J7" s="47">
        <v>0</v>
      </c>
      <c r="K7" s="47">
        <v>0</v>
      </c>
      <c r="L7" s="47">
        <v>0</v>
      </c>
      <c r="M7" s="47">
        <v>0</v>
      </c>
      <c r="N7" s="47">
        <v>0</v>
      </c>
      <c r="O7" s="47">
        <v>0</v>
      </c>
      <c r="P7" s="48">
        <v>0.33857999999999999</v>
      </c>
      <c r="Q7" s="71" t="s">
        <v>248</v>
      </c>
    </row>
    <row r="8" spans="1:17" ht="14.4" customHeight="1" x14ac:dyDescent="0.3">
      <c r="A8" s="15" t="s">
        <v>22</v>
      </c>
      <c r="B8" s="46">
        <v>0</v>
      </c>
      <c r="C8" s="47">
        <v>0</v>
      </c>
      <c r="D8" s="47">
        <v>0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v>0</v>
      </c>
      <c r="P8" s="48">
        <v>0</v>
      </c>
      <c r="Q8" s="71" t="s">
        <v>248</v>
      </c>
    </row>
    <row r="9" spans="1:17" ht="14.4" customHeight="1" x14ac:dyDescent="0.3">
      <c r="A9" s="15" t="s">
        <v>23</v>
      </c>
      <c r="B9" s="46">
        <v>0</v>
      </c>
      <c r="C9" s="47">
        <v>0</v>
      </c>
      <c r="D9" s="47">
        <v>0</v>
      </c>
      <c r="E9" s="47">
        <v>0</v>
      </c>
      <c r="F9" s="47">
        <v>0</v>
      </c>
      <c r="G9" s="47">
        <v>0</v>
      </c>
      <c r="H9" s="47">
        <v>0</v>
      </c>
      <c r="I9" s="47">
        <v>0.94345999999999997</v>
      </c>
      <c r="J9" s="47">
        <v>6.7760000000000001E-2</v>
      </c>
      <c r="K9" s="47">
        <v>0</v>
      </c>
      <c r="L9" s="47">
        <v>0</v>
      </c>
      <c r="M9" s="47">
        <v>0</v>
      </c>
      <c r="N9" s="47">
        <v>0</v>
      </c>
      <c r="O9" s="47">
        <v>0</v>
      </c>
      <c r="P9" s="48">
        <v>1.01122</v>
      </c>
      <c r="Q9" s="71" t="s">
        <v>248</v>
      </c>
    </row>
    <row r="10" spans="1:17" ht="14.4" customHeight="1" x14ac:dyDescent="0.3">
      <c r="A10" s="15" t="s">
        <v>24</v>
      </c>
      <c r="B10" s="46">
        <v>0</v>
      </c>
      <c r="C10" s="47">
        <v>0</v>
      </c>
      <c r="D10" s="47">
        <v>0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v>0</v>
      </c>
      <c r="P10" s="48">
        <v>0</v>
      </c>
      <c r="Q10" s="71" t="s">
        <v>248</v>
      </c>
    </row>
    <row r="11" spans="1:17" ht="14.4" customHeight="1" x14ac:dyDescent="0.3">
      <c r="A11" s="15" t="s">
        <v>25</v>
      </c>
      <c r="B11" s="46">
        <v>13.260189245092</v>
      </c>
      <c r="C11" s="47">
        <v>1.105015770424</v>
      </c>
      <c r="D11" s="47">
        <v>0</v>
      </c>
      <c r="E11" s="47">
        <v>0.47189999999999999</v>
      </c>
      <c r="F11" s="47">
        <v>1.1599600000000001</v>
      </c>
      <c r="G11" s="47">
        <v>2.82</v>
      </c>
      <c r="H11" s="47">
        <v>1.91995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v>0</v>
      </c>
      <c r="O11" s="47">
        <v>0</v>
      </c>
      <c r="P11" s="48">
        <v>6.37181</v>
      </c>
      <c r="Q11" s="71">
        <v>0.720782699503</v>
      </c>
    </row>
    <row r="12" spans="1:17" ht="14.4" customHeight="1" x14ac:dyDescent="0.3">
      <c r="A12" s="15" t="s">
        <v>26</v>
      </c>
      <c r="B12" s="46">
        <v>0.99999996850200001</v>
      </c>
      <c r="C12" s="47">
        <v>8.3333330708000003E-2</v>
      </c>
      <c r="D12" s="47">
        <v>7.2300000000000003E-2</v>
      </c>
      <c r="E12" s="47">
        <v>0</v>
      </c>
      <c r="F12" s="47">
        <v>0</v>
      </c>
      <c r="G12" s="47">
        <v>3.1899999999999998E-2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v>0</v>
      </c>
      <c r="O12" s="47">
        <v>0</v>
      </c>
      <c r="P12" s="48">
        <v>0.1042</v>
      </c>
      <c r="Q12" s="71">
        <v>0.156300004923</v>
      </c>
    </row>
    <row r="13" spans="1:17" ht="14.4" customHeight="1" x14ac:dyDescent="0.3">
      <c r="A13" s="15" t="s">
        <v>27</v>
      </c>
      <c r="B13" s="46">
        <v>2.9999999055069999</v>
      </c>
      <c r="C13" s="47">
        <v>0.24999999212499999</v>
      </c>
      <c r="D13" s="47">
        <v>0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v>0</v>
      </c>
      <c r="O13" s="47">
        <v>0</v>
      </c>
      <c r="P13" s="48">
        <v>0</v>
      </c>
      <c r="Q13" s="71">
        <v>0</v>
      </c>
    </row>
    <row r="14" spans="1:17" ht="14.4" customHeight="1" x14ac:dyDescent="0.3">
      <c r="A14" s="15" t="s">
        <v>28</v>
      </c>
      <c r="B14" s="46">
        <v>147.77419616540701</v>
      </c>
      <c r="C14" s="47">
        <v>12.314516347116999</v>
      </c>
      <c r="D14" s="47">
        <v>17.451000000000001</v>
      </c>
      <c r="E14" s="47">
        <v>14.673</v>
      </c>
      <c r="F14" s="47">
        <v>14.477</v>
      </c>
      <c r="G14" s="47">
        <v>12.324999999999999</v>
      </c>
      <c r="H14" s="47">
        <v>10.172000000000001</v>
      </c>
      <c r="I14" s="47">
        <v>8.9849999999999994</v>
      </c>
      <c r="J14" s="47">
        <v>8.7409999999999997</v>
      </c>
      <c r="K14" s="47">
        <v>8.0640000000000001</v>
      </c>
      <c r="L14" s="47">
        <v>0</v>
      </c>
      <c r="M14" s="47">
        <v>0</v>
      </c>
      <c r="N14" s="47">
        <v>0</v>
      </c>
      <c r="O14" s="47">
        <v>0</v>
      </c>
      <c r="P14" s="48">
        <v>94.888000000000005</v>
      </c>
      <c r="Q14" s="71">
        <v>0.96317221607900005</v>
      </c>
    </row>
    <row r="15" spans="1:17" ht="14.4" customHeight="1" x14ac:dyDescent="0.3">
      <c r="A15" s="15" t="s">
        <v>29</v>
      </c>
      <c r="B15" s="46">
        <v>0</v>
      </c>
      <c r="C15" s="47">
        <v>0</v>
      </c>
      <c r="D15" s="47">
        <v>0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v>0</v>
      </c>
      <c r="P15" s="48">
        <v>0</v>
      </c>
      <c r="Q15" s="71" t="s">
        <v>248</v>
      </c>
    </row>
    <row r="16" spans="1:17" ht="14.4" customHeight="1" x14ac:dyDescent="0.3">
      <c r="A16" s="15" t="s">
        <v>30</v>
      </c>
      <c r="B16" s="46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v>0</v>
      </c>
      <c r="P16" s="48">
        <v>0</v>
      </c>
      <c r="Q16" s="71" t="s">
        <v>248</v>
      </c>
    </row>
    <row r="17" spans="1:17" ht="14.4" customHeight="1" x14ac:dyDescent="0.3">
      <c r="A17" s="15" t="s">
        <v>31</v>
      </c>
      <c r="B17" s="46">
        <v>13.559512816128001</v>
      </c>
      <c r="C17" s="47">
        <v>1.129959401344</v>
      </c>
      <c r="D17" s="47">
        <v>0</v>
      </c>
      <c r="E17" s="47">
        <v>0.80223</v>
      </c>
      <c r="F17" s="47">
        <v>0</v>
      </c>
      <c r="G17" s="47">
        <v>0.90991999999999995</v>
      </c>
      <c r="H17" s="47">
        <v>1.3878699999999999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v>0</v>
      </c>
      <c r="O17" s="47">
        <v>0</v>
      </c>
      <c r="P17" s="48">
        <v>3.1000200000000002</v>
      </c>
      <c r="Q17" s="71">
        <v>0.34293488734100003</v>
      </c>
    </row>
    <row r="18" spans="1:17" ht="14.4" customHeight="1" x14ac:dyDescent="0.3">
      <c r="A18" s="15" t="s">
        <v>32</v>
      </c>
      <c r="B18" s="46">
        <v>0</v>
      </c>
      <c r="C18" s="47">
        <v>0</v>
      </c>
      <c r="D18" s="47">
        <v>0</v>
      </c>
      <c r="E18" s="47">
        <v>0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v>0</v>
      </c>
      <c r="O18" s="47">
        <v>0</v>
      </c>
      <c r="P18" s="48">
        <v>0</v>
      </c>
      <c r="Q18" s="71" t="s">
        <v>248</v>
      </c>
    </row>
    <row r="19" spans="1:17" ht="14.4" customHeight="1" x14ac:dyDescent="0.3">
      <c r="A19" s="15" t="s">
        <v>33</v>
      </c>
      <c r="B19" s="46">
        <v>27.701412881877999</v>
      </c>
      <c r="C19" s="47">
        <v>2.308451073489</v>
      </c>
      <c r="D19" s="47">
        <v>1.61053</v>
      </c>
      <c r="E19" s="47">
        <v>1.50888</v>
      </c>
      <c r="F19" s="47">
        <v>1.61633</v>
      </c>
      <c r="G19" s="47">
        <v>2.2266900000000001</v>
      </c>
      <c r="H19" s="47">
        <v>1.57409</v>
      </c>
      <c r="I19" s="47">
        <v>1.53267</v>
      </c>
      <c r="J19" s="47">
        <v>3.3755199999999999</v>
      </c>
      <c r="K19" s="47">
        <v>1.7571300000000001</v>
      </c>
      <c r="L19" s="47">
        <v>0</v>
      </c>
      <c r="M19" s="47">
        <v>0</v>
      </c>
      <c r="N19" s="47">
        <v>0</v>
      </c>
      <c r="O19" s="47">
        <v>0</v>
      </c>
      <c r="P19" s="48">
        <v>15.201840000000001</v>
      </c>
      <c r="Q19" s="71">
        <v>0.823162345445</v>
      </c>
    </row>
    <row r="20" spans="1:17" ht="14.4" customHeight="1" x14ac:dyDescent="0.3">
      <c r="A20" s="15" t="s">
        <v>34</v>
      </c>
      <c r="B20" s="46">
        <v>3111.99990197954</v>
      </c>
      <c r="C20" s="47">
        <v>259.33332516496199</v>
      </c>
      <c r="D20" s="47">
        <v>253.6105</v>
      </c>
      <c r="E20" s="47">
        <v>253.02200000000099</v>
      </c>
      <c r="F20" s="47">
        <v>238.26363000000001</v>
      </c>
      <c r="G20" s="47">
        <v>254.56599</v>
      </c>
      <c r="H20" s="47">
        <v>210.51984999999999</v>
      </c>
      <c r="I20" s="47">
        <v>359.77404000000001</v>
      </c>
      <c r="J20" s="47">
        <v>362.24178999999998</v>
      </c>
      <c r="K20" s="47">
        <v>251.06720000000001</v>
      </c>
      <c r="L20" s="47">
        <v>0</v>
      </c>
      <c r="M20" s="47">
        <v>0</v>
      </c>
      <c r="N20" s="47">
        <v>0</v>
      </c>
      <c r="O20" s="47">
        <v>0</v>
      </c>
      <c r="P20" s="48">
        <v>2183.0650000000001</v>
      </c>
      <c r="Q20" s="71">
        <v>1.052248587127</v>
      </c>
    </row>
    <row r="21" spans="1:17" ht="14.4" customHeight="1" x14ac:dyDescent="0.3">
      <c r="A21" s="16" t="s">
        <v>35</v>
      </c>
      <c r="B21" s="46">
        <v>19.999962416498999</v>
      </c>
      <c r="C21" s="47">
        <v>1.6666635347080001</v>
      </c>
      <c r="D21" s="47">
        <v>1.64</v>
      </c>
      <c r="E21" s="47">
        <v>1.64</v>
      </c>
      <c r="F21" s="47">
        <v>1.64</v>
      </c>
      <c r="G21" s="47">
        <v>1.64</v>
      </c>
      <c r="H21" s="47">
        <v>1.64</v>
      </c>
      <c r="I21" s="47">
        <v>1.64</v>
      </c>
      <c r="J21" s="47">
        <v>1.64</v>
      </c>
      <c r="K21" s="47">
        <v>1.64</v>
      </c>
      <c r="L21" s="47">
        <v>0</v>
      </c>
      <c r="M21" s="47">
        <v>0</v>
      </c>
      <c r="N21" s="47">
        <v>0</v>
      </c>
      <c r="O21" s="47">
        <v>0</v>
      </c>
      <c r="P21" s="48">
        <v>13.12</v>
      </c>
      <c r="Q21" s="71">
        <v>0.98400184911099997</v>
      </c>
    </row>
    <row r="22" spans="1:17" ht="14.4" customHeight="1" x14ac:dyDescent="0.3">
      <c r="A22" s="15" t="s">
        <v>36</v>
      </c>
      <c r="B22" s="46">
        <v>0</v>
      </c>
      <c r="C22" s="47">
        <v>0</v>
      </c>
      <c r="D22" s="47">
        <v>0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3.7993999999999999</v>
      </c>
      <c r="K22" s="47">
        <v>6.0540000000000003</v>
      </c>
      <c r="L22" s="47">
        <v>0</v>
      </c>
      <c r="M22" s="47">
        <v>0</v>
      </c>
      <c r="N22" s="47">
        <v>0</v>
      </c>
      <c r="O22" s="47">
        <v>0</v>
      </c>
      <c r="P22" s="48">
        <v>9.8534000000000006</v>
      </c>
      <c r="Q22" s="71" t="s">
        <v>248</v>
      </c>
    </row>
    <row r="23" spans="1:17" ht="14.4" customHeight="1" x14ac:dyDescent="0.3">
      <c r="A23" s="16" t="s">
        <v>37</v>
      </c>
      <c r="B23" s="46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v>0</v>
      </c>
      <c r="P23" s="48">
        <v>0</v>
      </c>
      <c r="Q23" s="71" t="s">
        <v>248</v>
      </c>
    </row>
    <row r="24" spans="1:17" ht="14.4" customHeight="1" x14ac:dyDescent="0.3">
      <c r="A24" s="16" t="s">
        <v>38</v>
      </c>
      <c r="B24" s="46">
        <v>0</v>
      </c>
      <c r="C24" s="47">
        <v>0</v>
      </c>
      <c r="D24" s="47">
        <v>1.1092500000000001</v>
      </c>
      <c r="E24" s="47">
        <v>2.25</v>
      </c>
      <c r="F24" s="47">
        <v>0</v>
      </c>
      <c r="G24" s="47">
        <v>5.6843418860808002E-14</v>
      </c>
      <c r="H24" s="47">
        <v>2.8421709430404001E-14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v>0</v>
      </c>
      <c r="O24" s="47">
        <v>0</v>
      </c>
      <c r="P24" s="48">
        <v>3.3592499999999998</v>
      </c>
      <c r="Q24" s="71"/>
    </row>
    <row r="25" spans="1:17" ht="14.4" customHeight="1" x14ac:dyDescent="0.3">
      <c r="A25" s="17" t="s">
        <v>39</v>
      </c>
      <c r="B25" s="49">
        <v>3338.2951753785601</v>
      </c>
      <c r="C25" s="50">
        <v>278.19126461488003</v>
      </c>
      <c r="D25" s="50">
        <v>275.49358000000001</v>
      </c>
      <c r="E25" s="50">
        <v>274.36801000000099</v>
      </c>
      <c r="F25" s="50">
        <v>257.15692000000001</v>
      </c>
      <c r="G25" s="50">
        <v>274.51949999999999</v>
      </c>
      <c r="H25" s="50">
        <v>227.21376000000001</v>
      </c>
      <c r="I25" s="50">
        <v>373.21375</v>
      </c>
      <c r="J25" s="50">
        <v>379.86547000000002</v>
      </c>
      <c r="K25" s="50">
        <v>268.58233000000001</v>
      </c>
      <c r="L25" s="50">
        <v>0</v>
      </c>
      <c r="M25" s="50">
        <v>0</v>
      </c>
      <c r="N25" s="50">
        <v>0</v>
      </c>
      <c r="O25" s="50">
        <v>0</v>
      </c>
      <c r="P25" s="51">
        <v>2330.4133200000001</v>
      </c>
      <c r="Q25" s="72">
        <v>1.0471272899349999</v>
      </c>
    </row>
    <row r="26" spans="1:17" ht="14.4" customHeight="1" x14ac:dyDescent="0.3">
      <c r="A26" s="15" t="s">
        <v>40</v>
      </c>
      <c r="B26" s="46">
        <v>502.09512956055698</v>
      </c>
      <c r="C26" s="47">
        <v>41.841260796713001</v>
      </c>
      <c r="D26" s="47">
        <v>38.77093</v>
      </c>
      <c r="E26" s="47">
        <v>39.319479999999999</v>
      </c>
      <c r="F26" s="47">
        <v>41.556899999999999</v>
      </c>
      <c r="G26" s="47">
        <v>38.912520000000001</v>
      </c>
      <c r="H26" s="47">
        <v>30.820789999999999</v>
      </c>
      <c r="I26" s="47">
        <v>63.753480000000003</v>
      </c>
      <c r="J26" s="47">
        <v>51.830129999999997</v>
      </c>
      <c r="K26" s="47">
        <v>34.059939999999997</v>
      </c>
      <c r="L26" s="47">
        <v>0</v>
      </c>
      <c r="M26" s="47">
        <v>0</v>
      </c>
      <c r="N26" s="47">
        <v>0</v>
      </c>
      <c r="O26" s="47">
        <v>0</v>
      </c>
      <c r="P26" s="48">
        <v>339.02417000000003</v>
      </c>
      <c r="Q26" s="71">
        <v>1.012828496155</v>
      </c>
    </row>
    <row r="27" spans="1:17" ht="14.4" customHeight="1" x14ac:dyDescent="0.3">
      <c r="A27" s="18" t="s">
        <v>41</v>
      </c>
      <c r="B27" s="49">
        <v>3840.3903049391201</v>
      </c>
      <c r="C27" s="50">
        <v>320.03252541159299</v>
      </c>
      <c r="D27" s="50">
        <v>314.26450999999997</v>
      </c>
      <c r="E27" s="50">
        <v>313.68749000000099</v>
      </c>
      <c r="F27" s="50">
        <v>298.71382</v>
      </c>
      <c r="G27" s="50">
        <v>313.43202000000002</v>
      </c>
      <c r="H27" s="50">
        <v>258.03455000000002</v>
      </c>
      <c r="I27" s="50">
        <v>436.96722999999997</v>
      </c>
      <c r="J27" s="50">
        <v>431.69560000000001</v>
      </c>
      <c r="K27" s="50">
        <v>302.64227</v>
      </c>
      <c r="L27" s="50">
        <v>0</v>
      </c>
      <c r="M27" s="50">
        <v>0</v>
      </c>
      <c r="N27" s="50">
        <v>0</v>
      </c>
      <c r="O27" s="50">
        <v>0</v>
      </c>
      <c r="P27" s="51">
        <v>2669.4374899999998</v>
      </c>
      <c r="Q27" s="72">
        <v>1.0426430432989999</v>
      </c>
    </row>
    <row r="28" spans="1:17" ht="14.4" customHeight="1" x14ac:dyDescent="0.3">
      <c r="A28" s="16" t="s">
        <v>42</v>
      </c>
      <c r="B28" s="46">
        <v>0</v>
      </c>
      <c r="C28" s="47">
        <v>0</v>
      </c>
      <c r="D28" s="47">
        <v>0.22</v>
      </c>
      <c r="E28" s="47">
        <v>0</v>
      </c>
      <c r="F28" s="47">
        <v>0</v>
      </c>
      <c r="G28" s="47">
        <v>0</v>
      </c>
      <c r="H28" s="47">
        <v>0.38262000000000002</v>
      </c>
      <c r="I28" s="47">
        <v>0.38262000000000002</v>
      </c>
      <c r="J28" s="47">
        <v>0</v>
      </c>
      <c r="K28" s="47">
        <v>0</v>
      </c>
      <c r="L28" s="47">
        <v>0</v>
      </c>
      <c r="M28" s="47">
        <v>0</v>
      </c>
      <c r="N28" s="47">
        <v>0</v>
      </c>
      <c r="O28" s="47">
        <v>0</v>
      </c>
      <c r="P28" s="48">
        <v>0.98524</v>
      </c>
      <c r="Q28" s="71" t="s">
        <v>249</v>
      </c>
    </row>
    <row r="29" spans="1:17" ht="14.4" customHeight="1" x14ac:dyDescent="0.3">
      <c r="A29" s="16" t="s">
        <v>43</v>
      </c>
      <c r="B29" s="46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v>0</v>
      </c>
      <c r="P29" s="48">
        <v>0</v>
      </c>
      <c r="Q29" s="71" t="s">
        <v>248</v>
      </c>
    </row>
    <row r="30" spans="1:17" ht="14.4" customHeight="1" x14ac:dyDescent="0.3">
      <c r="A30" s="16" t="s">
        <v>44</v>
      </c>
      <c r="B30" s="46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v>0</v>
      </c>
      <c r="P30" s="48">
        <v>0</v>
      </c>
      <c r="Q30" s="71">
        <v>0</v>
      </c>
    </row>
    <row r="31" spans="1:17" ht="14.4" customHeight="1" thickBot="1" x14ac:dyDescent="0.35">
      <c r="A31" s="19" t="s">
        <v>45</v>
      </c>
      <c r="B31" s="52">
        <v>0</v>
      </c>
      <c r="C31" s="53">
        <v>0</v>
      </c>
      <c r="D31" s="53">
        <v>0</v>
      </c>
      <c r="E31" s="53">
        <v>0</v>
      </c>
      <c r="F31" s="53">
        <v>0</v>
      </c>
      <c r="G31" s="53">
        <v>0</v>
      </c>
      <c r="H31" s="53">
        <v>0</v>
      </c>
      <c r="I31" s="53">
        <v>0</v>
      </c>
      <c r="J31" s="53">
        <v>0</v>
      </c>
      <c r="K31" s="53">
        <v>0</v>
      </c>
      <c r="L31" s="53">
        <v>0</v>
      </c>
      <c r="M31" s="53">
        <v>0</v>
      </c>
      <c r="N31" s="53">
        <v>0</v>
      </c>
      <c r="O31" s="53">
        <v>0</v>
      </c>
      <c r="P31" s="54">
        <v>0</v>
      </c>
      <c r="Q31" s="73" t="s">
        <v>248</v>
      </c>
    </row>
    <row r="32" spans="1:17" ht="14.4" customHeight="1" x14ac:dyDescent="0.3">
      <c r="B32" s="106"/>
      <c r="C32" s="106"/>
      <c r="D32" s="106"/>
      <c r="E32" s="106"/>
      <c r="F32" s="106"/>
      <c r="G32" s="106"/>
      <c r="H32" s="106"/>
      <c r="I32" s="106"/>
      <c r="J32" s="106"/>
      <c r="K32" s="106"/>
      <c r="L32" s="106"/>
      <c r="M32" s="106"/>
      <c r="N32" s="106"/>
      <c r="O32" s="106"/>
      <c r="P32" s="106"/>
      <c r="Q32" s="106"/>
    </row>
    <row r="33" spans="1:17" ht="14.4" customHeight="1" x14ac:dyDescent="0.3">
      <c r="A33" s="88" t="s">
        <v>128</v>
      </c>
      <c r="B33" s="107"/>
      <c r="C33" s="107"/>
      <c r="D33" s="107"/>
      <c r="E33" s="107"/>
      <c r="F33" s="107"/>
      <c r="G33" s="107"/>
      <c r="H33" s="107"/>
      <c r="I33" s="107"/>
      <c r="J33" s="107"/>
      <c r="K33" s="107"/>
      <c r="L33" s="107"/>
      <c r="M33" s="107"/>
      <c r="N33" s="107"/>
      <c r="O33" s="107"/>
      <c r="P33" s="107"/>
      <c r="Q33" s="107"/>
    </row>
    <row r="34" spans="1:17" ht="14.4" customHeight="1" x14ac:dyDescent="0.3">
      <c r="A34" s="111" t="s">
        <v>244</v>
      </c>
      <c r="B34" s="107"/>
      <c r="C34" s="107"/>
      <c r="D34" s="107"/>
      <c r="E34" s="107"/>
      <c r="F34" s="107"/>
      <c r="G34" s="107"/>
      <c r="H34" s="107"/>
      <c r="I34" s="107"/>
      <c r="J34" s="107"/>
      <c r="K34" s="107"/>
      <c r="L34" s="107"/>
      <c r="M34" s="107"/>
      <c r="N34" s="107"/>
      <c r="O34" s="107"/>
      <c r="P34" s="107"/>
      <c r="Q34" s="107"/>
    </row>
    <row r="35" spans="1:17" ht="14.4" customHeight="1" x14ac:dyDescent="0.3">
      <c r="A35" s="112" t="s">
        <v>46</v>
      </c>
      <c r="B35" s="107"/>
      <c r="C35" s="107"/>
      <c r="D35" s="107"/>
      <c r="E35" s="107"/>
      <c r="F35" s="107"/>
      <c r="G35" s="107"/>
      <c r="H35" s="107"/>
      <c r="I35" s="107"/>
      <c r="J35" s="107"/>
      <c r="K35" s="107"/>
      <c r="L35" s="107"/>
      <c r="M35" s="107"/>
      <c r="N35" s="107"/>
      <c r="O35" s="107"/>
      <c r="P35" s="107"/>
      <c r="Q35" s="107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121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05" customWidth="1"/>
    <col min="2" max="11" width="10" style="105" customWidth="1"/>
    <col min="12" max="16384" width="8.88671875" style="105"/>
  </cols>
  <sheetData>
    <row r="1" spans="1:11" s="55" customFormat="1" ht="18.600000000000001" customHeight="1" thickBot="1" x14ac:dyDescent="0.4">
      <c r="A1" s="302" t="s">
        <v>47</v>
      </c>
      <c r="B1" s="302"/>
      <c r="C1" s="302"/>
      <c r="D1" s="302"/>
      <c r="E1" s="302"/>
      <c r="F1" s="302"/>
      <c r="G1" s="302"/>
      <c r="H1" s="307"/>
      <c r="I1" s="307"/>
      <c r="J1" s="307"/>
      <c r="K1" s="307"/>
    </row>
    <row r="2" spans="1:11" s="55" customFormat="1" ht="14.4" customHeight="1" thickBot="1" x14ac:dyDescent="0.35">
      <c r="A2" s="202" t="s">
        <v>247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3" spans="1:11" ht="14.4" customHeight="1" x14ac:dyDescent="0.3">
      <c r="A3" s="60"/>
      <c r="B3" s="303" t="s">
        <v>48</v>
      </c>
      <c r="C3" s="304"/>
      <c r="D3" s="304"/>
      <c r="E3" s="304"/>
      <c r="F3" s="310" t="s">
        <v>49</v>
      </c>
      <c r="G3" s="304"/>
      <c r="H3" s="304"/>
      <c r="I3" s="304"/>
      <c r="J3" s="304"/>
      <c r="K3" s="311"/>
    </row>
    <row r="4" spans="1:11" ht="14.4" customHeight="1" x14ac:dyDescent="0.3">
      <c r="A4" s="61"/>
      <c r="B4" s="308"/>
      <c r="C4" s="309"/>
      <c r="D4" s="309"/>
      <c r="E4" s="309"/>
      <c r="F4" s="312" t="s">
        <v>240</v>
      </c>
      <c r="G4" s="314" t="s">
        <v>50</v>
      </c>
      <c r="H4" s="116" t="s">
        <v>118</v>
      </c>
      <c r="I4" s="312" t="s">
        <v>51</v>
      </c>
      <c r="J4" s="314" t="s">
        <v>242</v>
      </c>
      <c r="K4" s="315" t="s">
        <v>243</v>
      </c>
    </row>
    <row r="5" spans="1:11" ht="42" thickBot="1" x14ac:dyDescent="0.35">
      <c r="A5" s="62"/>
      <c r="B5" s="24" t="s">
        <v>236</v>
      </c>
      <c r="C5" s="25" t="s">
        <v>237</v>
      </c>
      <c r="D5" s="26" t="s">
        <v>238</v>
      </c>
      <c r="E5" s="26" t="s">
        <v>239</v>
      </c>
      <c r="F5" s="313"/>
      <c r="G5" s="313"/>
      <c r="H5" s="25" t="s">
        <v>241</v>
      </c>
      <c r="I5" s="313"/>
      <c r="J5" s="313"/>
      <c r="K5" s="316"/>
    </row>
    <row r="6" spans="1:11" ht="14.4" customHeight="1" thickBot="1" x14ac:dyDescent="0.35">
      <c r="A6" s="379" t="s">
        <v>251</v>
      </c>
      <c r="B6" s="361">
        <v>3441.1472956500902</v>
      </c>
      <c r="C6" s="361">
        <v>3018.0945099999999</v>
      </c>
      <c r="D6" s="362">
        <v>-423.05278565008598</v>
      </c>
      <c r="E6" s="363">
        <v>0.87706054135300004</v>
      </c>
      <c r="F6" s="361">
        <v>3338.2951753785601</v>
      </c>
      <c r="G6" s="362">
        <v>2225.5301169190402</v>
      </c>
      <c r="H6" s="364">
        <v>268.58233000000001</v>
      </c>
      <c r="I6" s="361">
        <v>2330.4133200000001</v>
      </c>
      <c r="J6" s="362">
        <v>104.88320308096201</v>
      </c>
      <c r="K6" s="365">
        <v>0.69808485995699998</v>
      </c>
    </row>
    <row r="7" spans="1:11" ht="14.4" customHeight="1" thickBot="1" x14ac:dyDescent="0.35">
      <c r="A7" s="380" t="s">
        <v>252</v>
      </c>
      <c r="B7" s="361">
        <v>169.85184636650499</v>
      </c>
      <c r="C7" s="361">
        <v>151.6944</v>
      </c>
      <c r="D7" s="362">
        <v>-18.157446366504001</v>
      </c>
      <c r="E7" s="363">
        <v>0.89309832801300004</v>
      </c>
      <c r="F7" s="361">
        <v>165.03438528450999</v>
      </c>
      <c r="G7" s="362">
        <v>110.02292352300699</v>
      </c>
      <c r="H7" s="364">
        <v>8.0640000000000001</v>
      </c>
      <c r="I7" s="361">
        <v>102.71381</v>
      </c>
      <c r="J7" s="362">
        <v>-7.3091135230060003</v>
      </c>
      <c r="K7" s="365">
        <v>0.62237823846700002</v>
      </c>
    </row>
    <row r="8" spans="1:11" ht="14.4" customHeight="1" thickBot="1" x14ac:dyDescent="0.35">
      <c r="A8" s="381" t="s">
        <v>253</v>
      </c>
      <c r="B8" s="361">
        <v>15.171196011928</v>
      </c>
      <c r="C8" s="361">
        <v>11.6594</v>
      </c>
      <c r="D8" s="362">
        <v>-3.5117960119279998</v>
      </c>
      <c r="E8" s="363">
        <v>0.768522138322</v>
      </c>
      <c r="F8" s="361">
        <v>17.260189119102002</v>
      </c>
      <c r="G8" s="362">
        <v>11.506792746067999</v>
      </c>
      <c r="H8" s="364">
        <v>0</v>
      </c>
      <c r="I8" s="361">
        <v>7.8258099999999997</v>
      </c>
      <c r="J8" s="362">
        <v>-3.680982746068</v>
      </c>
      <c r="K8" s="365">
        <v>0.45340233215199999</v>
      </c>
    </row>
    <row r="9" spans="1:11" ht="14.4" customHeight="1" thickBot="1" x14ac:dyDescent="0.35">
      <c r="A9" s="382" t="s">
        <v>254</v>
      </c>
      <c r="B9" s="366">
        <v>0.47948292892299998</v>
      </c>
      <c r="C9" s="366">
        <v>0</v>
      </c>
      <c r="D9" s="367">
        <v>-0.47948292892299998</v>
      </c>
      <c r="E9" s="368">
        <v>0</v>
      </c>
      <c r="F9" s="366">
        <v>0</v>
      </c>
      <c r="G9" s="367">
        <v>0</v>
      </c>
      <c r="H9" s="369">
        <v>0</v>
      </c>
      <c r="I9" s="366">
        <v>0.33857999999999999</v>
      </c>
      <c r="J9" s="367">
        <v>0.33857999999999999</v>
      </c>
      <c r="K9" s="370" t="s">
        <v>249</v>
      </c>
    </row>
    <row r="10" spans="1:11" ht="14.4" customHeight="1" thickBot="1" x14ac:dyDescent="0.35">
      <c r="A10" s="383" t="s">
        <v>255</v>
      </c>
      <c r="B10" s="361">
        <v>0.47948292892299998</v>
      </c>
      <c r="C10" s="361">
        <v>0</v>
      </c>
      <c r="D10" s="362">
        <v>-0.47948292892299998</v>
      </c>
      <c r="E10" s="363">
        <v>0</v>
      </c>
      <c r="F10" s="361">
        <v>0</v>
      </c>
      <c r="G10" s="362">
        <v>0</v>
      </c>
      <c r="H10" s="364">
        <v>0</v>
      </c>
      <c r="I10" s="361">
        <v>0.33857999999999999</v>
      </c>
      <c r="J10" s="362">
        <v>0.33857999999999999</v>
      </c>
      <c r="K10" s="371" t="s">
        <v>249</v>
      </c>
    </row>
    <row r="11" spans="1:11" ht="14.4" customHeight="1" thickBot="1" x14ac:dyDescent="0.35">
      <c r="A11" s="382" t="s">
        <v>256</v>
      </c>
      <c r="B11" s="366">
        <v>3.9999698665999998E-2</v>
      </c>
      <c r="C11" s="366">
        <v>0</v>
      </c>
      <c r="D11" s="367">
        <v>-3.9999698665999998E-2</v>
      </c>
      <c r="E11" s="368">
        <v>0</v>
      </c>
      <c r="F11" s="366">
        <v>0</v>
      </c>
      <c r="G11" s="367">
        <v>0</v>
      </c>
      <c r="H11" s="369">
        <v>0</v>
      </c>
      <c r="I11" s="366">
        <v>1.01122</v>
      </c>
      <c r="J11" s="367">
        <v>1.01122</v>
      </c>
      <c r="K11" s="370" t="s">
        <v>249</v>
      </c>
    </row>
    <row r="12" spans="1:11" ht="14.4" customHeight="1" thickBot="1" x14ac:dyDescent="0.35">
      <c r="A12" s="383" t="s">
        <v>257</v>
      </c>
      <c r="B12" s="361">
        <v>0</v>
      </c>
      <c r="C12" s="361">
        <v>0</v>
      </c>
      <c r="D12" s="362">
        <v>0</v>
      </c>
      <c r="E12" s="363">
        <v>1</v>
      </c>
      <c r="F12" s="361">
        <v>0</v>
      </c>
      <c r="G12" s="362">
        <v>0</v>
      </c>
      <c r="H12" s="364">
        <v>0</v>
      </c>
      <c r="I12" s="361">
        <v>0.28936000000000001</v>
      </c>
      <c r="J12" s="362">
        <v>0.28936000000000001</v>
      </c>
      <c r="K12" s="371" t="s">
        <v>249</v>
      </c>
    </row>
    <row r="13" spans="1:11" ht="14.4" customHeight="1" thickBot="1" x14ac:dyDescent="0.35">
      <c r="A13" s="383" t="s">
        <v>258</v>
      </c>
      <c r="B13" s="361">
        <v>3.9999698665999998E-2</v>
      </c>
      <c r="C13" s="361">
        <v>0</v>
      </c>
      <c r="D13" s="362">
        <v>-3.9999698665999998E-2</v>
      </c>
      <c r="E13" s="363">
        <v>0</v>
      </c>
      <c r="F13" s="361">
        <v>0</v>
      </c>
      <c r="G13" s="362">
        <v>0</v>
      </c>
      <c r="H13" s="364">
        <v>0</v>
      </c>
      <c r="I13" s="361">
        <v>0.72185999999999995</v>
      </c>
      <c r="J13" s="362">
        <v>0.72185999999999995</v>
      </c>
      <c r="K13" s="371" t="s">
        <v>249</v>
      </c>
    </row>
    <row r="14" spans="1:11" ht="14.4" customHeight="1" thickBot="1" x14ac:dyDescent="0.35">
      <c r="A14" s="382" t="s">
        <v>259</v>
      </c>
      <c r="B14" s="366">
        <v>13.162129307817001</v>
      </c>
      <c r="C14" s="366">
        <v>8.1452299999999997</v>
      </c>
      <c r="D14" s="367">
        <v>-5.0168993078169999</v>
      </c>
      <c r="E14" s="368">
        <v>0.61883832087500001</v>
      </c>
      <c r="F14" s="366">
        <v>13.260189245092</v>
      </c>
      <c r="G14" s="367">
        <v>8.8401261633950003</v>
      </c>
      <c r="H14" s="369">
        <v>0</v>
      </c>
      <c r="I14" s="366">
        <v>6.37181</v>
      </c>
      <c r="J14" s="367">
        <v>-2.4683161633949999</v>
      </c>
      <c r="K14" s="372">
        <v>0.48052179966800002</v>
      </c>
    </row>
    <row r="15" spans="1:11" ht="14.4" customHeight="1" thickBot="1" x14ac:dyDescent="0.35">
      <c r="A15" s="383" t="s">
        <v>260</v>
      </c>
      <c r="B15" s="361">
        <v>0</v>
      </c>
      <c r="C15" s="361">
        <v>0</v>
      </c>
      <c r="D15" s="362">
        <v>0</v>
      </c>
      <c r="E15" s="373" t="s">
        <v>248</v>
      </c>
      <c r="F15" s="361">
        <v>0</v>
      </c>
      <c r="G15" s="362">
        <v>0</v>
      </c>
      <c r="H15" s="364">
        <v>0</v>
      </c>
      <c r="I15" s="361">
        <v>1.3</v>
      </c>
      <c r="J15" s="362">
        <v>1.3</v>
      </c>
      <c r="K15" s="371" t="s">
        <v>249</v>
      </c>
    </row>
    <row r="16" spans="1:11" ht="14.4" customHeight="1" thickBot="1" x14ac:dyDescent="0.35">
      <c r="A16" s="383" t="s">
        <v>261</v>
      </c>
      <c r="B16" s="361">
        <v>0</v>
      </c>
      <c r="C16" s="361">
        <v>0.10696</v>
      </c>
      <c r="D16" s="362">
        <v>0.10696</v>
      </c>
      <c r="E16" s="373" t="s">
        <v>249</v>
      </c>
      <c r="F16" s="361">
        <v>0</v>
      </c>
      <c r="G16" s="362">
        <v>0</v>
      </c>
      <c r="H16" s="364">
        <v>0</v>
      </c>
      <c r="I16" s="361">
        <v>0</v>
      </c>
      <c r="J16" s="362">
        <v>0</v>
      </c>
      <c r="K16" s="365">
        <v>0</v>
      </c>
    </row>
    <row r="17" spans="1:11" ht="14.4" customHeight="1" thickBot="1" x14ac:dyDescent="0.35">
      <c r="A17" s="383" t="s">
        <v>262</v>
      </c>
      <c r="B17" s="361">
        <v>2.2523999963099999</v>
      </c>
      <c r="C17" s="361">
        <v>2.4256899999999999</v>
      </c>
      <c r="D17" s="362">
        <v>0.17329000368899999</v>
      </c>
      <c r="E17" s="363">
        <v>1.0769357147809999</v>
      </c>
      <c r="F17" s="361">
        <v>3.8952225394590001</v>
      </c>
      <c r="G17" s="362">
        <v>2.5968150263059999</v>
      </c>
      <c r="H17" s="364">
        <v>0</v>
      </c>
      <c r="I17" s="361">
        <v>0</v>
      </c>
      <c r="J17" s="362">
        <v>-2.5968150263059999</v>
      </c>
      <c r="K17" s="365">
        <v>0</v>
      </c>
    </row>
    <row r="18" spans="1:11" ht="14.4" customHeight="1" thickBot="1" x14ac:dyDescent="0.35">
      <c r="A18" s="383" t="s">
        <v>263</v>
      </c>
      <c r="B18" s="361">
        <v>2.231142273158</v>
      </c>
      <c r="C18" s="361">
        <v>3.4522400000000002</v>
      </c>
      <c r="D18" s="362">
        <v>1.2210977268409999</v>
      </c>
      <c r="E18" s="363">
        <v>1.5472971139180001</v>
      </c>
      <c r="F18" s="361">
        <v>5.9999998110139998</v>
      </c>
      <c r="G18" s="362">
        <v>3.9999998740090001</v>
      </c>
      <c r="H18" s="364">
        <v>0</v>
      </c>
      <c r="I18" s="361">
        <v>1.5928800000000001</v>
      </c>
      <c r="J18" s="362">
        <v>-2.4071198740090001</v>
      </c>
      <c r="K18" s="365">
        <v>0.265480008361</v>
      </c>
    </row>
    <row r="19" spans="1:11" ht="14.4" customHeight="1" thickBot="1" x14ac:dyDescent="0.35">
      <c r="A19" s="383" t="s">
        <v>264</v>
      </c>
      <c r="B19" s="361">
        <v>0.99991897388999995</v>
      </c>
      <c r="C19" s="361">
        <v>0</v>
      </c>
      <c r="D19" s="362">
        <v>-0.99991897388999995</v>
      </c>
      <c r="E19" s="363">
        <v>0</v>
      </c>
      <c r="F19" s="361">
        <v>0.99999996850200001</v>
      </c>
      <c r="G19" s="362">
        <v>0.66666664566800005</v>
      </c>
      <c r="H19" s="364">
        <v>0</v>
      </c>
      <c r="I19" s="361">
        <v>2.4467500000000002</v>
      </c>
      <c r="J19" s="362">
        <v>1.780083354331</v>
      </c>
      <c r="K19" s="365">
        <v>2.446750077066</v>
      </c>
    </row>
    <row r="20" spans="1:11" ht="14.4" customHeight="1" thickBot="1" x14ac:dyDescent="0.35">
      <c r="A20" s="383" t="s">
        <v>265</v>
      </c>
      <c r="B20" s="361">
        <v>5.8613186333189997</v>
      </c>
      <c r="C20" s="361">
        <v>0</v>
      </c>
      <c r="D20" s="362">
        <v>-5.8613186333189997</v>
      </c>
      <c r="E20" s="363">
        <v>0</v>
      </c>
      <c r="F20" s="361">
        <v>0</v>
      </c>
      <c r="G20" s="362">
        <v>0</v>
      </c>
      <c r="H20" s="364">
        <v>0</v>
      </c>
      <c r="I20" s="361">
        <v>0</v>
      </c>
      <c r="J20" s="362">
        <v>0</v>
      </c>
      <c r="K20" s="365">
        <v>0</v>
      </c>
    </row>
    <row r="21" spans="1:11" ht="14.4" customHeight="1" thickBot="1" x14ac:dyDescent="0.35">
      <c r="A21" s="383" t="s">
        <v>266</v>
      </c>
      <c r="B21" s="361">
        <v>0.90308199399699995</v>
      </c>
      <c r="C21" s="361">
        <v>0.89639999999999997</v>
      </c>
      <c r="D21" s="362">
        <v>-6.6819939969999997E-3</v>
      </c>
      <c r="E21" s="363">
        <v>0.99260089998199996</v>
      </c>
      <c r="F21" s="361">
        <v>1.364966957614</v>
      </c>
      <c r="G21" s="362">
        <v>0.90997797174200001</v>
      </c>
      <c r="H21" s="364">
        <v>0</v>
      </c>
      <c r="I21" s="361">
        <v>0.97409999999999997</v>
      </c>
      <c r="J21" s="362">
        <v>6.4122028257000002E-2</v>
      </c>
      <c r="K21" s="365">
        <v>0.71364364870899999</v>
      </c>
    </row>
    <row r="22" spans="1:11" ht="14.4" customHeight="1" thickBot="1" x14ac:dyDescent="0.35">
      <c r="A22" s="383" t="s">
        <v>267</v>
      </c>
      <c r="B22" s="361">
        <v>0.91426743714000003</v>
      </c>
      <c r="C22" s="361">
        <v>1.2639400000000001</v>
      </c>
      <c r="D22" s="362">
        <v>0.349672562859</v>
      </c>
      <c r="E22" s="363">
        <v>1.3824620112829999</v>
      </c>
      <c r="F22" s="361">
        <v>0.99999996850200001</v>
      </c>
      <c r="G22" s="362">
        <v>0.66666664566800005</v>
      </c>
      <c r="H22" s="364">
        <v>0</v>
      </c>
      <c r="I22" s="361">
        <v>5.808E-2</v>
      </c>
      <c r="J22" s="362">
        <v>-0.60858664566800003</v>
      </c>
      <c r="K22" s="365">
        <v>5.8080001829E-2</v>
      </c>
    </row>
    <row r="23" spans="1:11" ht="14.4" customHeight="1" thickBot="1" x14ac:dyDescent="0.35">
      <c r="A23" s="382" t="s">
        <v>268</v>
      </c>
      <c r="B23" s="366">
        <v>1.0001864980149999</v>
      </c>
      <c r="C23" s="366">
        <v>0</v>
      </c>
      <c r="D23" s="367">
        <v>-1.0001864980149999</v>
      </c>
      <c r="E23" s="368">
        <v>0</v>
      </c>
      <c r="F23" s="366">
        <v>0.99999996850200001</v>
      </c>
      <c r="G23" s="367">
        <v>0.66666664566800005</v>
      </c>
      <c r="H23" s="369">
        <v>0</v>
      </c>
      <c r="I23" s="366">
        <v>0.1042</v>
      </c>
      <c r="J23" s="367">
        <v>-0.56246664566799998</v>
      </c>
      <c r="K23" s="372">
        <v>0.10420000328200001</v>
      </c>
    </row>
    <row r="24" spans="1:11" ht="14.4" customHeight="1" thickBot="1" x14ac:dyDescent="0.35">
      <c r="A24" s="383" t="s">
        <v>269</v>
      </c>
      <c r="B24" s="361">
        <v>1.0001864980149999</v>
      </c>
      <c r="C24" s="361">
        <v>0</v>
      </c>
      <c r="D24" s="362">
        <v>-1.0001864980149999</v>
      </c>
      <c r="E24" s="363">
        <v>0</v>
      </c>
      <c r="F24" s="361">
        <v>0.99999996850200001</v>
      </c>
      <c r="G24" s="362">
        <v>0.66666664566800005</v>
      </c>
      <c r="H24" s="364">
        <v>0</v>
      </c>
      <c r="I24" s="361">
        <v>0.1042</v>
      </c>
      <c r="J24" s="362">
        <v>-0.56246664566799998</v>
      </c>
      <c r="K24" s="365">
        <v>0.10420000328200001</v>
      </c>
    </row>
    <row r="25" spans="1:11" ht="14.4" customHeight="1" thickBot="1" x14ac:dyDescent="0.35">
      <c r="A25" s="382" t="s">
        <v>270</v>
      </c>
      <c r="B25" s="366">
        <v>0.48939757850600002</v>
      </c>
      <c r="C25" s="366">
        <v>3.51417</v>
      </c>
      <c r="D25" s="367">
        <v>3.0247724214930001</v>
      </c>
      <c r="E25" s="368">
        <v>7.1806035712850003</v>
      </c>
      <c r="F25" s="366">
        <v>2.9999999055069999</v>
      </c>
      <c r="G25" s="367">
        <v>1.999999937004</v>
      </c>
      <c r="H25" s="369">
        <v>0</v>
      </c>
      <c r="I25" s="366">
        <v>0</v>
      </c>
      <c r="J25" s="367">
        <v>-1.999999937004</v>
      </c>
      <c r="K25" s="372">
        <v>0</v>
      </c>
    </row>
    <row r="26" spans="1:11" ht="14.4" customHeight="1" thickBot="1" x14ac:dyDescent="0.35">
      <c r="A26" s="383" t="s">
        <v>271</v>
      </c>
      <c r="B26" s="361">
        <v>0.48939757850600002</v>
      </c>
      <c r="C26" s="361">
        <v>3.51417</v>
      </c>
      <c r="D26" s="362">
        <v>3.0247724214930001</v>
      </c>
      <c r="E26" s="363">
        <v>7.1806035712850003</v>
      </c>
      <c r="F26" s="361">
        <v>2.9999999055069999</v>
      </c>
      <c r="G26" s="362">
        <v>1.999999937004</v>
      </c>
      <c r="H26" s="364">
        <v>0</v>
      </c>
      <c r="I26" s="361">
        <v>0</v>
      </c>
      <c r="J26" s="362">
        <v>-1.999999937004</v>
      </c>
      <c r="K26" s="365">
        <v>0</v>
      </c>
    </row>
    <row r="27" spans="1:11" ht="14.4" customHeight="1" thickBot="1" x14ac:dyDescent="0.35">
      <c r="A27" s="381" t="s">
        <v>28</v>
      </c>
      <c r="B27" s="361">
        <v>154.68065035457599</v>
      </c>
      <c r="C27" s="361">
        <v>140.035</v>
      </c>
      <c r="D27" s="362">
        <v>-14.645650354576</v>
      </c>
      <c r="E27" s="363">
        <v>0.90531685559200004</v>
      </c>
      <c r="F27" s="361">
        <v>147.77419616540701</v>
      </c>
      <c r="G27" s="362">
        <v>98.516130776937999</v>
      </c>
      <c r="H27" s="364">
        <v>8.0640000000000001</v>
      </c>
      <c r="I27" s="361">
        <v>94.888000000000005</v>
      </c>
      <c r="J27" s="362">
        <v>-3.6281307769379998</v>
      </c>
      <c r="K27" s="365">
        <v>0.64211481071900001</v>
      </c>
    </row>
    <row r="28" spans="1:11" ht="14.4" customHeight="1" thickBot="1" x14ac:dyDescent="0.35">
      <c r="A28" s="382" t="s">
        <v>272</v>
      </c>
      <c r="B28" s="366">
        <v>154.68065035457599</v>
      </c>
      <c r="C28" s="366">
        <v>140.035</v>
      </c>
      <c r="D28" s="367">
        <v>-14.645650354576</v>
      </c>
      <c r="E28" s="368">
        <v>0.90531685559200004</v>
      </c>
      <c r="F28" s="366">
        <v>147.77419616540701</v>
      </c>
      <c r="G28" s="367">
        <v>98.516130776937999</v>
      </c>
      <c r="H28" s="369">
        <v>8.0640000000000001</v>
      </c>
      <c r="I28" s="366">
        <v>94.888000000000005</v>
      </c>
      <c r="J28" s="367">
        <v>-3.6281307769379998</v>
      </c>
      <c r="K28" s="372">
        <v>0.64211481071900001</v>
      </c>
    </row>
    <row r="29" spans="1:11" ht="14.4" customHeight="1" thickBot="1" x14ac:dyDescent="0.35">
      <c r="A29" s="383" t="s">
        <v>273</v>
      </c>
      <c r="B29" s="361">
        <v>31.018429160524999</v>
      </c>
      <c r="C29" s="361">
        <v>26.065999999999999</v>
      </c>
      <c r="D29" s="362">
        <v>-4.9524291605249999</v>
      </c>
      <c r="E29" s="363">
        <v>0.84033913726200005</v>
      </c>
      <c r="F29" s="361">
        <v>26.774199976613001</v>
      </c>
      <c r="G29" s="362">
        <v>17.849466651075002</v>
      </c>
      <c r="H29" s="364">
        <v>2.6230000000000002</v>
      </c>
      <c r="I29" s="361">
        <v>18.074999999999999</v>
      </c>
      <c r="J29" s="362">
        <v>0.22553334892400001</v>
      </c>
      <c r="K29" s="365">
        <v>0.67509019936299997</v>
      </c>
    </row>
    <row r="30" spans="1:11" ht="14.4" customHeight="1" thickBot="1" x14ac:dyDescent="0.35">
      <c r="A30" s="383" t="s">
        <v>274</v>
      </c>
      <c r="B30" s="361">
        <v>60.000406434337997</v>
      </c>
      <c r="C30" s="361">
        <v>54.908999999999999</v>
      </c>
      <c r="D30" s="362">
        <v>-5.0914064343380003</v>
      </c>
      <c r="E30" s="363">
        <v>0.91514380090199998</v>
      </c>
      <c r="F30" s="361">
        <v>59.999998110145</v>
      </c>
      <c r="G30" s="362">
        <v>39.999998740095997</v>
      </c>
      <c r="H30" s="364">
        <v>3.5369999999999999</v>
      </c>
      <c r="I30" s="361">
        <v>36.299999999999997</v>
      </c>
      <c r="J30" s="362">
        <v>-3.6999987400959999</v>
      </c>
      <c r="K30" s="365">
        <v>0.60500001905599998</v>
      </c>
    </row>
    <row r="31" spans="1:11" ht="14.4" customHeight="1" thickBot="1" x14ac:dyDescent="0.35">
      <c r="A31" s="383" t="s">
        <v>275</v>
      </c>
      <c r="B31" s="361">
        <v>63.661814759712001</v>
      </c>
      <c r="C31" s="361">
        <v>59.06</v>
      </c>
      <c r="D31" s="362">
        <v>-4.601814759712</v>
      </c>
      <c r="E31" s="363">
        <v>0.92771467830300003</v>
      </c>
      <c r="F31" s="361">
        <v>60.999998078647998</v>
      </c>
      <c r="G31" s="362">
        <v>40.666665385765</v>
      </c>
      <c r="H31" s="364">
        <v>1.9039999999999999</v>
      </c>
      <c r="I31" s="361">
        <v>40.512999999999998</v>
      </c>
      <c r="J31" s="362">
        <v>-0.153665385765</v>
      </c>
      <c r="K31" s="365">
        <v>0.66414756190199997</v>
      </c>
    </row>
    <row r="32" spans="1:11" ht="14.4" customHeight="1" thickBot="1" x14ac:dyDescent="0.35">
      <c r="A32" s="384" t="s">
        <v>276</v>
      </c>
      <c r="B32" s="366">
        <v>30.280205215986999</v>
      </c>
      <c r="C32" s="366">
        <v>66.432360000000003</v>
      </c>
      <c r="D32" s="367">
        <v>36.152154784011998</v>
      </c>
      <c r="E32" s="368">
        <v>2.1939204019959999</v>
      </c>
      <c r="F32" s="366">
        <v>41.260925698005998</v>
      </c>
      <c r="G32" s="367">
        <v>27.507283798671001</v>
      </c>
      <c r="H32" s="369">
        <v>1.7571300000000001</v>
      </c>
      <c r="I32" s="366">
        <v>18.301860000000001</v>
      </c>
      <c r="J32" s="367">
        <v>-9.2054237986699992</v>
      </c>
      <c r="K32" s="372">
        <v>0.44356396979399998</v>
      </c>
    </row>
    <row r="33" spans="1:11" ht="14.4" customHeight="1" thickBot="1" x14ac:dyDescent="0.35">
      <c r="A33" s="381" t="s">
        <v>31</v>
      </c>
      <c r="B33" s="361">
        <v>8.8865132008629999</v>
      </c>
      <c r="C33" s="361">
        <v>32.076650000000001</v>
      </c>
      <c r="D33" s="362">
        <v>23.190136799135999</v>
      </c>
      <c r="E33" s="363">
        <v>3.609587841143</v>
      </c>
      <c r="F33" s="361">
        <v>13.559512816128001</v>
      </c>
      <c r="G33" s="362">
        <v>9.0396752107519998</v>
      </c>
      <c r="H33" s="364">
        <v>0</v>
      </c>
      <c r="I33" s="361">
        <v>3.1000200000000002</v>
      </c>
      <c r="J33" s="362">
        <v>-5.939655210752</v>
      </c>
      <c r="K33" s="365">
        <v>0.228623258227</v>
      </c>
    </row>
    <row r="34" spans="1:11" ht="14.4" customHeight="1" thickBot="1" x14ac:dyDescent="0.35">
      <c r="A34" s="385" t="s">
        <v>277</v>
      </c>
      <c r="B34" s="361">
        <v>8.8865132008629999</v>
      </c>
      <c r="C34" s="361">
        <v>32.076650000000001</v>
      </c>
      <c r="D34" s="362">
        <v>23.190136799135999</v>
      </c>
      <c r="E34" s="363">
        <v>3.609587841143</v>
      </c>
      <c r="F34" s="361">
        <v>13.559512816128001</v>
      </c>
      <c r="G34" s="362">
        <v>9.0396752107519998</v>
      </c>
      <c r="H34" s="364">
        <v>0</v>
      </c>
      <c r="I34" s="361">
        <v>3.1000200000000002</v>
      </c>
      <c r="J34" s="362">
        <v>-5.939655210752</v>
      </c>
      <c r="K34" s="365">
        <v>0.228623258227</v>
      </c>
    </row>
    <row r="35" spans="1:11" ht="14.4" customHeight="1" thickBot="1" x14ac:dyDescent="0.35">
      <c r="A35" s="383" t="s">
        <v>278</v>
      </c>
      <c r="B35" s="361">
        <v>1.880226367171</v>
      </c>
      <c r="C35" s="361">
        <v>0</v>
      </c>
      <c r="D35" s="362">
        <v>-1.880226367171</v>
      </c>
      <c r="E35" s="363">
        <v>0</v>
      </c>
      <c r="F35" s="361">
        <v>0</v>
      </c>
      <c r="G35" s="362">
        <v>0</v>
      </c>
      <c r="H35" s="364">
        <v>0</v>
      </c>
      <c r="I35" s="361">
        <v>0.90991999999999995</v>
      </c>
      <c r="J35" s="362">
        <v>0.90991999999999995</v>
      </c>
      <c r="K35" s="371" t="s">
        <v>249</v>
      </c>
    </row>
    <row r="36" spans="1:11" ht="14.4" customHeight="1" thickBot="1" x14ac:dyDescent="0.35">
      <c r="A36" s="383" t="s">
        <v>279</v>
      </c>
      <c r="B36" s="361">
        <v>4.9999915584819998</v>
      </c>
      <c r="C36" s="361">
        <v>29.646059999999999</v>
      </c>
      <c r="D36" s="362">
        <v>24.646068441516999</v>
      </c>
      <c r="E36" s="363">
        <v>5.9292220103249997</v>
      </c>
      <c r="F36" s="361">
        <v>11.999999622029</v>
      </c>
      <c r="G36" s="362">
        <v>7.9999997480190004</v>
      </c>
      <c r="H36" s="364">
        <v>0</v>
      </c>
      <c r="I36" s="361">
        <v>2.1901000000000002</v>
      </c>
      <c r="J36" s="362">
        <v>-5.8098997480190002</v>
      </c>
      <c r="K36" s="365">
        <v>0.182508339081</v>
      </c>
    </row>
    <row r="37" spans="1:11" ht="14.4" customHeight="1" thickBot="1" x14ac:dyDescent="0.35">
      <c r="A37" s="383" t="s">
        <v>280</v>
      </c>
      <c r="B37" s="361">
        <v>2.0062952752080001</v>
      </c>
      <c r="C37" s="361">
        <v>2.43059</v>
      </c>
      <c r="D37" s="362">
        <v>0.424294724791</v>
      </c>
      <c r="E37" s="363">
        <v>1.21148169466</v>
      </c>
      <c r="F37" s="361">
        <v>1.5595131940989999</v>
      </c>
      <c r="G37" s="362">
        <v>1.039675462732</v>
      </c>
      <c r="H37" s="364">
        <v>0</v>
      </c>
      <c r="I37" s="361">
        <v>0</v>
      </c>
      <c r="J37" s="362">
        <v>-1.039675462732</v>
      </c>
      <c r="K37" s="365">
        <v>0</v>
      </c>
    </row>
    <row r="38" spans="1:11" ht="14.4" customHeight="1" thickBot="1" x14ac:dyDescent="0.35">
      <c r="A38" s="386" t="s">
        <v>32</v>
      </c>
      <c r="B38" s="366">
        <v>0</v>
      </c>
      <c r="C38" s="366">
        <v>4.7389999999999999</v>
      </c>
      <c r="D38" s="367">
        <v>4.7389999999999999</v>
      </c>
      <c r="E38" s="374" t="s">
        <v>248</v>
      </c>
      <c r="F38" s="366">
        <v>0</v>
      </c>
      <c r="G38" s="367">
        <v>0</v>
      </c>
      <c r="H38" s="369">
        <v>0</v>
      </c>
      <c r="I38" s="366">
        <v>0</v>
      </c>
      <c r="J38" s="367">
        <v>0</v>
      </c>
      <c r="K38" s="370" t="s">
        <v>248</v>
      </c>
    </row>
    <row r="39" spans="1:11" ht="14.4" customHeight="1" thickBot="1" x14ac:dyDescent="0.35">
      <c r="A39" s="382" t="s">
        <v>281</v>
      </c>
      <c r="B39" s="366">
        <v>0</v>
      </c>
      <c r="C39" s="366">
        <v>4.7389999999999999</v>
      </c>
      <c r="D39" s="367">
        <v>4.7389999999999999</v>
      </c>
      <c r="E39" s="374" t="s">
        <v>248</v>
      </c>
      <c r="F39" s="366">
        <v>0</v>
      </c>
      <c r="G39" s="367">
        <v>0</v>
      </c>
      <c r="H39" s="369">
        <v>0</v>
      </c>
      <c r="I39" s="366">
        <v>0</v>
      </c>
      <c r="J39" s="367">
        <v>0</v>
      </c>
      <c r="K39" s="370" t="s">
        <v>248</v>
      </c>
    </row>
    <row r="40" spans="1:11" ht="14.4" customHeight="1" thickBot="1" x14ac:dyDescent="0.35">
      <c r="A40" s="383" t="s">
        <v>282</v>
      </c>
      <c r="B40" s="361">
        <v>0</v>
      </c>
      <c r="C40" s="361">
        <v>4.7389999999999999</v>
      </c>
      <c r="D40" s="362">
        <v>4.7389999999999999</v>
      </c>
      <c r="E40" s="373" t="s">
        <v>248</v>
      </c>
      <c r="F40" s="361">
        <v>0</v>
      </c>
      <c r="G40" s="362">
        <v>0</v>
      </c>
      <c r="H40" s="364">
        <v>0</v>
      </c>
      <c r="I40" s="361">
        <v>0</v>
      </c>
      <c r="J40" s="362">
        <v>0</v>
      </c>
      <c r="K40" s="371" t="s">
        <v>248</v>
      </c>
    </row>
    <row r="41" spans="1:11" ht="14.4" customHeight="1" thickBot="1" x14ac:dyDescent="0.35">
      <c r="A41" s="381" t="s">
        <v>33</v>
      </c>
      <c r="B41" s="361">
        <v>21.393692015123001</v>
      </c>
      <c r="C41" s="361">
        <v>29.616710000000001</v>
      </c>
      <c r="D41" s="362">
        <v>8.2230179848759999</v>
      </c>
      <c r="E41" s="363">
        <v>1.3843664748960001</v>
      </c>
      <c r="F41" s="361">
        <v>27.701412881877999</v>
      </c>
      <c r="G41" s="362">
        <v>18.467608587918001</v>
      </c>
      <c r="H41" s="364">
        <v>1.7571300000000001</v>
      </c>
      <c r="I41" s="361">
        <v>15.201840000000001</v>
      </c>
      <c r="J41" s="362">
        <v>-3.2657685879180001</v>
      </c>
      <c r="K41" s="365">
        <v>0.54877489696299997</v>
      </c>
    </row>
    <row r="42" spans="1:11" ht="14.4" customHeight="1" thickBot="1" x14ac:dyDescent="0.35">
      <c r="A42" s="382" t="s">
        <v>283</v>
      </c>
      <c r="B42" s="366">
        <v>8.2737648577E-2</v>
      </c>
      <c r="C42" s="366">
        <v>0.20699999999999999</v>
      </c>
      <c r="D42" s="367">
        <v>0.124262351422</v>
      </c>
      <c r="E42" s="368">
        <v>2.5018840099999999</v>
      </c>
      <c r="F42" s="366">
        <v>0.10588701725000001</v>
      </c>
      <c r="G42" s="367">
        <v>7.0591344833000003E-2</v>
      </c>
      <c r="H42" s="369">
        <v>0</v>
      </c>
      <c r="I42" s="366">
        <v>0.13600000000000001</v>
      </c>
      <c r="J42" s="367">
        <v>6.5408655166000002E-2</v>
      </c>
      <c r="K42" s="372">
        <v>1.284387864838</v>
      </c>
    </row>
    <row r="43" spans="1:11" ht="14.4" customHeight="1" thickBot="1" x14ac:dyDescent="0.35">
      <c r="A43" s="383" t="s">
        <v>284</v>
      </c>
      <c r="B43" s="361">
        <v>8.2737648577E-2</v>
      </c>
      <c r="C43" s="361">
        <v>0.20699999999999999</v>
      </c>
      <c r="D43" s="362">
        <v>0.124262351422</v>
      </c>
      <c r="E43" s="363">
        <v>2.5018840099999999</v>
      </c>
      <c r="F43" s="361">
        <v>0.10588701725000001</v>
      </c>
      <c r="G43" s="362">
        <v>7.0591344833000003E-2</v>
      </c>
      <c r="H43" s="364">
        <v>0</v>
      </c>
      <c r="I43" s="361">
        <v>0.13600000000000001</v>
      </c>
      <c r="J43" s="362">
        <v>6.5408655166000002E-2</v>
      </c>
      <c r="K43" s="365">
        <v>1.284387864838</v>
      </c>
    </row>
    <row r="44" spans="1:11" ht="14.4" customHeight="1" thickBot="1" x14ac:dyDescent="0.35">
      <c r="A44" s="382" t="s">
        <v>285</v>
      </c>
      <c r="B44" s="366">
        <v>6.5863561463520002</v>
      </c>
      <c r="C44" s="366">
        <v>7.0047300000000003</v>
      </c>
      <c r="D44" s="367">
        <v>0.41837385364700003</v>
      </c>
      <c r="E44" s="368">
        <v>1.063521292251</v>
      </c>
      <c r="F44" s="366">
        <v>7.0273589625220003</v>
      </c>
      <c r="G44" s="367">
        <v>4.6849059750139999</v>
      </c>
      <c r="H44" s="369">
        <v>0.30110999999999999</v>
      </c>
      <c r="I44" s="366">
        <v>0.85501000000000005</v>
      </c>
      <c r="J44" s="367">
        <v>-3.8298959750139998</v>
      </c>
      <c r="K44" s="372">
        <v>0.121668752736</v>
      </c>
    </row>
    <row r="45" spans="1:11" ht="14.4" customHeight="1" thickBot="1" x14ac:dyDescent="0.35">
      <c r="A45" s="383" t="s">
        <v>286</v>
      </c>
      <c r="B45" s="361">
        <v>0.23232017231900001</v>
      </c>
      <c r="C45" s="361">
        <v>0.20899999999999999</v>
      </c>
      <c r="D45" s="362">
        <v>-2.3320172319E-2</v>
      </c>
      <c r="E45" s="363">
        <v>0.89962054483999998</v>
      </c>
      <c r="F45" s="361">
        <v>0.22710996989500001</v>
      </c>
      <c r="G45" s="362">
        <v>0.15140664659700001</v>
      </c>
      <c r="H45" s="364">
        <v>0</v>
      </c>
      <c r="I45" s="361">
        <v>7.0300000000000001E-2</v>
      </c>
      <c r="J45" s="362">
        <v>-8.1106646596999996E-2</v>
      </c>
      <c r="K45" s="365">
        <v>0.30954167283900003</v>
      </c>
    </row>
    <row r="46" spans="1:11" ht="14.4" customHeight="1" thickBot="1" x14ac:dyDescent="0.35">
      <c r="A46" s="383" t="s">
        <v>287</v>
      </c>
      <c r="B46" s="361">
        <v>6.3540359740319996</v>
      </c>
      <c r="C46" s="361">
        <v>6.7957299999999998</v>
      </c>
      <c r="D46" s="362">
        <v>0.44169402596700003</v>
      </c>
      <c r="E46" s="363">
        <v>1.0695139322110001</v>
      </c>
      <c r="F46" s="361">
        <v>6.8002489926259999</v>
      </c>
      <c r="G46" s="362">
        <v>4.5334993284170002</v>
      </c>
      <c r="H46" s="364">
        <v>0.30110999999999999</v>
      </c>
      <c r="I46" s="361">
        <v>0.78471000000000002</v>
      </c>
      <c r="J46" s="362">
        <v>-3.7487893284170002</v>
      </c>
      <c r="K46" s="365">
        <v>0.115394304068</v>
      </c>
    </row>
    <row r="47" spans="1:11" ht="14.4" customHeight="1" thickBot="1" x14ac:dyDescent="0.35">
      <c r="A47" s="382" t="s">
        <v>288</v>
      </c>
      <c r="B47" s="366">
        <v>2.2373507688409999</v>
      </c>
      <c r="C47" s="366">
        <v>3.375</v>
      </c>
      <c r="D47" s="367">
        <v>1.137649231158</v>
      </c>
      <c r="E47" s="368">
        <v>1.508480497114</v>
      </c>
      <c r="F47" s="366">
        <v>3.9999998740090001</v>
      </c>
      <c r="G47" s="367">
        <v>2.6666665826729998</v>
      </c>
      <c r="H47" s="369">
        <v>0</v>
      </c>
      <c r="I47" s="366">
        <v>2.835</v>
      </c>
      <c r="J47" s="367">
        <v>0.16833341732599999</v>
      </c>
      <c r="K47" s="372">
        <v>0.708750022323</v>
      </c>
    </row>
    <row r="48" spans="1:11" ht="14.4" customHeight="1" thickBot="1" x14ac:dyDescent="0.35">
      <c r="A48" s="383" t="s">
        <v>289</v>
      </c>
      <c r="B48" s="361">
        <v>2.2373507688409999</v>
      </c>
      <c r="C48" s="361">
        <v>3.375</v>
      </c>
      <c r="D48" s="362">
        <v>1.137649231158</v>
      </c>
      <c r="E48" s="363">
        <v>1.508480497114</v>
      </c>
      <c r="F48" s="361">
        <v>3.9999998740090001</v>
      </c>
      <c r="G48" s="362">
        <v>2.6666665826729998</v>
      </c>
      <c r="H48" s="364">
        <v>0</v>
      </c>
      <c r="I48" s="361">
        <v>2.835</v>
      </c>
      <c r="J48" s="362">
        <v>0.16833341732599999</v>
      </c>
      <c r="K48" s="365">
        <v>0.708750022323</v>
      </c>
    </row>
    <row r="49" spans="1:11" ht="14.4" customHeight="1" thickBot="1" x14ac:dyDescent="0.35">
      <c r="A49" s="382" t="s">
        <v>290</v>
      </c>
      <c r="B49" s="366">
        <v>12.487247451351999</v>
      </c>
      <c r="C49" s="366">
        <v>15.464980000000001</v>
      </c>
      <c r="D49" s="367">
        <v>2.9777325486469999</v>
      </c>
      <c r="E49" s="368">
        <v>1.2384618836329999</v>
      </c>
      <c r="F49" s="366">
        <v>16.568167028095999</v>
      </c>
      <c r="G49" s="367">
        <v>11.045444685396999</v>
      </c>
      <c r="H49" s="369">
        <v>1.4560200000000001</v>
      </c>
      <c r="I49" s="366">
        <v>11.375830000000001</v>
      </c>
      <c r="J49" s="367">
        <v>0.33038531460199999</v>
      </c>
      <c r="K49" s="372">
        <v>0.68660763623999999</v>
      </c>
    </row>
    <row r="50" spans="1:11" ht="14.4" customHeight="1" thickBot="1" x14ac:dyDescent="0.35">
      <c r="A50" s="383" t="s">
        <v>291</v>
      </c>
      <c r="B50" s="361">
        <v>12.487247451351999</v>
      </c>
      <c r="C50" s="361">
        <v>15.464980000000001</v>
      </c>
      <c r="D50" s="362">
        <v>2.9777325486469999</v>
      </c>
      <c r="E50" s="363">
        <v>1.2384618836329999</v>
      </c>
      <c r="F50" s="361">
        <v>16.568167028095999</v>
      </c>
      <c r="G50" s="362">
        <v>11.045444685396999</v>
      </c>
      <c r="H50" s="364">
        <v>1.4560200000000001</v>
      </c>
      <c r="I50" s="361">
        <v>11.375830000000001</v>
      </c>
      <c r="J50" s="362">
        <v>0.33038531460199999</v>
      </c>
      <c r="K50" s="365">
        <v>0.68660763623999999</v>
      </c>
    </row>
    <row r="51" spans="1:11" ht="14.4" customHeight="1" thickBot="1" x14ac:dyDescent="0.35">
      <c r="A51" s="382" t="s">
        <v>292</v>
      </c>
      <c r="B51" s="366">
        <v>0</v>
      </c>
      <c r="C51" s="366">
        <v>3.5649999999999999</v>
      </c>
      <c r="D51" s="367">
        <v>3.5649999999999999</v>
      </c>
      <c r="E51" s="374" t="s">
        <v>249</v>
      </c>
      <c r="F51" s="366">
        <v>0</v>
      </c>
      <c r="G51" s="367">
        <v>0</v>
      </c>
      <c r="H51" s="369">
        <v>0</v>
      </c>
      <c r="I51" s="366">
        <v>0</v>
      </c>
      <c r="J51" s="367">
        <v>0</v>
      </c>
      <c r="K51" s="370" t="s">
        <v>248</v>
      </c>
    </row>
    <row r="52" spans="1:11" ht="14.4" customHeight="1" thickBot="1" x14ac:dyDescent="0.35">
      <c r="A52" s="383" t="s">
        <v>293</v>
      </c>
      <c r="B52" s="361">
        <v>0</v>
      </c>
      <c r="C52" s="361">
        <v>3.5649999999999999</v>
      </c>
      <c r="D52" s="362">
        <v>3.5649999999999999</v>
      </c>
      <c r="E52" s="373" t="s">
        <v>249</v>
      </c>
      <c r="F52" s="361">
        <v>0</v>
      </c>
      <c r="G52" s="362">
        <v>0</v>
      </c>
      <c r="H52" s="364">
        <v>0</v>
      </c>
      <c r="I52" s="361">
        <v>0</v>
      </c>
      <c r="J52" s="362">
        <v>0</v>
      </c>
      <c r="K52" s="371" t="s">
        <v>248</v>
      </c>
    </row>
    <row r="53" spans="1:11" ht="14.4" customHeight="1" thickBot="1" x14ac:dyDescent="0.35">
      <c r="A53" s="380" t="s">
        <v>34</v>
      </c>
      <c r="B53" s="361">
        <v>3222.0159166976</v>
      </c>
      <c r="C53" s="361">
        <v>2769.4196299999999</v>
      </c>
      <c r="D53" s="362">
        <v>-452.59628669759798</v>
      </c>
      <c r="E53" s="363">
        <v>0.85953008973199996</v>
      </c>
      <c r="F53" s="361">
        <v>3111.99990197954</v>
      </c>
      <c r="G53" s="362">
        <v>2074.6666013197</v>
      </c>
      <c r="H53" s="364">
        <v>251.06720000000001</v>
      </c>
      <c r="I53" s="361">
        <v>2183.0650000000001</v>
      </c>
      <c r="J53" s="362">
        <v>108.398398680306</v>
      </c>
      <c r="K53" s="365">
        <v>0.70149905808500002</v>
      </c>
    </row>
    <row r="54" spans="1:11" ht="14.4" customHeight="1" thickBot="1" x14ac:dyDescent="0.35">
      <c r="A54" s="386" t="s">
        <v>294</v>
      </c>
      <c r="B54" s="366">
        <v>2387.99999999996</v>
      </c>
      <c r="C54" s="366">
        <v>2052.1460000000002</v>
      </c>
      <c r="D54" s="367">
        <v>-335.85399999995701</v>
      </c>
      <c r="E54" s="368">
        <v>0.85935762144000005</v>
      </c>
      <c r="F54" s="366">
        <v>2306.99992733509</v>
      </c>
      <c r="G54" s="367">
        <v>1537.9999515567299</v>
      </c>
      <c r="H54" s="369">
        <v>185.97499999999999</v>
      </c>
      <c r="I54" s="366">
        <v>1620.4169999999999</v>
      </c>
      <c r="J54" s="367">
        <v>82.417048443271995</v>
      </c>
      <c r="K54" s="372">
        <v>0.70239143954799999</v>
      </c>
    </row>
    <row r="55" spans="1:11" ht="14.4" customHeight="1" thickBot="1" x14ac:dyDescent="0.35">
      <c r="A55" s="382" t="s">
        <v>295</v>
      </c>
      <c r="B55" s="366">
        <v>2381.99999999996</v>
      </c>
      <c r="C55" s="366">
        <v>2049.2440000000001</v>
      </c>
      <c r="D55" s="367">
        <v>-332.755999999957</v>
      </c>
      <c r="E55" s="368">
        <v>0.860303946263</v>
      </c>
      <c r="F55" s="366">
        <v>2299.9999275555701</v>
      </c>
      <c r="G55" s="367">
        <v>1533.33328503705</v>
      </c>
      <c r="H55" s="369">
        <v>185.97499999999999</v>
      </c>
      <c r="I55" s="366">
        <v>1607.1859999999999</v>
      </c>
      <c r="J55" s="367">
        <v>73.852714962950003</v>
      </c>
      <c r="K55" s="372">
        <v>0.69877654374800002</v>
      </c>
    </row>
    <row r="56" spans="1:11" ht="14.4" customHeight="1" thickBot="1" x14ac:dyDescent="0.35">
      <c r="A56" s="383" t="s">
        <v>296</v>
      </c>
      <c r="B56" s="361">
        <v>2381.99999999996</v>
      </c>
      <c r="C56" s="361">
        <v>2049.2440000000001</v>
      </c>
      <c r="D56" s="362">
        <v>-332.755999999957</v>
      </c>
      <c r="E56" s="363">
        <v>0.860303946263</v>
      </c>
      <c r="F56" s="361">
        <v>2299.9999275555701</v>
      </c>
      <c r="G56" s="362">
        <v>1533.33328503705</v>
      </c>
      <c r="H56" s="364">
        <v>185.97499999999999</v>
      </c>
      <c r="I56" s="361">
        <v>1607.1859999999999</v>
      </c>
      <c r="J56" s="362">
        <v>73.852714962950003</v>
      </c>
      <c r="K56" s="365">
        <v>0.69877654374800002</v>
      </c>
    </row>
    <row r="57" spans="1:11" ht="14.4" customHeight="1" thickBot="1" x14ac:dyDescent="0.35">
      <c r="A57" s="382" t="s">
        <v>297</v>
      </c>
      <c r="B57" s="366">
        <v>5.9999999999989999</v>
      </c>
      <c r="C57" s="366">
        <v>2.9020000000000001</v>
      </c>
      <c r="D57" s="367">
        <v>-3.0979999999990002</v>
      </c>
      <c r="E57" s="368">
        <v>0.483666666666</v>
      </c>
      <c r="F57" s="366">
        <v>6.9999997795160001</v>
      </c>
      <c r="G57" s="367">
        <v>4.6666665196770003</v>
      </c>
      <c r="H57" s="369">
        <v>0</v>
      </c>
      <c r="I57" s="366">
        <v>13.231</v>
      </c>
      <c r="J57" s="367">
        <v>8.5643334803220004</v>
      </c>
      <c r="K57" s="372">
        <v>1.8901429166770001</v>
      </c>
    </row>
    <row r="58" spans="1:11" ht="14.4" customHeight="1" thickBot="1" x14ac:dyDescent="0.35">
      <c r="A58" s="383" t="s">
        <v>298</v>
      </c>
      <c r="B58" s="361">
        <v>5.9999999999989999</v>
      </c>
      <c r="C58" s="361">
        <v>2.9020000000000001</v>
      </c>
      <c r="D58" s="362">
        <v>-3.0979999999990002</v>
      </c>
      <c r="E58" s="363">
        <v>0.483666666666</v>
      </c>
      <c r="F58" s="361">
        <v>6.9999997795160001</v>
      </c>
      <c r="G58" s="362">
        <v>4.6666665196770003</v>
      </c>
      <c r="H58" s="364">
        <v>0</v>
      </c>
      <c r="I58" s="361">
        <v>13.231</v>
      </c>
      <c r="J58" s="362">
        <v>8.5643334803220004</v>
      </c>
      <c r="K58" s="365">
        <v>1.8901429166770001</v>
      </c>
    </row>
    <row r="59" spans="1:11" ht="14.4" customHeight="1" thickBot="1" x14ac:dyDescent="0.35">
      <c r="A59" s="381" t="s">
        <v>299</v>
      </c>
      <c r="B59" s="361">
        <v>810.01591669764196</v>
      </c>
      <c r="C59" s="361">
        <v>696.74507000000006</v>
      </c>
      <c r="D59" s="362">
        <v>-113.270846697642</v>
      </c>
      <c r="E59" s="363">
        <v>0.86016219636799995</v>
      </c>
      <c r="F59" s="361">
        <v>781.99997536889498</v>
      </c>
      <c r="G59" s="362">
        <v>521.33331691259696</v>
      </c>
      <c r="H59" s="364">
        <v>63.232199999999999</v>
      </c>
      <c r="I59" s="361">
        <v>546.44443000000001</v>
      </c>
      <c r="J59" s="362">
        <v>25.111113087403002</v>
      </c>
      <c r="K59" s="365">
        <v>0.69877806548800003</v>
      </c>
    </row>
    <row r="60" spans="1:11" ht="14.4" customHeight="1" thickBot="1" x14ac:dyDescent="0.35">
      <c r="A60" s="382" t="s">
        <v>300</v>
      </c>
      <c r="B60" s="366">
        <v>214.01591669765401</v>
      </c>
      <c r="C60" s="366">
        <v>184.43405999999999</v>
      </c>
      <c r="D60" s="367">
        <v>-29.581856697652999</v>
      </c>
      <c r="E60" s="368">
        <v>0.86177730537899999</v>
      </c>
      <c r="F60" s="366">
        <v>206.99999348000199</v>
      </c>
      <c r="G60" s="367">
        <v>137.999995653334</v>
      </c>
      <c r="H60" s="369">
        <v>16.73845</v>
      </c>
      <c r="I60" s="366">
        <v>144.64792</v>
      </c>
      <c r="J60" s="367">
        <v>6.6479243466650004</v>
      </c>
      <c r="K60" s="372">
        <v>0.69878224423199997</v>
      </c>
    </row>
    <row r="61" spans="1:11" ht="14.4" customHeight="1" thickBot="1" x14ac:dyDescent="0.35">
      <c r="A61" s="383" t="s">
        <v>301</v>
      </c>
      <c r="B61" s="361">
        <v>214.01591669765401</v>
      </c>
      <c r="C61" s="361">
        <v>184.43405999999999</v>
      </c>
      <c r="D61" s="362">
        <v>-29.581856697652999</v>
      </c>
      <c r="E61" s="363">
        <v>0.86177730537899999</v>
      </c>
      <c r="F61" s="361">
        <v>206.99999348000199</v>
      </c>
      <c r="G61" s="362">
        <v>137.999995653334</v>
      </c>
      <c r="H61" s="364">
        <v>16.73845</v>
      </c>
      <c r="I61" s="361">
        <v>144.64792</v>
      </c>
      <c r="J61" s="362">
        <v>6.6479243466650004</v>
      </c>
      <c r="K61" s="365">
        <v>0.69878224423199997</v>
      </c>
    </row>
    <row r="62" spans="1:11" ht="14.4" customHeight="1" thickBot="1" x14ac:dyDescent="0.35">
      <c r="A62" s="382" t="s">
        <v>302</v>
      </c>
      <c r="B62" s="366">
        <v>595.99999999998795</v>
      </c>
      <c r="C62" s="366">
        <v>512.31101000000001</v>
      </c>
      <c r="D62" s="367">
        <v>-83.688989999987001</v>
      </c>
      <c r="E62" s="368">
        <v>0.85958223154299995</v>
      </c>
      <c r="F62" s="366">
        <v>574.99998188889401</v>
      </c>
      <c r="G62" s="367">
        <v>383.33332125926199</v>
      </c>
      <c r="H62" s="369">
        <v>46.493749999999999</v>
      </c>
      <c r="I62" s="366">
        <v>401.79651000000001</v>
      </c>
      <c r="J62" s="367">
        <v>18.463188740736999</v>
      </c>
      <c r="K62" s="372">
        <v>0.69877656113999997</v>
      </c>
    </row>
    <row r="63" spans="1:11" ht="14.4" customHeight="1" thickBot="1" x14ac:dyDescent="0.35">
      <c r="A63" s="383" t="s">
        <v>303</v>
      </c>
      <c r="B63" s="361">
        <v>595.99999999998795</v>
      </c>
      <c r="C63" s="361">
        <v>512.31101000000001</v>
      </c>
      <c r="D63" s="362">
        <v>-83.688989999987001</v>
      </c>
      <c r="E63" s="363">
        <v>0.85958223154299995</v>
      </c>
      <c r="F63" s="361">
        <v>574.99998188889401</v>
      </c>
      <c r="G63" s="362">
        <v>383.33332125926199</v>
      </c>
      <c r="H63" s="364">
        <v>46.493749999999999</v>
      </c>
      <c r="I63" s="361">
        <v>401.79651000000001</v>
      </c>
      <c r="J63" s="362">
        <v>18.463188740736999</v>
      </c>
      <c r="K63" s="365">
        <v>0.69877656113999997</v>
      </c>
    </row>
    <row r="64" spans="1:11" ht="14.4" customHeight="1" thickBot="1" x14ac:dyDescent="0.35">
      <c r="A64" s="381" t="s">
        <v>304</v>
      </c>
      <c r="B64" s="361">
        <v>23.999999999999002</v>
      </c>
      <c r="C64" s="361">
        <v>20.528559999999999</v>
      </c>
      <c r="D64" s="362">
        <v>-3.4714399999990002</v>
      </c>
      <c r="E64" s="363">
        <v>0.85535666666599997</v>
      </c>
      <c r="F64" s="361">
        <v>22.999999275554998</v>
      </c>
      <c r="G64" s="362">
        <v>15.333332850370001</v>
      </c>
      <c r="H64" s="364">
        <v>1.86</v>
      </c>
      <c r="I64" s="361">
        <v>16.203569999999999</v>
      </c>
      <c r="J64" s="362">
        <v>0.87023714962900001</v>
      </c>
      <c r="K64" s="365">
        <v>0.70450306566800003</v>
      </c>
    </row>
    <row r="65" spans="1:11" ht="14.4" customHeight="1" thickBot="1" x14ac:dyDescent="0.35">
      <c r="A65" s="382" t="s">
        <v>305</v>
      </c>
      <c r="B65" s="366">
        <v>23.999999999999002</v>
      </c>
      <c r="C65" s="366">
        <v>20.528559999999999</v>
      </c>
      <c r="D65" s="367">
        <v>-3.4714399999990002</v>
      </c>
      <c r="E65" s="368">
        <v>0.85535666666599997</v>
      </c>
      <c r="F65" s="366">
        <v>22.999999275554998</v>
      </c>
      <c r="G65" s="367">
        <v>15.333332850370001</v>
      </c>
      <c r="H65" s="369">
        <v>1.86</v>
      </c>
      <c r="I65" s="366">
        <v>16.203569999999999</v>
      </c>
      <c r="J65" s="367">
        <v>0.87023714962900001</v>
      </c>
      <c r="K65" s="372">
        <v>0.70450306566800003</v>
      </c>
    </row>
    <row r="66" spans="1:11" ht="14.4" customHeight="1" thickBot="1" x14ac:dyDescent="0.35">
      <c r="A66" s="383" t="s">
        <v>306</v>
      </c>
      <c r="B66" s="361">
        <v>23.999999999999002</v>
      </c>
      <c r="C66" s="361">
        <v>20.528559999999999</v>
      </c>
      <c r="D66" s="362">
        <v>-3.4714399999990002</v>
      </c>
      <c r="E66" s="363">
        <v>0.85535666666599997</v>
      </c>
      <c r="F66" s="361">
        <v>22.999999275554998</v>
      </c>
      <c r="G66" s="362">
        <v>15.333332850370001</v>
      </c>
      <c r="H66" s="364">
        <v>1.86</v>
      </c>
      <c r="I66" s="361">
        <v>16.203569999999999</v>
      </c>
      <c r="J66" s="362">
        <v>0.87023714962900001</v>
      </c>
      <c r="K66" s="365">
        <v>0.70450306566800003</v>
      </c>
    </row>
    <row r="67" spans="1:11" ht="14.4" customHeight="1" thickBot="1" x14ac:dyDescent="0.35">
      <c r="A67" s="380" t="s">
        <v>307</v>
      </c>
      <c r="B67" s="361">
        <v>0</v>
      </c>
      <c r="C67" s="361">
        <v>5.20512</v>
      </c>
      <c r="D67" s="362">
        <v>5.20512</v>
      </c>
      <c r="E67" s="373" t="s">
        <v>248</v>
      </c>
      <c r="F67" s="361">
        <v>0</v>
      </c>
      <c r="G67" s="362">
        <v>0</v>
      </c>
      <c r="H67" s="364">
        <v>0</v>
      </c>
      <c r="I67" s="361">
        <v>3.3592499999999998</v>
      </c>
      <c r="J67" s="362">
        <v>3.3592499999999998</v>
      </c>
      <c r="K67" s="371" t="s">
        <v>248</v>
      </c>
    </row>
    <row r="68" spans="1:11" ht="14.4" customHeight="1" thickBot="1" x14ac:dyDescent="0.35">
      <c r="A68" s="381" t="s">
        <v>308</v>
      </c>
      <c r="B68" s="361">
        <v>0</v>
      </c>
      <c r="C68" s="361">
        <v>5.20512</v>
      </c>
      <c r="D68" s="362">
        <v>5.20512</v>
      </c>
      <c r="E68" s="373" t="s">
        <v>248</v>
      </c>
      <c r="F68" s="361">
        <v>0</v>
      </c>
      <c r="G68" s="362">
        <v>0</v>
      </c>
      <c r="H68" s="364">
        <v>0</v>
      </c>
      <c r="I68" s="361">
        <v>3.3592499999999998</v>
      </c>
      <c r="J68" s="362">
        <v>3.3592499999999998</v>
      </c>
      <c r="K68" s="371" t="s">
        <v>248</v>
      </c>
    </row>
    <row r="69" spans="1:11" ht="14.4" customHeight="1" thickBot="1" x14ac:dyDescent="0.35">
      <c r="A69" s="382" t="s">
        <v>309</v>
      </c>
      <c r="B69" s="366">
        <v>0</v>
      </c>
      <c r="C69" s="366">
        <v>0</v>
      </c>
      <c r="D69" s="367">
        <v>0</v>
      </c>
      <c r="E69" s="368">
        <v>1</v>
      </c>
      <c r="F69" s="366">
        <v>0</v>
      </c>
      <c r="G69" s="367">
        <v>0</v>
      </c>
      <c r="H69" s="369">
        <v>0</v>
      </c>
      <c r="I69" s="366">
        <v>3.3592499999999998</v>
      </c>
      <c r="J69" s="367">
        <v>3.3592499999999998</v>
      </c>
      <c r="K69" s="370" t="s">
        <v>249</v>
      </c>
    </row>
    <row r="70" spans="1:11" ht="14.4" customHeight="1" thickBot="1" x14ac:dyDescent="0.35">
      <c r="A70" s="383" t="s">
        <v>310</v>
      </c>
      <c r="B70" s="361">
        <v>0</v>
      </c>
      <c r="C70" s="361">
        <v>0</v>
      </c>
      <c r="D70" s="362">
        <v>0</v>
      </c>
      <c r="E70" s="363">
        <v>1</v>
      </c>
      <c r="F70" s="361">
        <v>0</v>
      </c>
      <c r="G70" s="362">
        <v>0</v>
      </c>
      <c r="H70" s="364">
        <v>0</v>
      </c>
      <c r="I70" s="361">
        <v>1.1092500000000001</v>
      </c>
      <c r="J70" s="362">
        <v>1.1092500000000001</v>
      </c>
      <c r="K70" s="371" t="s">
        <v>249</v>
      </c>
    </row>
    <row r="71" spans="1:11" ht="14.4" customHeight="1" thickBot="1" x14ac:dyDescent="0.35">
      <c r="A71" s="383" t="s">
        <v>311</v>
      </c>
      <c r="B71" s="361">
        <v>0</v>
      </c>
      <c r="C71" s="361">
        <v>0</v>
      </c>
      <c r="D71" s="362">
        <v>0</v>
      </c>
      <c r="E71" s="363">
        <v>1</v>
      </c>
      <c r="F71" s="361">
        <v>0</v>
      </c>
      <c r="G71" s="362">
        <v>0</v>
      </c>
      <c r="H71" s="364">
        <v>0</v>
      </c>
      <c r="I71" s="361">
        <v>2.25</v>
      </c>
      <c r="J71" s="362">
        <v>2.25</v>
      </c>
      <c r="K71" s="371" t="s">
        <v>249</v>
      </c>
    </row>
    <row r="72" spans="1:11" ht="14.4" customHeight="1" thickBot="1" x14ac:dyDescent="0.35">
      <c r="A72" s="382" t="s">
        <v>312</v>
      </c>
      <c r="B72" s="366">
        <v>0</v>
      </c>
      <c r="C72" s="366">
        <v>-0.39488000000000001</v>
      </c>
      <c r="D72" s="367">
        <v>-0.39488000000000001</v>
      </c>
      <c r="E72" s="374" t="s">
        <v>249</v>
      </c>
      <c r="F72" s="366">
        <v>0</v>
      </c>
      <c r="G72" s="367">
        <v>0</v>
      </c>
      <c r="H72" s="369">
        <v>0</v>
      </c>
      <c r="I72" s="366">
        <v>0</v>
      </c>
      <c r="J72" s="367">
        <v>0</v>
      </c>
      <c r="K72" s="370" t="s">
        <v>248</v>
      </c>
    </row>
    <row r="73" spans="1:11" ht="14.4" customHeight="1" thickBot="1" x14ac:dyDescent="0.35">
      <c r="A73" s="383" t="s">
        <v>313</v>
      </c>
      <c r="B73" s="361">
        <v>0</v>
      </c>
      <c r="C73" s="361">
        <v>-0.39488000000000001</v>
      </c>
      <c r="D73" s="362">
        <v>-0.39488000000000001</v>
      </c>
      <c r="E73" s="373" t="s">
        <v>249</v>
      </c>
      <c r="F73" s="361">
        <v>0</v>
      </c>
      <c r="G73" s="362">
        <v>0</v>
      </c>
      <c r="H73" s="364">
        <v>0</v>
      </c>
      <c r="I73" s="361">
        <v>0</v>
      </c>
      <c r="J73" s="362">
        <v>0</v>
      </c>
      <c r="K73" s="371" t="s">
        <v>248</v>
      </c>
    </row>
    <row r="74" spans="1:11" ht="14.4" customHeight="1" thickBot="1" x14ac:dyDescent="0.35">
      <c r="A74" s="385" t="s">
        <v>314</v>
      </c>
      <c r="B74" s="361">
        <v>0</v>
      </c>
      <c r="C74" s="361">
        <v>5.6</v>
      </c>
      <c r="D74" s="362">
        <v>5.6</v>
      </c>
      <c r="E74" s="373" t="s">
        <v>248</v>
      </c>
      <c r="F74" s="361">
        <v>0</v>
      </c>
      <c r="G74" s="362">
        <v>0</v>
      </c>
      <c r="H74" s="364">
        <v>0</v>
      </c>
      <c r="I74" s="361">
        <v>0</v>
      </c>
      <c r="J74" s="362">
        <v>0</v>
      </c>
      <c r="K74" s="371" t="s">
        <v>248</v>
      </c>
    </row>
    <row r="75" spans="1:11" ht="14.4" customHeight="1" thickBot="1" x14ac:dyDescent="0.35">
      <c r="A75" s="383" t="s">
        <v>315</v>
      </c>
      <c r="B75" s="361">
        <v>0</v>
      </c>
      <c r="C75" s="361">
        <v>5.6</v>
      </c>
      <c r="D75" s="362">
        <v>5.6</v>
      </c>
      <c r="E75" s="373" t="s">
        <v>248</v>
      </c>
      <c r="F75" s="361">
        <v>0</v>
      </c>
      <c r="G75" s="362">
        <v>0</v>
      </c>
      <c r="H75" s="364">
        <v>0</v>
      </c>
      <c r="I75" s="361">
        <v>0</v>
      </c>
      <c r="J75" s="362">
        <v>0</v>
      </c>
      <c r="K75" s="371" t="s">
        <v>248</v>
      </c>
    </row>
    <row r="76" spans="1:11" ht="14.4" customHeight="1" thickBot="1" x14ac:dyDescent="0.35">
      <c r="A76" s="380" t="s">
        <v>316</v>
      </c>
      <c r="B76" s="361">
        <v>18.999327369995001</v>
      </c>
      <c r="C76" s="361">
        <v>25.343</v>
      </c>
      <c r="D76" s="362">
        <v>6.3436726300039998</v>
      </c>
      <c r="E76" s="363">
        <v>1.3338893270509999</v>
      </c>
      <c r="F76" s="361">
        <v>19.999962416498999</v>
      </c>
      <c r="G76" s="362">
        <v>13.333308277665999</v>
      </c>
      <c r="H76" s="364">
        <v>7.694</v>
      </c>
      <c r="I76" s="361">
        <v>22.973400000000002</v>
      </c>
      <c r="J76" s="362">
        <v>9.6400917223330005</v>
      </c>
      <c r="K76" s="365">
        <v>1.148672158556</v>
      </c>
    </row>
    <row r="77" spans="1:11" ht="14.4" customHeight="1" thickBot="1" x14ac:dyDescent="0.35">
      <c r="A77" s="381" t="s">
        <v>317</v>
      </c>
      <c r="B77" s="361">
        <v>18.999327369995001</v>
      </c>
      <c r="C77" s="361">
        <v>19.082999999999998</v>
      </c>
      <c r="D77" s="362">
        <v>8.3672630004000006E-2</v>
      </c>
      <c r="E77" s="363">
        <v>1.004403978539</v>
      </c>
      <c r="F77" s="361">
        <v>19.999962416498999</v>
      </c>
      <c r="G77" s="362">
        <v>13.333308277665999</v>
      </c>
      <c r="H77" s="364">
        <v>1.64</v>
      </c>
      <c r="I77" s="361">
        <v>13.12</v>
      </c>
      <c r="J77" s="362">
        <v>-0.213308277666</v>
      </c>
      <c r="K77" s="365">
        <v>0.65600123274099997</v>
      </c>
    </row>
    <row r="78" spans="1:11" ht="14.4" customHeight="1" thickBot="1" x14ac:dyDescent="0.35">
      <c r="A78" s="382" t="s">
        <v>318</v>
      </c>
      <c r="B78" s="366">
        <v>18.999327369995001</v>
      </c>
      <c r="C78" s="366">
        <v>19.082999999999998</v>
      </c>
      <c r="D78" s="367">
        <v>8.3672630004000006E-2</v>
      </c>
      <c r="E78" s="368">
        <v>1.004403978539</v>
      </c>
      <c r="F78" s="366">
        <v>19.999962416498999</v>
      </c>
      <c r="G78" s="367">
        <v>13.333308277665999</v>
      </c>
      <c r="H78" s="369">
        <v>1.64</v>
      </c>
      <c r="I78" s="366">
        <v>13.12</v>
      </c>
      <c r="J78" s="367">
        <v>-0.213308277666</v>
      </c>
      <c r="K78" s="372">
        <v>0.65600123274099997</v>
      </c>
    </row>
    <row r="79" spans="1:11" ht="14.4" customHeight="1" thickBot="1" x14ac:dyDescent="0.35">
      <c r="A79" s="383" t="s">
        <v>319</v>
      </c>
      <c r="B79" s="361">
        <v>15.999364323545</v>
      </c>
      <c r="C79" s="361">
        <v>16.501000000000001</v>
      </c>
      <c r="D79" s="362">
        <v>0.50163567645399998</v>
      </c>
      <c r="E79" s="363">
        <v>1.031353475445</v>
      </c>
      <c r="F79" s="361">
        <v>16.99999946454</v>
      </c>
      <c r="G79" s="362">
        <v>11.333332976359999</v>
      </c>
      <c r="H79" s="364">
        <v>1.423</v>
      </c>
      <c r="I79" s="361">
        <v>11.384</v>
      </c>
      <c r="J79" s="362">
        <v>5.0667023638999997E-2</v>
      </c>
      <c r="K79" s="365">
        <v>0.66964707991500005</v>
      </c>
    </row>
    <row r="80" spans="1:11" ht="14.4" customHeight="1" thickBot="1" x14ac:dyDescent="0.35">
      <c r="A80" s="383" t="s">
        <v>320</v>
      </c>
      <c r="B80" s="361">
        <v>2.99996304645</v>
      </c>
      <c r="C80" s="361">
        <v>2.5819999999999999</v>
      </c>
      <c r="D80" s="362">
        <v>-0.41796304644999999</v>
      </c>
      <c r="E80" s="363">
        <v>0.86067726836000003</v>
      </c>
      <c r="F80" s="361">
        <v>2.999962951958</v>
      </c>
      <c r="G80" s="362">
        <v>1.9999753013049999</v>
      </c>
      <c r="H80" s="364">
        <v>0.217</v>
      </c>
      <c r="I80" s="361">
        <v>1.736</v>
      </c>
      <c r="J80" s="362">
        <v>-0.26397530130500002</v>
      </c>
      <c r="K80" s="365">
        <v>0.57867381290999997</v>
      </c>
    </row>
    <row r="81" spans="1:11" ht="14.4" customHeight="1" thickBot="1" x14ac:dyDescent="0.35">
      <c r="A81" s="381" t="s">
        <v>321</v>
      </c>
      <c r="B81" s="361">
        <v>0</v>
      </c>
      <c r="C81" s="361">
        <v>6.26</v>
      </c>
      <c r="D81" s="362">
        <v>6.26</v>
      </c>
      <c r="E81" s="373" t="s">
        <v>248</v>
      </c>
      <c r="F81" s="361">
        <v>0</v>
      </c>
      <c r="G81" s="362">
        <v>0</v>
      </c>
      <c r="H81" s="364">
        <v>6.0540000000000003</v>
      </c>
      <c r="I81" s="361">
        <v>9.8534000000000006</v>
      </c>
      <c r="J81" s="362">
        <v>9.8534000000000006</v>
      </c>
      <c r="K81" s="371" t="s">
        <v>248</v>
      </c>
    </row>
    <row r="82" spans="1:11" ht="14.4" customHeight="1" thickBot="1" x14ac:dyDescent="0.35">
      <c r="A82" s="382" t="s">
        <v>322</v>
      </c>
      <c r="B82" s="366">
        <v>0</v>
      </c>
      <c r="C82" s="366">
        <v>0</v>
      </c>
      <c r="D82" s="367">
        <v>0</v>
      </c>
      <c r="E82" s="368">
        <v>1</v>
      </c>
      <c r="F82" s="366">
        <v>0</v>
      </c>
      <c r="G82" s="367">
        <v>0</v>
      </c>
      <c r="H82" s="369">
        <v>6.0540000000000003</v>
      </c>
      <c r="I82" s="366">
        <v>9.8534000000000006</v>
      </c>
      <c r="J82" s="367">
        <v>9.8534000000000006</v>
      </c>
      <c r="K82" s="370" t="s">
        <v>249</v>
      </c>
    </row>
    <row r="83" spans="1:11" ht="14.4" customHeight="1" thickBot="1" x14ac:dyDescent="0.35">
      <c r="A83" s="383" t="s">
        <v>323</v>
      </c>
      <c r="B83" s="361">
        <v>0</v>
      </c>
      <c r="C83" s="361">
        <v>0</v>
      </c>
      <c r="D83" s="362">
        <v>0</v>
      </c>
      <c r="E83" s="363">
        <v>1</v>
      </c>
      <c r="F83" s="361">
        <v>0</v>
      </c>
      <c r="G83" s="362">
        <v>0</v>
      </c>
      <c r="H83" s="364">
        <v>6.0540000000000003</v>
      </c>
      <c r="I83" s="361">
        <v>9.8534000000000006</v>
      </c>
      <c r="J83" s="362">
        <v>9.8534000000000006</v>
      </c>
      <c r="K83" s="371" t="s">
        <v>249</v>
      </c>
    </row>
    <row r="84" spans="1:11" ht="14.4" customHeight="1" thickBot="1" x14ac:dyDescent="0.35">
      <c r="A84" s="382" t="s">
        <v>324</v>
      </c>
      <c r="B84" s="366">
        <v>0</v>
      </c>
      <c r="C84" s="366">
        <v>6.26</v>
      </c>
      <c r="D84" s="367">
        <v>6.26</v>
      </c>
      <c r="E84" s="374" t="s">
        <v>248</v>
      </c>
      <c r="F84" s="366">
        <v>0</v>
      </c>
      <c r="G84" s="367">
        <v>0</v>
      </c>
      <c r="H84" s="369">
        <v>0</v>
      </c>
      <c r="I84" s="366">
        <v>0</v>
      </c>
      <c r="J84" s="367">
        <v>0</v>
      </c>
      <c r="K84" s="370" t="s">
        <v>248</v>
      </c>
    </row>
    <row r="85" spans="1:11" ht="14.4" customHeight="1" thickBot="1" x14ac:dyDescent="0.35">
      <c r="A85" s="383" t="s">
        <v>325</v>
      </c>
      <c r="B85" s="361">
        <v>0</v>
      </c>
      <c r="C85" s="361">
        <v>6.26</v>
      </c>
      <c r="D85" s="362">
        <v>6.26</v>
      </c>
      <c r="E85" s="373" t="s">
        <v>248</v>
      </c>
      <c r="F85" s="361">
        <v>0</v>
      </c>
      <c r="G85" s="362">
        <v>0</v>
      </c>
      <c r="H85" s="364">
        <v>0</v>
      </c>
      <c r="I85" s="361">
        <v>0</v>
      </c>
      <c r="J85" s="362">
        <v>0</v>
      </c>
      <c r="K85" s="371" t="s">
        <v>248</v>
      </c>
    </row>
    <row r="86" spans="1:11" ht="14.4" customHeight="1" thickBot="1" x14ac:dyDescent="0.35">
      <c r="A86" s="379" t="s">
        <v>326</v>
      </c>
      <c r="B86" s="361">
        <v>1483.09501087221</v>
      </c>
      <c r="C86" s="361">
        <v>2306.0819900000001</v>
      </c>
      <c r="D86" s="362">
        <v>822.98697912779198</v>
      </c>
      <c r="E86" s="363">
        <v>1.554911838482</v>
      </c>
      <c r="F86" s="361">
        <v>1875.56638655706</v>
      </c>
      <c r="G86" s="362">
        <v>1250.37759103804</v>
      </c>
      <c r="H86" s="364">
        <v>89.398070000000004</v>
      </c>
      <c r="I86" s="361">
        <v>1384.9285</v>
      </c>
      <c r="J86" s="362">
        <v>134.55090896196</v>
      </c>
      <c r="K86" s="365">
        <v>0.73840548109899995</v>
      </c>
    </row>
    <row r="87" spans="1:11" ht="14.4" customHeight="1" thickBot="1" x14ac:dyDescent="0.35">
      <c r="A87" s="380" t="s">
        <v>327</v>
      </c>
      <c r="B87" s="361">
        <v>1483.09501087221</v>
      </c>
      <c r="C87" s="361">
        <v>2289.5944100000002</v>
      </c>
      <c r="D87" s="362">
        <v>806.499399127792</v>
      </c>
      <c r="E87" s="363">
        <v>1.543794829876</v>
      </c>
      <c r="F87" s="361">
        <v>1861.56638655706</v>
      </c>
      <c r="G87" s="362">
        <v>1241.0442577047099</v>
      </c>
      <c r="H87" s="364">
        <v>86.505510000000001</v>
      </c>
      <c r="I87" s="361">
        <v>1379.14338</v>
      </c>
      <c r="J87" s="362">
        <v>138.099122295293</v>
      </c>
      <c r="K87" s="365">
        <v>0.74085103274200004</v>
      </c>
    </row>
    <row r="88" spans="1:11" ht="14.4" customHeight="1" thickBot="1" x14ac:dyDescent="0.35">
      <c r="A88" s="381" t="s">
        <v>328</v>
      </c>
      <c r="B88" s="361">
        <v>1483.09501087221</v>
      </c>
      <c r="C88" s="361">
        <v>2289.5944100000002</v>
      </c>
      <c r="D88" s="362">
        <v>806.499399127792</v>
      </c>
      <c r="E88" s="363">
        <v>1.543794829876</v>
      </c>
      <c r="F88" s="361">
        <v>1861.56638655706</v>
      </c>
      <c r="G88" s="362">
        <v>1241.0442577047099</v>
      </c>
      <c r="H88" s="364">
        <v>86.505510000000001</v>
      </c>
      <c r="I88" s="361">
        <v>1379.14338</v>
      </c>
      <c r="J88" s="362">
        <v>138.099122295293</v>
      </c>
      <c r="K88" s="365">
        <v>0.74085103274200004</v>
      </c>
    </row>
    <row r="89" spans="1:11" ht="14.4" customHeight="1" thickBot="1" x14ac:dyDescent="0.35">
      <c r="A89" s="382" t="s">
        <v>329</v>
      </c>
      <c r="B89" s="366">
        <v>9.5010872206999997E-2</v>
      </c>
      <c r="C89" s="366">
        <v>0</v>
      </c>
      <c r="D89" s="367">
        <v>-9.5010872206999997E-2</v>
      </c>
      <c r="E89" s="368">
        <v>0</v>
      </c>
      <c r="F89" s="366">
        <v>0</v>
      </c>
      <c r="G89" s="367">
        <v>0</v>
      </c>
      <c r="H89" s="369">
        <v>0</v>
      </c>
      <c r="I89" s="366">
        <v>0.98524</v>
      </c>
      <c r="J89" s="367">
        <v>0.98524</v>
      </c>
      <c r="K89" s="370" t="s">
        <v>249</v>
      </c>
    </row>
    <row r="90" spans="1:11" ht="14.4" customHeight="1" thickBot="1" x14ac:dyDescent="0.35">
      <c r="A90" s="383" t="s">
        <v>330</v>
      </c>
      <c r="B90" s="361">
        <v>9.5010872206999997E-2</v>
      </c>
      <c r="C90" s="361">
        <v>0</v>
      </c>
      <c r="D90" s="362">
        <v>-9.5010872206999997E-2</v>
      </c>
      <c r="E90" s="363">
        <v>0</v>
      </c>
      <c r="F90" s="361">
        <v>0</v>
      </c>
      <c r="G90" s="362">
        <v>0</v>
      </c>
      <c r="H90" s="364">
        <v>0</v>
      </c>
      <c r="I90" s="361">
        <v>0</v>
      </c>
      <c r="J90" s="362">
        <v>0</v>
      </c>
      <c r="K90" s="365">
        <v>8</v>
      </c>
    </row>
    <row r="91" spans="1:11" ht="14.4" customHeight="1" thickBot="1" x14ac:dyDescent="0.35">
      <c r="A91" s="383" t="s">
        <v>331</v>
      </c>
      <c r="B91" s="361">
        <v>0</v>
      </c>
      <c r="C91" s="361">
        <v>0</v>
      </c>
      <c r="D91" s="362">
        <v>0</v>
      </c>
      <c r="E91" s="363">
        <v>1</v>
      </c>
      <c r="F91" s="361">
        <v>0</v>
      </c>
      <c r="G91" s="362">
        <v>0</v>
      </c>
      <c r="H91" s="364">
        <v>0</v>
      </c>
      <c r="I91" s="361">
        <v>0.98524</v>
      </c>
      <c r="J91" s="362">
        <v>0.98524</v>
      </c>
      <c r="K91" s="371" t="s">
        <v>249</v>
      </c>
    </row>
    <row r="92" spans="1:11" ht="14.4" customHeight="1" thickBot="1" x14ac:dyDescent="0.35">
      <c r="A92" s="382" t="s">
        <v>332</v>
      </c>
      <c r="B92" s="366">
        <v>0</v>
      </c>
      <c r="C92" s="366">
        <v>1.56993</v>
      </c>
      <c r="D92" s="367">
        <v>1.56993</v>
      </c>
      <c r="E92" s="374" t="s">
        <v>248</v>
      </c>
      <c r="F92" s="366">
        <v>1.5663865565740001</v>
      </c>
      <c r="G92" s="367">
        <v>1.0442577043820001</v>
      </c>
      <c r="H92" s="369">
        <v>0</v>
      </c>
      <c r="I92" s="366">
        <v>0</v>
      </c>
      <c r="J92" s="367">
        <v>-1.0442577043820001</v>
      </c>
      <c r="K92" s="372">
        <v>0</v>
      </c>
    </row>
    <row r="93" spans="1:11" ht="14.4" customHeight="1" thickBot="1" x14ac:dyDescent="0.35">
      <c r="A93" s="383" t="s">
        <v>333</v>
      </c>
      <c r="B93" s="361">
        <v>0</v>
      </c>
      <c r="C93" s="361">
        <v>1.56993</v>
      </c>
      <c r="D93" s="362">
        <v>1.56993</v>
      </c>
      <c r="E93" s="373" t="s">
        <v>248</v>
      </c>
      <c r="F93" s="361">
        <v>1.5663865565740001</v>
      </c>
      <c r="G93" s="362">
        <v>1.0442577043820001</v>
      </c>
      <c r="H93" s="364">
        <v>0</v>
      </c>
      <c r="I93" s="361">
        <v>0</v>
      </c>
      <c r="J93" s="362">
        <v>-1.0442577043820001</v>
      </c>
      <c r="K93" s="365">
        <v>0</v>
      </c>
    </row>
    <row r="94" spans="1:11" ht="14.4" customHeight="1" thickBot="1" x14ac:dyDescent="0.35">
      <c r="A94" s="382" t="s">
        <v>334</v>
      </c>
      <c r="B94" s="366">
        <v>1483</v>
      </c>
      <c r="C94" s="366">
        <v>2169.8414200000002</v>
      </c>
      <c r="D94" s="367">
        <v>686.84141999999997</v>
      </c>
      <c r="E94" s="368">
        <v>1.4631432366820001</v>
      </c>
      <c r="F94" s="366">
        <v>1860.00000000049</v>
      </c>
      <c r="G94" s="367">
        <v>1240.0000000003199</v>
      </c>
      <c r="H94" s="369">
        <v>86.505510000000001</v>
      </c>
      <c r="I94" s="366">
        <v>1253.26152</v>
      </c>
      <c r="J94" s="367">
        <v>13.261519999676</v>
      </c>
      <c r="K94" s="372">
        <v>0.67379651612799996</v>
      </c>
    </row>
    <row r="95" spans="1:11" ht="14.4" customHeight="1" thickBot="1" x14ac:dyDescent="0.35">
      <c r="A95" s="383" t="s">
        <v>335</v>
      </c>
      <c r="B95" s="361">
        <v>480</v>
      </c>
      <c r="C95" s="361">
        <v>776.37783000000002</v>
      </c>
      <c r="D95" s="362">
        <v>296.37783000000002</v>
      </c>
      <c r="E95" s="363">
        <v>1.6174538125</v>
      </c>
      <c r="F95" s="361">
        <v>686.00000000017906</v>
      </c>
      <c r="G95" s="362">
        <v>457.33333333345303</v>
      </c>
      <c r="H95" s="364">
        <v>44.661909999999999</v>
      </c>
      <c r="I95" s="361">
        <v>481.12765999999999</v>
      </c>
      <c r="J95" s="362">
        <v>23.794326666547001</v>
      </c>
      <c r="K95" s="365">
        <v>0.70135227405199996</v>
      </c>
    </row>
    <row r="96" spans="1:11" ht="14.4" customHeight="1" thickBot="1" x14ac:dyDescent="0.35">
      <c r="A96" s="383" t="s">
        <v>336</v>
      </c>
      <c r="B96" s="361">
        <v>1003</v>
      </c>
      <c r="C96" s="361">
        <v>1393.4635900000001</v>
      </c>
      <c r="D96" s="362">
        <v>390.46359000000001</v>
      </c>
      <c r="E96" s="363">
        <v>1.389295702891</v>
      </c>
      <c r="F96" s="361">
        <v>1174.0000000003099</v>
      </c>
      <c r="G96" s="362">
        <v>782.66666666687104</v>
      </c>
      <c r="H96" s="364">
        <v>41.843600000000002</v>
      </c>
      <c r="I96" s="361">
        <v>772.13386000000003</v>
      </c>
      <c r="J96" s="362">
        <v>-10.532806666871</v>
      </c>
      <c r="K96" s="365">
        <v>0.657694940374</v>
      </c>
    </row>
    <row r="97" spans="1:11" ht="14.4" customHeight="1" thickBot="1" x14ac:dyDescent="0.35">
      <c r="A97" s="382" t="s">
        <v>337</v>
      </c>
      <c r="B97" s="366">
        <v>0</v>
      </c>
      <c r="C97" s="366">
        <v>118.18306</v>
      </c>
      <c r="D97" s="367">
        <v>118.18306</v>
      </c>
      <c r="E97" s="374" t="s">
        <v>248</v>
      </c>
      <c r="F97" s="366">
        <v>0</v>
      </c>
      <c r="G97" s="367">
        <v>0</v>
      </c>
      <c r="H97" s="369">
        <v>0</v>
      </c>
      <c r="I97" s="366">
        <v>124.89662</v>
      </c>
      <c r="J97" s="367">
        <v>124.89662</v>
      </c>
      <c r="K97" s="370" t="s">
        <v>248</v>
      </c>
    </row>
    <row r="98" spans="1:11" ht="14.4" customHeight="1" thickBot="1" x14ac:dyDescent="0.35">
      <c r="A98" s="383" t="s">
        <v>338</v>
      </c>
      <c r="B98" s="361">
        <v>0</v>
      </c>
      <c r="C98" s="361">
        <v>3.4574500000000001</v>
      </c>
      <c r="D98" s="362">
        <v>3.4574500000000001</v>
      </c>
      <c r="E98" s="373" t="s">
        <v>248</v>
      </c>
      <c r="F98" s="361">
        <v>0</v>
      </c>
      <c r="G98" s="362">
        <v>0</v>
      </c>
      <c r="H98" s="364">
        <v>0</v>
      </c>
      <c r="I98" s="361">
        <v>19.456330000000001</v>
      </c>
      <c r="J98" s="362">
        <v>19.456330000000001</v>
      </c>
      <c r="K98" s="371" t="s">
        <v>248</v>
      </c>
    </row>
    <row r="99" spans="1:11" ht="14.4" customHeight="1" thickBot="1" x14ac:dyDescent="0.35">
      <c r="A99" s="383" t="s">
        <v>339</v>
      </c>
      <c r="B99" s="361">
        <v>0</v>
      </c>
      <c r="C99" s="361">
        <v>114.72561</v>
      </c>
      <c r="D99" s="362">
        <v>114.72561</v>
      </c>
      <c r="E99" s="373" t="s">
        <v>248</v>
      </c>
      <c r="F99" s="361">
        <v>0</v>
      </c>
      <c r="G99" s="362">
        <v>0</v>
      </c>
      <c r="H99" s="364">
        <v>0</v>
      </c>
      <c r="I99" s="361">
        <v>105.44029</v>
      </c>
      <c r="J99" s="362">
        <v>105.44029</v>
      </c>
      <c r="K99" s="371" t="s">
        <v>248</v>
      </c>
    </row>
    <row r="100" spans="1:11" ht="14.4" customHeight="1" thickBot="1" x14ac:dyDescent="0.35">
      <c r="A100" s="380" t="s">
        <v>340</v>
      </c>
      <c r="B100" s="361">
        <v>0</v>
      </c>
      <c r="C100" s="361">
        <v>16.487580000000001</v>
      </c>
      <c r="D100" s="362">
        <v>16.487580000000001</v>
      </c>
      <c r="E100" s="373" t="s">
        <v>248</v>
      </c>
      <c r="F100" s="361">
        <v>14</v>
      </c>
      <c r="G100" s="362">
        <v>9.333333333333</v>
      </c>
      <c r="H100" s="364">
        <v>2.89256</v>
      </c>
      <c r="I100" s="361">
        <v>5.78512</v>
      </c>
      <c r="J100" s="362">
        <v>-3.5482133333329999</v>
      </c>
      <c r="K100" s="365">
        <v>0.41322285714200002</v>
      </c>
    </row>
    <row r="101" spans="1:11" ht="14.4" customHeight="1" thickBot="1" x14ac:dyDescent="0.35">
      <c r="A101" s="386" t="s">
        <v>341</v>
      </c>
      <c r="B101" s="366">
        <v>0</v>
      </c>
      <c r="C101" s="366">
        <v>16.487580000000001</v>
      </c>
      <c r="D101" s="367">
        <v>16.487580000000001</v>
      </c>
      <c r="E101" s="374" t="s">
        <v>248</v>
      </c>
      <c r="F101" s="366">
        <v>14</v>
      </c>
      <c r="G101" s="367">
        <v>9.333333333333</v>
      </c>
      <c r="H101" s="369">
        <v>2.89256</v>
      </c>
      <c r="I101" s="366">
        <v>5.78512</v>
      </c>
      <c r="J101" s="367">
        <v>-3.5482133333329999</v>
      </c>
      <c r="K101" s="372">
        <v>0.41322285714200002</v>
      </c>
    </row>
    <row r="102" spans="1:11" ht="14.4" customHeight="1" thickBot="1" x14ac:dyDescent="0.35">
      <c r="A102" s="382" t="s">
        <v>342</v>
      </c>
      <c r="B102" s="366">
        <v>0</v>
      </c>
      <c r="C102" s="366">
        <v>-2.4000000000000001E-4</v>
      </c>
      <c r="D102" s="367">
        <v>-2.4000000000000001E-4</v>
      </c>
      <c r="E102" s="374" t="s">
        <v>248</v>
      </c>
      <c r="F102" s="366">
        <v>0</v>
      </c>
      <c r="G102" s="367">
        <v>0</v>
      </c>
      <c r="H102" s="369">
        <v>-4.0000000000000003E-5</v>
      </c>
      <c r="I102" s="366">
        <v>-8.0000000000000007E-5</v>
      </c>
      <c r="J102" s="367">
        <v>-8.0000000000000007E-5</v>
      </c>
      <c r="K102" s="370" t="s">
        <v>248</v>
      </c>
    </row>
    <row r="103" spans="1:11" ht="14.4" customHeight="1" thickBot="1" x14ac:dyDescent="0.35">
      <c r="A103" s="383" t="s">
        <v>343</v>
      </c>
      <c r="B103" s="361">
        <v>0</v>
      </c>
      <c r="C103" s="361">
        <v>-2.4000000000000001E-4</v>
      </c>
      <c r="D103" s="362">
        <v>-2.4000000000000001E-4</v>
      </c>
      <c r="E103" s="373" t="s">
        <v>248</v>
      </c>
      <c r="F103" s="361">
        <v>0</v>
      </c>
      <c r="G103" s="362">
        <v>0</v>
      </c>
      <c r="H103" s="364">
        <v>-4.0000000000000003E-5</v>
      </c>
      <c r="I103" s="361">
        <v>-8.0000000000000007E-5</v>
      </c>
      <c r="J103" s="362">
        <v>-8.0000000000000007E-5</v>
      </c>
      <c r="K103" s="371" t="s">
        <v>248</v>
      </c>
    </row>
    <row r="104" spans="1:11" ht="14.4" customHeight="1" thickBot="1" x14ac:dyDescent="0.35">
      <c r="A104" s="382" t="s">
        <v>344</v>
      </c>
      <c r="B104" s="366">
        <v>0</v>
      </c>
      <c r="C104" s="366">
        <v>16.487819999999999</v>
      </c>
      <c r="D104" s="367">
        <v>16.487819999999999</v>
      </c>
      <c r="E104" s="374" t="s">
        <v>248</v>
      </c>
      <c r="F104" s="366">
        <v>14</v>
      </c>
      <c r="G104" s="367">
        <v>9.333333333333</v>
      </c>
      <c r="H104" s="369">
        <v>2.8925999999999998</v>
      </c>
      <c r="I104" s="366">
        <v>5.7851999999999997</v>
      </c>
      <c r="J104" s="367">
        <v>-3.5481333333329999</v>
      </c>
      <c r="K104" s="372">
        <v>0.41322857142800001</v>
      </c>
    </row>
    <row r="105" spans="1:11" ht="14.4" customHeight="1" thickBot="1" x14ac:dyDescent="0.35">
      <c r="A105" s="383" t="s">
        <v>345</v>
      </c>
      <c r="B105" s="361">
        <v>0</v>
      </c>
      <c r="C105" s="361">
        <v>16.487819999999999</v>
      </c>
      <c r="D105" s="362">
        <v>16.487819999999999</v>
      </c>
      <c r="E105" s="373" t="s">
        <v>248</v>
      </c>
      <c r="F105" s="361">
        <v>14</v>
      </c>
      <c r="G105" s="362">
        <v>9.333333333333</v>
      </c>
      <c r="H105" s="364">
        <v>2.8925999999999998</v>
      </c>
      <c r="I105" s="361">
        <v>5.7851999999999997</v>
      </c>
      <c r="J105" s="362">
        <v>-3.5481333333329999</v>
      </c>
      <c r="K105" s="365">
        <v>0.41322857142800001</v>
      </c>
    </row>
    <row r="106" spans="1:11" ht="14.4" customHeight="1" thickBot="1" x14ac:dyDescent="0.35">
      <c r="A106" s="379" t="s">
        <v>346</v>
      </c>
      <c r="B106" s="361">
        <v>507.00028352707699</v>
      </c>
      <c r="C106" s="361">
        <v>441.61624</v>
      </c>
      <c r="D106" s="362">
        <v>-65.384043527076003</v>
      </c>
      <c r="E106" s="363">
        <v>0.87103746161200002</v>
      </c>
      <c r="F106" s="361">
        <v>502.09512956055698</v>
      </c>
      <c r="G106" s="362">
        <v>334.73008637370498</v>
      </c>
      <c r="H106" s="364">
        <v>34.059939999999997</v>
      </c>
      <c r="I106" s="361">
        <v>339.02417000000003</v>
      </c>
      <c r="J106" s="362">
        <v>4.2940836262950004</v>
      </c>
      <c r="K106" s="365">
        <v>0.67521899743699998</v>
      </c>
    </row>
    <row r="107" spans="1:11" ht="14.4" customHeight="1" thickBot="1" x14ac:dyDescent="0.35">
      <c r="A107" s="384" t="s">
        <v>347</v>
      </c>
      <c r="B107" s="366">
        <v>507.00028352707699</v>
      </c>
      <c r="C107" s="366">
        <v>441.61624</v>
      </c>
      <c r="D107" s="367">
        <v>-65.384043527076003</v>
      </c>
      <c r="E107" s="368">
        <v>0.87103746161200002</v>
      </c>
      <c r="F107" s="366">
        <v>502.09512956055698</v>
      </c>
      <c r="G107" s="367">
        <v>334.73008637370498</v>
      </c>
      <c r="H107" s="369">
        <v>34.059939999999997</v>
      </c>
      <c r="I107" s="366">
        <v>339.02417000000003</v>
      </c>
      <c r="J107" s="367">
        <v>4.2940836262950004</v>
      </c>
      <c r="K107" s="372">
        <v>0.67521899743699998</v>
      </c>
    </row>
    <row r="108" spans="1:11" ht="14.4" customHeight="1" thickBot="1" x14ac:dyDescent="0.35">
      <c r="A108" s="386" t="s">
        <v>40</v>
      </c>
      <c r="B108" s="366">
        <v>507.00028352707699</v>
      </c>
      <c r="C108" s="366">
        <v>441.61624</v>
      </c>
      <c r="D108" s="367">
        <v>-65.384043527076003</v>
      </c>
      <c r="E108" s="368">
        <v>0.87103746161200002</v>
      </c>
      <c r="F108" s="366">
        <v>502.09512956055698</v>
      </c>
      <c r="G108" s="367">
        <v>334.73008637370498</v>
      </c>
      <c r="H108" s="369">
        <v>34.059939999999997</v>
      </c>
      <c r="I108" s="366">
        <v>339.02417000000003</v>
      </c>
      <c r="J108" s="367">
        <v>4.2940836262950004</v>
      </c>
      <c r="K108" s="372">
        <v>0.67521899743699998</v>
      </c>
    </row>
    <row r="109" spans="1:11" ht="14.4" customHeight="1" thickBot="1" x14ac:dyDescent="0.35">
      <c r="A109" s="382" t="s">
        <v>348</v>
      </c>
      <c r="B109" s="366">
        <v>5</v>
      </c>
      <c r="C109" s="366">
        <v>5.4779999999999998</v>
      </c>
      <c r="D109" s="367">
        <v>0.47799999999999998</v>
      </c>
      <c r="E109" s="368">
        <v>1.0955999999999999</v>
      </c>
      <c r="F109" s="366">
        <v>5.9297660682859998</v>
      </c>
      <c r="G109" s="367">
        <v>3.9531773788570002</v>
      </c>
      <c r="H109" s="369">
        <v>0.52300000000000002</v>
      </c>
      <c r="I109" s="366">
        <v>4.1775000000000002</v>
      </c>
      <c r="J109" s="367">
        <v>0.22432262114199999</v>
      </c>
      <c r="K109" s="372">
        <v>0.70449659428199995</v>
      </c>
    </row>
    <row r="110" spans="1:11" ht="14.4" customHeight="1" thickBot="1" x14ac:dyDescent="0.35">
      <c r="A110" s="383" t="s">
        <v>349</v>
      </c>
      <c r="B110" s="361">
        <v>5</v>
      </c>
      <c r="C110" s="361">
        <v>5.4779999999999998</v>
      </c>
      <c r="D110" s="362">
        <v>0.47799999999999998</v>
      </c>
      <c r="E110" s="363">
        <v>1.0955999999999999</v>
      </c>
      <c r="F110" s="361">
        <v>5.9297660682859998</v>
      </c>
      <c r="G110" s="362">
        <v>3.9531773788570002</v>
      </c>
      <c r="H110" s="364">
        <v>0.52300000000000002</v>
      </c>
      <c r="I110" s="361">
        <v>4.1775000000000002</v>
      </c>
      <c r="J110" s="362">
        <v>0.22432262114199999</v>
      </c>
      <c r="K110" s="365">
        <v>0.70449659428199995</v>
      </c>
    </row>
    <row r="111" spans="1:11" ht="14.4" customHeight="1" thickBot="1" x14ac:dyDescent="0.35">
      <c r="A111" s="382" t="s">
        <v>350</v>
      </c>
      <c r="B111" s="366">
        <v>2.0002835270760002</v>
      </c>
      <c r="C111" s="366">
        <v>1.5289999999999999</v>
      </c>
      <c r="D111" s="367">
        <v>-0.47128352707600002</v>
      </c>
      <c r="E111" s="368">
        <v>0.764391637136</v>
      </c>
      <c r="F111" s="366">
        <v>1.326101424198</v>
      </c>
      <c r="G111" s="367">
        <v>0.88406761613200002</v>
      </c>
      <c r="H111" s="369">
        <v>0</v>
      </c>
      <c r="I111" s="366">
        <v>7.3499999999999996E-2</v>
      </c>
      <c r="J111" s="367">
        <v>-0.81056761613200001</v>
      </c>
      <c r="K111" s="372">
        <v>5.5425624811000003E-2</v>
      </c>
    </row>
    <row r="112" spans="1:11" ht="14.4" customHeight="1" thickBot="1" x14ac:dyDescent="0.35">
      <c r="A112" s="383" t="s">
        <v>351</v>
      </c>
      <c r="B112" s="361">
        <v>2.0002835270760002</v>
      </c>
      <c r="C112" s="361">
        <v>1.5289999999999999</v>
      </c>
      <c r="D112" s="362">
        <v>-0.47128352707600002</v>
      </c>
      <c r="E112" s="363">
        <v>0.764391637136</v>
      </c>
      <c r="F112" s="361">
        <v>0</v>
      </c>
      <c r="G112" s="362">
        <v>0</v>
      </c>
      <c r="H112" s="364">
        <v>0</v>
      </c>
      <c r="I112" s="361">
        <v>0</v>
      </c>
      <c r="J112" s="362">
        <v>0</v>
      </c>
      <c r="K112" s="371" t="s">
        <v>248</v>
      </c>
    </row>
    <row r="113" spans="1:11" ht="14.4" customHeight="1" thickBot="1" x14ac:dyDescent="0.35">
      <c r="A113" s="383" t="s">
        <v>352</v>
      </c>
      <c r="B113" s="361">
        <v>0</v>
      </c>
      <c r="C113" s="361">
        <v>0</v>
      </c>
      <c r="D113" s="362">
        <v>0</v>
      </c>
      <c r="E113" s="363">
        <v>1</v>
      </c>
      <c r="F113" s="361">
        <v>1.326101424198</v>
      </c>
      <c r="G113" s="362">
        <v>0.88406761613200002</v>
      </c>
      <c r="H113" s="364">
        <v>0</v>
      </c>
      <c r="I113" s="361">
        <v>7.3499999999999996E-2</v>
      </c>
      <c r="J113" s="362">
        <v>-0.81056761613200001</v>
      </c>
      <c r="K113" s="365">
        <v>5.5425624811000003E-2</v>
      </c>
    </row>
    <row r="114" spans="1:11" ht="14.4" customHeight="1" thickBot="1" x14ac:dyDescent="0.35">
      <c r="A114" s="382" t="s">
        <v>353</v>
      </c>
      <c r="B114" s="366">
        <v>0</v>
      </c>
      <c r="C114" s="366">
        <v>0.74580000000000002</v>
      </c>
      <c r="D114" s="367">
        <v>0.74580000000000002</v>
      </c>
      <c r="E114" s="374" t="s">
        <v>249</v>
      </c>
      <c r="F114" s="366">
        <v>0.73477752106299998</v>
      </c>
      <c r="G114" s="367">
        <v>0.48985168070899998</v>
      </c>
      <c r="H114" s="369">
        <v>0.18640000000000001</v>
      </c>
      <c r="I114" s="366">
        <v>1.4139999999999999</v>
      </c>
      <c r="J114" s="367">
        <v>0.92414831928999996</v>
      </c>
      <c r="K114" s="372">
        <v>1.9243920227069999</v>
      </c>
    </row>
    <row r="115" spans="1:11" ht="14.4" customHeight="1" thickBot="1" x14ac:dyDescent="0.35">
      <c r="A115" s="383" t="s">
        <v>354</v>
      </c>
      <c r="B115" s="361">
        <v>0</v>
      </c>
      <c r="C115" s="361">
        <v>0.74580000000000002</v>
      </c>
      <c r="D115" s="362">
        <v>0.74580000000000002</v>
      </c>
      <c r="E115" s="373" t="s">
        <v>249</v>
      </c>
      <c r="F115" s="361">
        <v>0.73477752106299998</v>
      </c>
      <c r="G115" s="362">
        <v>0.48985168070899998</v>
      </c>
      <c r="H115" s="364">
        <v>0.18640000000000001</v>
      </c>
      <c r="I115" s="361">
        <v>1.4139999999999999</v>
      </c>
      <c r="J115" s="362">
        <v>0.92414831928999996</v>
      </c>
      <c r="K115" s="365">
        <v>1.9243920227069999</v>
      </c>
    </row>
    <row r="116" spans="1:11" ht="14.4" customHeight="1" thickBot="1" x14ac:dyDescent="0.35">
      <c r="A116" s="382" t="s">
        <v>355</v>
      </c>
      <c r="B116" s="366">
        <v>135</v>
      </c>
      <c r="C116" s="366">
        <v>118.12345000000001</v>
      </c>
      <c r="D116" s="367">
        <v>-16.876550000000002</v>
      </c>
      <c r="E116" s="368">
        <v>0.87498851851799997</v>
      </c>
      <c r="F116" s="366">
        <v>188</v>
      </c>
      <c r="G116" s="367">
        <v>125.333333333333</v>
      </c>
      <c r="H116" s="369">
        <v>10.493119999999999</v>
      </c>
      <c r="I116" s="366">
        <v>105.35735</v>
      </c>
      <c r="J116" s="367">
        <v>-19.975983333333001</v>
      </c>
      <c r="K116" s="372">
        <v>0.56041143617</v>
      </c>
    </row>
    <row r="117" spans="1:11" ht="14.4" customHeight="1" thickBot="1" x14ac:dyDescent="0.35">
      <c r="A117" s="383" t="s">
        <v>356</v>
      </c>
      <c r="B117" s="361">
        <v>135</v>
      </c>
      <c r="C117" s="361">
        <v>118.12345000000001</v>
      </c>
      <c r="D117" s="362">
        <v>-16.876550000000002</v>
      </c>
      <c r="E117" s="363">
        <v>0.87498851851799997</v>
      </c>
      <c r="F117" s="361">
        <v>188</v>
      </c>
      <c r="G117" s="362">
        <v>125.333333333333</v>
      </c>
      <c r="H117" s="364">
        <v>10.493119999999999</v>
      </c>
      <c r="I117" s="361">
        <v>105.35735</v>
      </c>
      <c r="J117" s="362">
        <v>-19.975983333333001</v>
      </c>
      <c r="K117" s="365">
        <v>0.56041143617</v>
      </c>
    </row>
    <row r="118" spans="1:11" ht="14.4" customHeight="1" thickBot="1" x14ac:dyDescent="0.35">
      <c r="A118" s="382" t="s">
        <v>357</v>
      </c>
      <c r="B118" s="366">
        <v>365</v>
      </c>
      <c r="C118" s="366">
        <v>315.73998999999998</v>
      </c>
      <c r="D118" s="367">
        <v>-49.260010000000001</v>
      </c>
      <c r="E118" s="368">
        <v>0.865041068493</v>
      </c>
      <c r="F118" s="366">
        <v>306.10448454700901</v>
      </c>
      <c r="G118" s="367">
        <v>204.06965636467299</v>
      </c>
      <c r="H118" s="369">
        <v>22.857420000000001</v>
      </c>
      <c r="I118" s="366">
        <v>228.00182000000001</v>
      </c>
      <c r="J118" s="367">
        <v>23.932163635327001</v>
      </c>
      <c r="K118" s="372">
        <v>0.74484965595099994</v>
      </c>
    </row>
    <row r="119" spans="1:11" ht="14.4" customHeight="1" thickBot="1" x14ac:dyDescent="0.35">
      <c r="A119" s="383" t="s">
        <v>358</v>
      </c>
      <c r="B119" s="361">
        <v>365</v>
      </c>
      <c r="C119" s="361">
        <v>315.73998999999998</v>
      </c>
      <c r="D119" s="362">
        <v>-49.260010000000001</v>
      </c>
      <c r="E119" s="363">
        <v>0.865041068493</v>
      </c>
      <c r="F119" s="361">
        <v>306.10448454700901</v>
      </c>
      <c r="G119" s="362">
        <v>204.06965636467299</v>
      </c>
      <c r="H119" s="364">
        <v>22.857420000000001</v>
      </c>
      <c r="I119" s="361">
        <v>228.00182000000001</v>
      </c>
      <c r="J119" s="362">
        <v>23.932163635327001</v>
      </c>
      <c r="K119" s="365">
        <v>0.74484965595099994</v>
      </c>
    </row>
    <row r="120" spans="1:11" ht="14.4" customHeight="1" thickBot="1" x14ac:dyDescent="0.35">
      <c r="A120" s="387"/>
      <c r="B120" s="361">
        <v>-2465.05256830496</v>
      </c>
      <c r="C120" s="361">
        <v>-1153.6287600000001</v>
      </c>
      <c r="D120" s="362">
        <v>1311.4238083049499</v>
      </c>
      <c r="E120" s="363">
        <v>0.46799357337500003</v>
      </c>
      <c r="F120" s="361">
        <v>-1964.8239183820599</v>
      </c>
      <c r="G120" s="362">
        <v>-1309.8826122547</v>
      </c>
      <c r="H120" s="364">
        <v>-213.24420000000001</v>
      </c>
      <c r="I120" s="361">
        <v>-1284.50899</v>
      </c>
      <c r="J120" s="362">
        <v>25.373622254701999</v>
      </c>
      <c r="K120" s="365">
        <v>0.65375272459900002</v>
      </c>
    </row>
    <row r="121" spans="1:11" ht="14.4" customHeight="1" thickBot="1" x14ac:dyDescent="0.35">
      <c r="A121" s="388" t="s">
        <v>52</v>
      </c>
      <c r="B121" s="375">
        <v>-2465.05256830496</v>
      </c>
      <c r="C121" s="375">
        <v>-1153.6287600000001</v>
      </c>
      <c r="D121" s="376">
        <v>1311.4238083049499</v>
      </c>
      <c r="E121" s="377">
        <v>-0.19318616448199999</v>
      </c>
      <c r="F121" s="375">
        <v>-1964.8239183820599</v>
      </c>
      <c r="G121" s="376">
        <v>-1309.8826122547</v>
      </c>
      <c r="H121" s="375">
        <v>-213.24420000000001</v>
      </c>
      <c r="I121" s="375">
        <v>-1284.50899</v>
      </c>
      <c r="J121" s="376">
        <v>25.373622254701999</v>
      </c>
      <c r="K121" s="378">
        <v>0.65375272459900002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14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181" customWidth="1"/>
    <col min="2" max="2" width="61.109375" style="181" customWidth="1"/>
    <col min="3" max="3" width="9.5546875" style="105" customWidth="1"/>
    <col min="4" max="4" width="9.5546875" style="182" customWidth="1"/>
    <col min="5" max="5" width="2.21875" style="182" customWidth="1"/>
    <col min="6" max="6" width="9.5546875" style="183" customWidth="1"/>
    <col min="7" max="7" width="9.5546875" style="180" customWidth="1"/>
    <col min="8" max="9" width="9.5546875" style="105" customWidth="1"/>
    <col min="10" max="10" width="0" style="105" hidden="1" customWidth="1"/>
    <col min="11" max="16384" width="8.88671875" style="105"/>
  </cols>
  <sheetData>
    <row r="1" spans="1:10" ht="18.600000000000001" customHeight="1" thickBot="1" x14ac:dyDescent="0.4">
      <c r="A1" s="322" t="s">
        <v>115</v>
      </c>
      <c r="B1" s="323"/>
      <c r="C1" s="323"/>
      <c r="D1" s="323"/>
      <c r="E1" s="323"/>
      <c r="F1" s="323"/>
      <c r="G1" s="294"/>
      <c r="H1" s="324"/>
      <c r="I1" s="324"/>
    </row>
    <row r="2" spans="1:10" ht="14.4" customHeight="1" thickBot="1" x14ac:dyDescent="0.35">
      <c r="A2" s="202" t="s">
        <v>247</v>
      </c>
      <c r="B2" s="179"/>
      <c r="C2" s="179"/>
      <c r="D2" s="179"/>
      <c r="E2" s="179"/>
      <c r="F2" s="179"/>
    </row>
    <row r="3" spans="1:10" ht="14.4" customHeight="1" thickBot="1" x14ac:dyDescent="0.35">
      <c r="A3" s="202"/>
      <c r="B3" s="179"/>
      <c r="C3" s="260">
        <v>2013</v>
      </c>
      <c r="D3" s="261">
        <v>2014</v>
      </c>
      <c r="E3" s="7"/>
      <c r="F3" s="317">
        <v>2015</v>
      </c>
      <c r="G3" s="318"/>
      <c r="H3" s="318"/>
      <c r="I3" s="319"/>
    </row>
    <row r="4" spans="1:10" ht="14.4" customHeight="1" thickBot="1" x14ac:dyDescent="0.35">
      <c r="A4" s="265" t="s">
        <v>0</v>
      </c>
      <c r="B4" s="266" t="s">
        <v>209</v>
      </c>
      <c r="C4" s="320" t="s">
        <v>59</v>
      </c>
      <c r="D4" s="321"/>
      <c r="E4" s="267"/>
      <c r="F4" s="262" t="s">
        <v>59</v>
      </c>
      <c r="G4" s="263" t="s">
        <v>60</v>
      </c>
      <c r="H4" s="263" t="s">
        <v>54</v>
      </c>
      <c r="I4" s="264" t="s">
        <v>61</v>
      </c>
    </row>
    <row r="5" spans="1:10" ht="14.4" customHeight="1" x14ac:dyDescent="0.3">
      <c r="A5" s="389" t="s">
        <v>359</v>
      </c>
      <c r="B5" s="390" t="s">
        <v>360</v>
      </c>
      <c r="C5" s="391" t="s">
        <v>361</v>
      </c>
      <c r="D5" s="391" t="s">
        <v>361</v>
      </c>
      <c r="E5" s="391"/>
      <c r="F5" s="391" t="s">
        <v>361</v>
      </c>
      <c r="G5" s="391" t="s">
        <v>361</v>
      </c>
      <c r="H5" s="391" t="s">
        <v>361</v>
      </c>
      <c r="I5" s="392" t="s">
        <v>361</v>
      </c>
      <c r="J5" s="393" t="s">
        <v>55</v>
      </c>
    </row>
    <row r="6" spans="1:10" ht="14.4" customHeight="1" x14ac:dyDescent="0.3">
      <c r="A6" s="389" t="s">
        <v>359</v>
      </c>
      <c r="B6" s="390" t="s">
        <v>255</v>
      </c>
      <c r="C6" s="391">
        <v>0.47911999999999999</v>
      </c>
      <c r="D6" s="391">
        <v>0</v>
      </c>
      <c r="E6" s="391"/>
      <c r="F6" s="391">
        <v>0.33857999999999999</v>
      </c>
      <c r="G6" s="391">
        <v>0</v>
      </c>
      <c r="H6" s="391">
        <v>0.33857999999999999</v>
      </c>
      <c r="I6" s="392" t="s">
        <v>361</v>
      </c>
      <c r="J6" s="393" t="s">
        <v>1</v>
      </c>
    </row>
    <row r="7" spans="1:10" ht="14.4" customHeight="1" x14ac:dyDescent="0.3">
      <c r="A7" s="389" t="s">
        <v>359</v>
      </c>
      <c r="B7" s="390" t="s">
        <v>362</v>
      </c>
      <c r="C7" s="391">
        <v>0.47911999999999999</v>
      </c>
      <c r="D7" s="391">
        <v>0</v>
      </c>
      <c r="E7" s="391"/>
      <c r="F7" s="391">
        <v>0.33857999999999999</v>
      </c>
      <c r="G7" s="391">
        <v>0</v>
      </c>
      <c r="H7" s="391">
        <v>0.33857999999999999</v>
      </c>
      <c r="I7" s="392" t="s">
        <v>361</v>
      </c>
      <c r="J7" s="393" t="s">
        <v>363</v>
      </c>
    </row>
    <row r="9" spans="1:10" ht="14.4" customHeight="1" x14ac:dyDescent="0.3">
      <c r="A9" s="389" t="s">
        <v>359</v>
      </c>
      <c r="B9" s="390" t="s">
        <v>360</v>
      </c>
      <c r="C9" s="391" t="s">
        <v>361</v>
      </c>
      <c r="D9" s="391" t="s">
        <v>361</v>
      </c>
      <c r="E9" s="391"/>
      <c r="F9" s="391" t="s">
        <v>361</v>
      </c>
      <c r="G9" s="391" t="s">
        <v>361</v>
      </c>
      <c r="H9" s="391" t="s">
        <v>361</v>
      </c>
      <c r="I9" s="392" t="s">
        <v>361</v>
      </c>
      <c r="J9" s="393" t="s">
        <v>55</v>
      </c>
    </row>
    <row r="10" spans="1:10" ht="14.4" customHeight="1" x14ac:dyDescent="0.3">
      <c r="A10" s="389" t="s">
        <v>364</v>
      </c>
      <c r="B10" s="390" t="s">
        <v>365</v>
      </c>
      <c r="C10" s="391" t="s">
        <v>361</v>
      </c>
      <c r="D10" s="391" t="s">
        <v>361</v>
      </c>
      <c r="E10" s="391"/>
      <c r="F10" s="391" t="s">
        <v>361</v>
      </c>
      <c r="G10" s="391" t="s">
        <v>361</v>
      </c>
      <c r="H10" s="391" t="s">
        <v>361</v>
      </c>
      <c r="I10" s="392" t="s">
        <v>361</v>
      </c>
      <c r="J10" s="393" t="s">
        <v>0</v>
      </c>
    </row>
    <row r="11" spans="1:10" ht="14.4" customHeight="1" x14ac:dyDescent="0.3">
      <c r="A11" s="389" t="s">
        <v>364</v>
      </c>
      <c r="B11" s="390" t="s">
        <v>255</v>
      </c>
      <c r="C11" s="391">
        <v>0.47911999999999999</v>
      </c>
      <c r="D11" s="391">
        <v>0</v>
      </c>
      <c r="E11" s="391"/>
      <c r="F11" s="391">
        <v>0.33857999999999999</v>
      </c>
      <c r="G11" s="391">
        <v>0</v>
      </c>
      <c r="H11" s="391">
        <v>0.33857999999999999</v>
      </c>
      <c r="I11" s="392" t="s">
        <v>361</v>
      </c>
      <c r="J11" s="393" t="s">
        <v>1</v>
      </c>
    </row>
    <row r="12" spans="1:10" ht="14.4" customHeight="1" x14ac:dyDescent="0.3">
      <c r="A12" s="389" t="s">
        <v>364</v>
      </c>
      <c r="B12" s="390" t="s">
        <v>366</v>
      </c>
      <c r="C12" s="391">
        <v>0.47911999999999999</v>
      </c>
      <c r="D12" s="391">
        <v>0</v>
      </c>
      <c r="E12" s="391"/>
      <c r="F12" s="391">
        <v>0.33857999999999999</v>
      </c>
      <c r="G12" s="391">
        <v>0</v>
      </c>
      <c r="H12" s="391">
        <v>0.33857999999999999</v>
      </c>
      <c r="I12" s="392" t="s">
        <v>361</v>
      </c>
      <c r="J12" s="393" t="s">
        <v>367</v>
      </c>
    </row>
    <row r="13" spans="1:10" ht="14.4" customHeight="1" x14ac:dyDescent="0.3">
      <c r="A13" s="389" t="s">
        <v>361</v>
      </c>
      <c r="B13" s="390" t="s">
        <v>361</v>
      </c>
      <c r="C13" s="391" t="s">
        <v>361</v>
      </c>
      <c r="D13" s="391" t="s">
        <v>361</v>
      </c>
      <c r="E13" s="391"/>
      <c r="F13" s="391" t="s">
        <v>361</v>
      </c>
      <c r="G13" s="391" t="s">
        <v>361</v>
      </c>
      <c r="H13" s="391" t="s">
        <v>361</v>
      </c>
      <c r="I13" s="392" t="s">
        <v>361</v>
      </c>
      <c r="J13" s="393" t="s">
        <v>368</v>
      </c>
    </row>
    <row r="14" spans="1:10" ht="14.4" customHeight="1" x14ac:dyDescent="0.3">
      <c r="A14" s="389" t="s">
        <v>359</v>
      </c>
      <c r="B14" s="390" t="s">
        <v>362</v>
      </c>
      <c r="C14" s="391">
        <v>0.47911999999999999</v>
      </c>
      <c r="D14" s="391">
        <v>0</v>
      </c>
      <c r="E14" s="391"/>
      <c r="F14" s="391">
        <v>0.33857999999999999</v>
      </c>
      <c r="G14" s="391">
        <v>0</v>
      </c>
      <c r="H14" s="391">
        <v>0.33857999999999999</v>
      </c>
      <c r="I14" s="392" t="s">
        <v>361</v>
      </c>
      <c r="J14" s="393" t="s">
        <v>363</v>
      </c>
    </row>
  </sheetData>
  <mergeCells count="3">
    <mergeCell ref="F3:I3"/>
    <mergeCell ref="C4:D4"/>
    <mergeCell ref="A1:I1"/>
  </mergeCells>
  <conditionalFormatting sqref="F8 F15:F65537">
    <cfRule type="cellIs" dxfId="37" priority="18" stopIfTrue="1" operator="greaterThan">
      <formula>1</formula>
    </cfRule>
  </conditionalFormatting>
  <conditionalFormatting sqref="H5:H7">
    <cfRule type="expression" dxfId="36" priority="14">
      <formula>$H5&gt;0</formula>
    </cfRule>
  </conditionalFormatting>
  <conditionalFormatting sqref="I5:I7">
    <cfRule type="expression" dxfId="35" priority="15">
      <formula>$I5&gt;1</formula>
    </cfRule>
  </conditionalFormatting>
  <conditionalFormatting sqref="B5:B7">
    <cfRule type="expression" dxfId="34" priority="11">
      <formula>OR($J5="NS",$J5="SumaNS",$J5="Účet")</formula>
    </cfRule>
  </conditionalFormatting>
  <conditionalFormatting sqref="B5:D7 F5:I7">
    <cfRule type="expression" dxfId="33" priority="17">
      <formula>AND($J5&lt;&gt;"",$J5&lt;&gt;"mezeraKL")</formula>
    </cfRule>
  </conditionalFormatting>
  <conditionalFormatting sqref="B5:D7 F5:I7">
    <cfRule type="expression" dxfId="32" priority="12">
      <formula>OR($J5="KL",$J5="SumaKL")</formula>
    </cfRule>
    <cfRule type="expression" priority="16" stopIfTrue="1">
      <formula>OR($J5="mezeraNS",$J5="mezeraKL")</formula>
    </cfRule>
  </conditionalFormatting>
  <conditionalFormatting sqref="F5:I7 B5:D7">
    <cfRule type="expression" dxfId="31" priority="13">
      <formula>OR($J5="SumaNS",$J5="NS")</formula>
    </cfRule>
  </conditionalFormatting>
  <conditionalFormatting sqref="A5:A7">
    <cfRule type="expression" dxfId="30" priority="9">
      <formula>AND($J5&lt;&gt;"mezeraKL",$J5&lt;&gt;"")</formula>
    </cfRule>
  </conditionalFormatting>
  <conditionalFormatting sqref="A5:A7">
    <cfRule type="expression" dxfId="29" priority="10">
      <formula>AND($J5&lt;&gt;"",$J5&lt;&gt;"mezeraKL")</formula>
    </cfRule>
  </conditionalFormatting>
  <conditionalFormatting sqref="H9:H14">
    <cfRule type="expression" dxfId="28" priority="5">
      <formula>$H9&gt;0</formula>
    </cfRule>
  </conditionalFormatting>
  <conditionalFormatting sqref="A9:A14">
    <cfRule type="expression" dxfId="27" priority="2">
      <formula>AND($J9&lt;&gt;"mezeraKL",$J9&lt;&gt;"")</formula>
    </cfRule>
  </conditionalFormatting>
  <conditionalFormatting sqref="I9:I14">
    <cfRule type="expression" dxfId="26" priority="6">
      <formula>$I9&gt;1</formula>
    </cfRule>
  </conditionalFormatting>
  <conditionalFormatting sqref="B9:B14">
    <cfRule type="expression" dxfId="25" priority="1">
      <formula>OR($J9="NS",$J9="SumaNS",$J9="Účet")</formula>
    </cfRule>
  </conditionalFormatting>
  <conditionalFormatting sqref="A9:D14 F9:I14">
    <cfRule type="expression" dxfId="24" priority="8">
      <formula>AND($J9&lt;&gt;"",$J9&lt;&gt;"mezeraKL")</formula>
    </cfRule>
  </conditionalFormatting>
  <conditionalFormatting sqref="B9:D14 F9:I14">
    <cfRule type="expression" dxfId="23" priority="3">
      <formula>OR($J9="KL",$J9="SumaKL")</formula>
    </cfRule>
    <cfRule type="expression" priority="7" stopIfTrue="1">
      <formula>OR($J9="mezeraNS",$J9="mezeraKL")</formula>
    </cfRule>
  </conditionalFormatting>
  <conditionalFormatting sqref="B9:D14 F9:I14">
    <cfRule type="expression" dxfId="22" priority="4">
      <formula>OR($J9="SumaNS",$J9="NS")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7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105" hidden="1" customWidth="1" outlineLevel="1"/>
    <col min="2" max="2" width="28.33203125" style="105" hidden="1" customWidth="1" outlineLevel="1"/>
    <col min="3" max="3" width="5.33203125" style="182" bestFit="1" customWidth="1" collapsed="1"/>
    <col min="4" max="4" width="18.77734375" style="186" customWidth="1"/>
    <col min="5" max="5" width="9" style="182" bestFit="1" customWidth="1"/>
    <col min="6" max="6" width="18.77734375" style="186" customWidth="1"/>
    <col min="7" max="7" width="5" style="182" customWidth="1"/>
    <col min="8" max="8" width="12.44140625" style="182" hidden="1" customWidth="1" outlineLevel="1"/>
    <col min="9" max="9" width="8.5546875" style="182" hidden="1" customWidth="1" outlineLevel="1"/>
    <col min="10" max="10" width="25.77734375" style="182" customWidth="1" collapsed="1"/>
    <col min="11" max="11" width="8.77734375" style="182" customWidth="1"/>
    <col min="12" max="13" width="7.77734375" style="180" customWidth="1"/>
    <col min="14" max="14" width="11.109375" style="180" customWidth="1"/>
    <col min="15" max="16384" width="8.88671875" style="105"/>
  </cols>
  <sheetData>
    <row r="1" spans="1:14" ht="18.600000000000001" customHeight="1" thickBot="1" x14ac:dyDescent="0.4">
      <c r="A1" s="329" t="s">
        <v>132</v>
      </c>
      <c r="B1" s="294"/>
      <c r="C1" s="294"/>
      <c r="D1" s="294"/>
      <c r="E1" s="294"/>
      <c r="F1" s="294"/>
      <c r="G1" s="294"/>
      <c r="H1" s="294"/>
      <c r="I1" s="294"/>
      <c r="J1" s="294"/>
      <c r="K1" s="294"/>
      <c r="L1" s="294"/>
      <c r="M1" s="294"/>
      <c r="N1" s="294"/>
    </row>
    <row r="2" spans="1:14" ht="14.4" customHeight="1" thickBot="1" x14ac:dyDescent="0.35">
      <c r="A2" s="202" t="s">
        <v>247</v>
      </c>
      <c r="B2" s="57"/>
      <c r="C2" s="184"/>
      <c r="D2" s="184"/>
      <c r="E2" s="184"/>
      <c r="F2" s="184"/>
      <c r="G2" s="184"/>
      <c r="H2" s="184"/>
      <c r="I2" s="184"/>
      <c r="J2" s="184"/>
      <c r="K2" s="184"/>
      <c r="L2" s="185"/>
      <c r="M2" s="185"/>
      <c r="N2" s="185"/>
    </row>
    <row r="3" spans="1:14" ht="14.4" customHeight="1" thickBot="1" x14ac:dyDescent="0.35">
      <c r="A3" s="57"/>
      <c r="B3" s="57"/>
      <c r="C3" s="325"/>
      <c r="D3" s="326"/>
      <c r="E3" s="326"/>
      <c r="F3" s="326"/>
      <c r="G3" s="326"/>
      <c r="H3" s="326"/>
      <c r="I3" s="326"/>
      <c r="J3" s="327" t="s">
        <v>112</v>
      </c>
      <c r="K3" s="328"/>
      <c r="L3" s="74">
        <f>IF(M3&lt;&gt;0,N3/M3,0)</f>
        <v>56.430275708454097</v>
      </c>
      <c r="M3" s="74">
        <f>SUBTOTAL(9,M5:M1048576)</f>
        <v>6</v>
      </c>
      <c r="N3" s="75">
        <f>SUBTOTAL(9,N5:N1048576)</f>
        <v>338.58165425072457</v>
      </c>
    </row>
    <row r="4" spans="1:14" s="181" customFormat="1" ht="14.4" customHeight="1" thickBot="1" x14ac:dyDescent="0.35">
      <c r="A4" s="394" t="s">
        <v>4</v>
      </c>
      <c r="B4" s="395" t="s">
        <v>5</v>
      </c>
      <c r="C4" s="395" t="s">
        <v>0</v>
      </c>
      <c r="D4" s="395" t="s">
        <v>6</v>
      </c>
      <c r="E4" s="395" t="s">
        <v>7</v>
      </c>
      <c r="F4" s="395" t="s">
        <v>1</v>
      </c>
      <c r="G4" s="395" t="s">
        <v>8</v>
      </c>
      <c r="H4" s="395" t="s">
        <v>9</v>
      </c>
      <c r="I4" s="395" t="s">
        <v>10</v>
      </c>
      <c r="J4" s="396" t="s">
        <v>11</v>
      </c>
      <c r="K4" s="396" t="s">
        <v>12</v>
      </c>
      <c r="L4" s="397" t="s">
        <v>119</v>
      </c>
      <c r="M4" s="397" t="s">
        <v>13</v>
      </c>
      <c r="N4" s="398" t="s">
        <v>127</v>
      </c>
    </row>
    <row r="5" spans="1:14" ht="14.4" customHeight="1" x14ac:dyDescent="0.3">
      <c r="A5" s="399" t="s">
        <v>359</v>
      </c>
      <c r="B5" s="400" t="s">
        <v>360</v>
      </c>
      <c r="C5" s="401" t="s">
        <v>364</v>
      </c>
      <c r="D5" s="402" t="s">
        <v>381</v>
      </c>
      <c r="E5" s="401" t="s">
        <v>369</v>
      </c>
      <c r="F5" s="402" t="s">
        <v>382</v>
      </c>
      <c r="G5" s="401" t="s">
        <v>370</v>
      </c>
      <c r="H5" s="401" t="s">
        <v>371</v>
      </c>
      <c r="I5" s="401" t="s">
        <v>372</v>
      </c>
      <c r="J5" s="401" t="s">
        <v>373</v>
      </c>
      <c r="K5" s="401" t="s">
        <v>374</v>
      </c>
      <c r="L5" s="403">
        <v>46.260827125362248</v>
      </c>
      <c r="M5" s="403">
        <v>2</v>
      </c>
      <c r="N5" s="404">
        <v>92.521654250724495</v>
      </c>
    </row>
    <row r="6" spans="1:14" ht="14.4" customHeight="1" x14ac:dyDescent="0.3">
      <c r="A6" s="405" t="s">
        <v>359</v>
      </c>
      <c r="B6" s="406" t="s">
        <v>360</v>
      </c>
      <c r="C6" s="407" t="s">
        <v>364</v>
      </c>
      <c r="D6" s="408" t="s">
        <v>381</v>
      </c>
      <c r="E6" s="407" t="s">
        <v>369</v>
      </c>
      <c r="F6" s="408" t="s">
        <v>382</v>
      </c>
      <c r="G6" s="407" t="s">
        <v>370</v>
      </c>
      <c r="H6" s="407" t="s">
        <v>375</v>
      </c>
      <c r="I6" s="407" t="s">
        <v>376</v>
      </c>
      <c r="J6" s="407" t="s">
        <v>377</v>
      </c>
      <c r="K6" s="407" t="s">
        <v>378</v>
      </c>
      <c r="L6" s="409">
        <v>62.08</v>
      </c>
      <c r="M6" s="409">
        <v>2</v>
      </c>
      <c r="N6" s="410">
        <v>124.16</v>
      </c>
    </row>
    <row r="7" spans="1:14" ht="14.4" customHeight="1" thickBot="1" x14ac:dyDescent="0.35">
      <c r="A7" s="411" t="s">
        <v>359</v>
      </c>
      <c r="B7" s="412" t="s">
        <v>360</v>
      </c>
      <c r="C7" s="413" t="s">
        <v>364</v>
      </c>
      <c r="D7" s="414" t="s">
        <v>381</v>
      </c>
      <c r="E7" s="413" t="s">
        <v>369</v>
      </c>
      <c r="F7" s="414" t="s">
        <v>382</v>
      </c>
      <c r="G7" s="413" t="s">
        <v>370</v>
      </c>
      <c r="H7" s="413" t="s">
        <v>379</v>
      </c>
      <c r="I7" s="413" t="s">
        <v>134</v>
      </c>
      <c r="J7" s="413" t="s">
        <v>380</v>
      </c>
      <c r="K7" s="413"/>
      <c r="L7" s="415">
        <v>60.950000000000045</v>
      </c>
      <c r="M7" s="415">
        <v>2</v>
      </c>
      <c r="N7" s="416">
        <v>121.90000000000009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7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280" customWidth="1"/>
    <col min="2" max="2" width="5.44140625" style="180" bestFit="1" customWidth="1"/>
    <col min="3" max="3" width="6.109375" style="180" bestFit="1" customWidth="1"/>
    <col min="4" max="4" width="7.44140625" style="180" bestFit="1" customWidth="1"/>
    <col min="5" max="5" width="6.21875" style="180" bestFit="1" customWidth="1"/>
    <col min="6" max="6" width="6.33203125" style="183" bestFit="1" customWidth="1"/>
    <col min="7" max="7" width="6.109375" style="183" bestFit="1" customWidth="1"/>
    <col min="8" max="8" width="7.44140625" style="183" bestFit="1" customWidth="1"/>
    <col min="9" max="9" width="6.21875" style="183" bestFit="1" customWidth="1"/>
    <col min="10" max="10" width="5.44140625" style="180" bestFit="1" customWidth="1"/>
    <col min="11" max="11" width="6.109375" style="180" bestFit="1" customWidth="1"/>
    <col min="12" max="12" width="7.44140625" style="180" bestFit="1" customWidth="1"/>
    <col min="13" max="13" width="6.21875" style="180" bestFit="1" customWidth="1"/>
    <col min="14" max="14" width="5.33203125" style="183" bestFit="1" customWidth="1"/>
    <col min="15" max="15" width="6.109375" style="183" bestFit="1" customWidth="1"/>
    <col min="16" max="16" width="7.44140625" style="183" bestFit="1" customWidth="1"/>
    <col min="17" max="17" width="6.21875" style="183" bestFit="1" customWidth="1"/>
    <col min="18" max="16384" width="8.88671875" style="105"/>
  </cols>
  <sheetData>
    <row r="1" spans="1:17" ht="18.600000000000001" customHeight="1" thickBot="1" x14ac:dyDescent="0.4">
      <c r="A1" s="330" t="s">
        <v>210</v>
      </c>
      <c r="B1" s="330"/>
      <c r="C1" s="330"/>
      <c r="D1" s="330"/>
      <c r="E1" s="330"/>
      <c r="F1" s="294"/>
      <c r="G1" s="294"/>
      <c r="H1" s="294"/>
      <c r="I1" s="294"/>
      <c r="J1" s="324"/>
      <c r="K1" s="324"/>
      <c r="L1" s="324"/>
      <c r="M1" s="324"/>
      <c r="N1" s="324"/>
      <c r="O1" s="324"/>
      <c r="P1" s="324"/>
      <c r="Q1" s="324"/>
    </row>
    <row r="2" spans="1:17" ht="14.4" customHeight="1" thickBot="1" x14ac:dyDescent="0.35">
      <c r="A2" s="202" t="s">
        <v>247</v>
      </c>
      <c r="B2" s="187"/>
      <c r="C2" s="187"/>
      <c r="D2" s="187"/>
      <c r="E2" s="187"/>
    </row>
    <row r="3" spans="1:17" ht="14.4" customHeight="1" thickBot="1" x14ac:dyDescent="0.35">
      <c r="A3" s="269" t="s">
        <v>3</v>
      </c>
      <c r="B3" s="273">
        <f>SUM(B6:B1048576)</f>
        <v>6</v>
      </c>
      <c r="C3" s="274">
        <f>SUM(C6:C1048576)</f>
        <v>0</v>
      </c>
      <c r="D3" s="274">
        <f>SUM(D6:D1048576)</f>
        <v>0</v>
      </c>
      <c r="E3" s="275">
        <f>SUM(E6:E1048576)</f>
        <v>0</v>
      </c>
      <c r="F3" s="272">
        <f>IF(SUM($B3:$E3)=0,"",B3/SUM($B3:$E3))</f>
        <v>1</v>
      </c>
      <c r="G3" s="270">
        <f t="shared" ref="G3:I3" si="0">IF(SUM($B3:$E3)=0,"",C3/SUM($B3:$E3))</f>
        <v>0</v>
      </c>
      <c r="H3" s="270">
        <f t="shared" si="0"/>
        <v>0</v>
      </c>
      <c r="I3" s="271">
        <f t="shared" si="0"/>
        <v>0</v>
      </c>
      <c r="J3" s="274">
        <f>SUM(J6:J1048576)</f>
        <v>2</v>
      </c>
      <c r="K3" s="274">
        <f>SUM(K6:K1048576)</f>
        <v>0</v>
      </c>
      <c r="L3" s="274">
        <f>SUM(L6:L1048576)</f>
        <v>0</v>
      </c>
      <c r="M3" s="275">
        <f>SUM(M6:M1048576)</f>
        <v>0</v>
      </c>
      <c r="N3" s="272">
        <f>IF(SUM($J3:$M3)=0,"",J3/SUM($J3:$M3))</f>
        <v>1</v>
      </c>
      <c r="O3" s="270">
        <f t="shared" ref="O3:Q3" si="1">IF(SUM($J3:$M3)=0,"",K3/SUM($J3:$M3))</f>
        <v>0</v>
      </c>
      <c r="P3" s="270">
        <f t="shared" si="1"/>
        <v>0</v>
      </c>
      <c r="Q3" s="271">
        <f t="shared" si="1"/>
        <v>0</v>
      </c>
    </row>
    <row r="4" spans="1:17" ht="14.4" customHeight="1" thickBot="1" x14ac:dyDescent="0.35">
      <c r="A4" s="268"/>
      <c r="B4" s="334" t="s">
        <v>212</v>
      </c>
      <c r="C4" s="335"/>
      <c r="D4" s="335"/>
      <c r="E4" s="336"/>
      <c r="F4" s="331" t="s">
        <v>217</v>
      </c>
      <c r="G4" s="332"/>
      <c r="H4" s="332"/>
      <c r="I4" s="333"/>
      <c r="J4" s="334" t="s">
        <v>218</v>
      </c>
      <c r="K4" s="335"/>
      <c r="L4" s="335"/>
      <c r="M4" s="336"/>
      <c r="N4" s="331" t="s">
        <v>219</v>
      </c>
      <c r="O4" s="332"/>
      <c r="P4" s="332"/>
      <c r="Q4" s="333"/>
    </row>
    <row r="5" spans="1:17" ht="14.4" customHeight="1" thickBot="1" x14ac:dyDescent="0.35">
      <c r="A5" s="417" t="s">
        <v>211</v>
      </c>
      <c r="B5" s="418" t="s">
        <v>213</v>
      </c>
      <c r="C5" s="418" t="s">
        <v>214</v>
      </c>
      <c r="D5" s="418" t="s">
        <v>215</v>
      </c>
      <c r="E5" s="419" t="s">
        <v>216</v>
      </c>
      <c r="F5" s="420" t="s">
        <v>213</v>
      </c>
      <c r="G5" s="421" t="s">
        <v>214</v>
      </c>
      <c r="H5" s="421" t="s">
        <v>215</v>
      </c>
      <c r="I5" s="422" t="s">
        <v>216</v>
      </c>
      <c r="J5" s="418" t="s">
        <v>213</v>
      </c>
      <c r="K5" s="418" t="s">
        <v>214</v>
      </c>
      <c r="L5" s="418" t="s">
        <v>215</v>
      </c>
      <c r="M5" s="419" t="s">
        <v>216</v>
      </c>
      <c r="N5" s="420" t="s">
        <v>213</v>
      </c>
      <c r="O5" s="421" t="s">
        <v>214</v>
      </c>
      <c r="P5" s="421" t="s">
        <v>215</v>
      </c>
      <c r="Q5" s="422" t="s">
        <v>216</v>
      </c>
    </row>
    <row r="6" spans="1:17" ht="14.4" customHeight="1" x14ac:dyDescent="0.3">
      <c r="A6" s="428" t="s">
        <v>383</v>
      </c>
      <c r="B6" s="432"/>
      <c r="C6" s="403"/>
      <c r="D6" s="403"/>
      <c r="E6" s="404"/>
      <c r="F6" s="430"/>
      <c r="G6" s="424"/>
      <c r="H6" s="424"/>
      <c r="I6" s="434"/>
      <c r="J6" s="432"/>
      <c r="K6" s="403"/>
      <c r="L6" s="403"/>
      <c r="M6" s="404"/>
      <c r="N6" s="430"/>
      <c r="O6" s="424"/>
      <c r="P6" s="424"/>
      <c r="Q6" s="425"/>
    </row>
    <row r="7" spans="1:17" ht="14.4" customHeight="1" thickBot="1" x14ac:dyDescent="0.35">
      <c r="A7" s="429" t="s">
        <v>384</v>
      </c>
      <c r="B7" s="433">
        <v>6</v>
      </c>
      <c r="C7" s="415"/>
      <c r="D7" s="415"/>
      <c r="E7" s="416"/>
      <c r="F7" s="431">
        <v>1</v>
      </c>
      <c r="G7" s="426">
        <v>0</v>
      </c>
      <c r="H7" s="426">
        <v>0</v>
      </c>
      <c r="I7" s="435">
        <v>0</v>
      </c>
      <c r="J7" s="433">
        <v>2</v>
      </c>
      <c r="K7" s="415"/>
      <c r="L7" s="415"/>
      <c r="M7" s="416"/>
      <c r="N7" s="431">
        <v>1</v>
      </c>
      <c r="O7" s="426">
        <v>0</v>
      </c>
      <c r="P7" s="426">
        <v>0</v>
      </c>
      <c r="Q7" s="427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21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18</vt:i4>
      </vt:variant>
      <vt:variant>
        <vt:lpstr>Pojmenované oblasti</vt:lpstr>
      </vt:variant>
      <vt:variant>
        <vt:i4>1</vt:i4>
      </vt:variant>
    </vt:vector>
  </HeadingPairs>
  <TitlesOfParts>
    <vt:vector size="19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Statim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Vykáz.-H</vt:lpstr>
      <vt:lpstr>ZV Vykáz.-H Detail</vt:lpstr>
      <vt:lpstr>doměsíce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2014-08-21T08:13:26Z</cp:lastPrinted>
  <dcterms:created xsi:type="dcterms:W3CDTF">2013-04-17T20:15:29Z</dcterms:created>
  <dcterms:modified xsi:type="dcterms:W3CDTF">2015-09-24T15:25:09Z</dcterms:modified>
</cp:coreProperties>
</file>