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4" hidden="1">'ZV Vykáz.-A Detail'!$A$5:$Q$5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E26" i="419" l="1"/>
  <c r="E25" i="419"/>
  <c r="C26" i="419"/>
  <c r="E28" i="419" l="1"/>
  <c r="E27" i="419"/>
  <c r="C25" i="419"/>
  <c r="E20" i="419"/>
  <c r="E19" i="419"/>
  <c r="E17" i="419"/>
  <c r="E16" i="419"/>
  <c r="E14" i="419"/>
  <c r="E13" i="419"/>
  <c r="E12" i="419"/>
  <c r="E11" i="419"/>
  <c r="AW3" i="418"/>
  <c r="AV3" i="418"/>
  <c r="AU3" i="418"/>
  <c r="AT3" i="418"/>
  <c r="AS3" i="418"/>
  <c r="AR3" i="418"/>
  <c r="AQ3" i="418"/>
  <c r="AP3" i="418"/>
  <c r="E18" i="419" l="1"/>
  <c r="B25" i="419"/>
  <c r="C27" i="419" l="1"/>
  <c r="B26" i="419"/>
  <c r="B27" i="419" s="1"/>
  <c r="C28" i="419"/>
  <c r="A8" i="414"/>
  <c r="A7" i="414"/>
  <c r="F3" i="344" l="1"/>
  <c r="D3" i="344"/>
  <c r="B3" i="344"/>
  <c r="D21" i="419" l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D22" i="419"/>
  <c r="M3" i="418"/>
  <c r="B21" i="419" l="1"/>
  <c r="B22" i="419" l="1"/>
  <c r="A19" i="383"/>
  <c r="G3" i="429"/>
  <c r="F3" i="429"/>
  <c r="E3" i="429"/>
  <c r="D3" i="429"/>
  <c r="C3" i="429"/>
  <c r="B3" i="429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E6" i="419" l="1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C19" i="414"/>
  <c r="D19" i="414"/>
  <c r="F13" i="339" l="1"/>
  <c r="E13" i="339"/>
  <c r="E15" i="339" s="1"/>
  <c r="H12" i="339"/>
  <c r="G12" i="339"/>
  <c r="A4" i="383"/>
  <c r="A22" i="383"/>
  <c r="A21" i="383"/>
  <c r="A20" i="383"/>
  <c r="A18" i="383"/>
  <c r="A15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<sst xmlns="http://schemas.openxmlformats.org/spreadsheetml/2006/main" count="992" uniqueCount="405">
  <si>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</si>
  <si>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</si>
  <si>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</si>
  <si>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</si>
  <si>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</si>
  <si>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</si>
  <si>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</si>
  <si>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</si>
  <si>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</si>
  <si>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</si>
  <si>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</si>
  <si>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</si>
  <si>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</si>
  <si>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</si>
  <si>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</si>
  <si>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</si>
  <si>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</si>
  <si>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</si>
  <si>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</si>
  <si>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</si>
  <si>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</si>
  <si>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</si>
  <si>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</si>
  <si>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</si>
  <si>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</si>
  <si>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</si>
  <si>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</si>
  <si>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</si>
  <si>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</si>
  <si>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</si>
  <si>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</si>
  <si>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</si>
  <si>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</si>
  <si>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</si>
  <si>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</si>
  <si>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</si>
  <si>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</si>
  <si>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</si>
  <si>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</si>
  <si>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</si>
  <si>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</si>
  <si>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</si>
  <si>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</si>
  <si>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</si>
  <si>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</si>
  <si>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</si>
  <si>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</si>
  <si>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</si>
  <si>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</si>
  <si>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</si>
  <si>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</si>
  <si>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</si>
  <si>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</si>
  <si>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</si>
  <si>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</si>
  <si>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</si>
  <si>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</si>
  <si>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</si>
  <si>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</si>
  <si>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</si>
  <si>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</si>
  <si>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</si>
  <si>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</si>
  <si>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</si>
  <si>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</si>
  <si>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</si>
  <si>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</si>
  <si>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</si>
  <si>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</si>
  <si>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</si>
  <si>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</si>
  <si>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</si>
  <si>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</si>
  <si>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</si>
  <si>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</si>
  <si>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</si>
  <si>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</si>
  <si>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</si>
  <si>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</si>
  <si>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</si>
  <si>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</si>
  <si>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</si>
  <si>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</si>
  <si>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</si>
  <si>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</si>
  <si>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</si>
  <si>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</si>
  <si>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</si>
  <si>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</si>
  <si>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</si>
  <si>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</si>
  <si>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</si>
  <si>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</si>
  <si>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</si>
  <si>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</si>
  <si>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</si>
  <si>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</si>
  <si>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</si>
  <si>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</si>
  <si>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</si>
  <si>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</si>
  <si>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</si>
  <si>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</si>
  <si>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</si>
  <si>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</si>
  <si>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</si>
  <si>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</si>
  <si>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</si>
  <si>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</si>
  <si>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</si>
  <si>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</si>
  <si>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</si>
  <si>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</si>
  <si>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</si>
  <si>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</si>
  <si>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</si>
  <si>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</si>
  <si>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</si>
  <si>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</si>
  <si>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</si>
  <si>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</si>
  <si>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</si>
  <si>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</si>
  <si>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</si>
  <si>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</si>
  <si>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</si>
  <si>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</si>
  <si>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</si>
  <si>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</si>
  <si>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</si>
  <si>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</si>
  <si>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</si>
  <si>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</si>
  <si>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</si>
  <si>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</si>
  <si>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</si>
  <si>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</si>
  <si>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</si>
  <si>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</si>
  <si>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</si>
  <si>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</si>
  <si>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</si>
  <si>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</si>
  <si>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</si>
  <si>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</si>
  <si>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</si>
  <si>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</si>
  <si>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</si>
  <si>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</si>
  <si>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</si>
  <si>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</si>
  <si>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</si>
  <si>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</si>
  <si>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</si>
  <si>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</si>
  <si>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</si>
  <si>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</si>
  <si>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</si>
  <si>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</si>
  <si>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</si>
  <si>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</si>
  <si>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</si>
  <si>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</si>
  <si>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</si>
  <si>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kliničtí logopedové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</si>
  <si>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</si>
  <si>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</si>
  <si>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</si>
  <si>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</si>
  <si>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</si>
  <si>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</si>
  <si>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</si>
  <si>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</si>
  <si>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</si>
  <si>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</si>
  <si>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</si>
  <si>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</si>
  <si>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</si>
  <si>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</si>
  <si>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</si>
  <si>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</si>
  <si>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</si>
  <si>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</si>
  <si>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</si>
  <si>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</si>
  <si>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</si>
  <si>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</si>
  <si>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</si>
  <si>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</si>
  <si>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</si>
  <si>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</si>
  <si>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</si>
  <si>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</si>
  <si>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</si>
  <si>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</si>
  <si>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</si>
  <si>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</si>
  <si>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</si>
  <si>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</si>
  <si>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</si>
  <si>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</si>
  <si>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</si>
  <si>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</si>
  <si>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</si>
  <si>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</si>
  <si>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</si>
  <si>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</si>
  <si>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klinické logopedie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</si>
  <si>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</si>
  <si>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</si>
  <si>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</si>
  <si>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</si>
  <si>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</si>
  <si>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</si>
  <si>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</si>
  <si>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</si>
  <si>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</si>
  <si>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50115050     obvazový materiál (Z502)</t>
  </si>
  <si>
    <t>50115060     ZPr - ostatní (Z503)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</si>
  <si>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</si>
  <si>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</si>
  <si>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</si>
  <si>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</si>
  <si>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</si>
  <si>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</si>
  <si>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</si>
  <si>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</si>
  <si>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</si>
  <si>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</si>
  <si>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</si>
  <si>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</si>
  <si>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</si>
  <si>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</si>
  <si>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</si>
  <si>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</si>
  <si>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</si>
  <si>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</si>
  <si>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</si>
  <si>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</si>
  <si>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</si>
  <si>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</si>
  <si>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</si>
  <si>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</si>
  <si>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</si>
  <si>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</si>
  <si>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</si>
  <si>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</si>
  <si>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</si>
  <si>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</si>
  <si>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</si>
  <si>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</si>
  <si>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</si>
  <si>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</si>
  <si>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</si>
  <si>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</si>
  <si>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</si>
  <si>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</si>
  <si>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</si>
  <si>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</si>
  <si>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</si>
  <si>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</si>
  <si>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</si>
  <si>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</si>
  <si>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</si>
  <si>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</si>
  <si>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</si>
  <si>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</si>
  <si>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</si>
  <si>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</si>
  <si>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</si>
  <si>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</si>
  <si>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</si>
  <si>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</si>
  <si>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</si>
  <si>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</si>
  <si>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</si>
  <si>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</si>
  <si>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</si>
  <si>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</si>
  <si>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</si>
  <si>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</si>
  <si>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</si>
  <si>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</si>
  <si>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</si>
  <si>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</si>
  <si>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60210359     zdr.služby - tuzemci (plastika atd. ...)</t>
  </si>
  <si>
    <t>60228     Zdr. výkony - VZP sledov.položky    OZPI</t>
  </si>
  <si>
    <t>60228190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</si>
  <si>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</si>
  <si>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</si>
  <si>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</si>
  <si>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</si>
  <si>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</si>
  <si>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</si>
  <si>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</si>
  <si>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</si>
  <si>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</si>
  <si>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</si>
  <si>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</si>
  <si>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</si>
  <si>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</si>
  <si>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</si>
  <si>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</si>
  <si>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</si>
  <si>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</si>
  <si>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</si>
  <si>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</si>
  <si>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</si>
  <si>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</si>
  <si>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</si>
  <si>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</si>
  <si>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</si>
  <si>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</si>
  <si>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>Oddělení klinické logopedie</t>
  </si>
  <si>
    <t/>
  </si>
  <si>
    <t>Oddělení klinické logopedie Celkem</t>
  </si>
  <si>
    <t>SumaKL</t>
  </si>
  <si>
    <t>3621</t>
  </si>
  <si>
    <t>ambulance</t>
  </si>
  <si>
    <t>ambulance Celkem</t>
  </si>
  <si>
    <t>SumaNS</t>
  </si>
  <si>
    <t>mezeraNS</t>
  </si>
  <si>
    <t>36 - Oddělení klinické logopedie</t>
  </si>
  <si>
    <t>3621 - ambulance</t>
  </si>
  <si>
    <t>ZA728</t>
  </si>
  <si>
    <t>Lopatka ústní dřevěná lékařská nesterilní bal. á 100 ks 1320100655</t>
  </si>
  <si>
    <t>ZM292</t>
  </si>
  <si>
    <t>Rukavice nitril sempercare bez p. M bal. á 200 ks 30803</t>
  </si>
  <si>
    <t>LOGO: ambulance</t>
  </si>
  <si>
    <t>50115060</t>
  </si>
  <si>
    <t>503 SZM ostatní zdravotnický (112 02 100)</t>
  </si>
  <si>
    <t>50115067</t>
  </si>
  <si>
    <t>532 SZM Rukavice (112 02 108)</t>
  </si>
  <si>
    <t>Spotřeba zdravotnického materiálu - orientační přehled</t>
  </si>
  <si>
    <t>ON Data</t>
  </si>
  <si>
    <t>903 - Pracoviště klinické logopedie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</si>
  <si>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</si>
  <si>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</si>
  <si>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</si>
  <si>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</si>
  <si>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</si>
  <si>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Čecháčková Miloslava</t>
  </si>
  <si>
    <t>Polášková Irena</t>
  </si>
  <si>
    <t>Vrtělová Milada</t>
  </si>
  <si>
    <t>Zdravotní výkony vykázané na pracovišti v rámci ambulantní péče dle lékařů *</t>
  </si>
  <si>
    <t>903</t>
  </si>
  <si>
    <t>V</t>
  </si>
  <si>
    <t>09511</t>
  </si>
  <si>
    <t>MINIMÁLNÍ KONTAKT LÉKAŘE S PACIENTEM</t>
  </si>
  <si>
    <t>72017</t>
  </si>
  <si>
    <t>KONTROLNÍ VYŠETŘENÍ KLINICKÝM LOGOPEDEM</t>
  </si>
  <si>
    <t>72211</t>
  </si>
  <si>
    <t>LOGOPEDICKÁ TERAPIE VAD A PORUCH ŘEČI PROVÁDĚNÁ KL</t>
  </si>
  <si>
    <t>72213</t>
  </si>
  <si>
    <t>LOGOPEDICKÁ TERAPIE ZVLÁŠTĚ NÁROČNÁ  U DĚTÍ, DOROS</t>
  </si>
  <si>
    <t>09547</t>
  </si>
  <si>
    <t>REGULAČNÍ POPLATEK -- POJIŠTĚNEC OD ÚHRADY POPLATK</t>
  </si>
  <si>
    <t>09543</t>
  </si>
  <si>
    <t>Signalni kod</t>
  </si>
  <si>
    <t>09523</t>
  </si>
  <si>
    <t>EDUKAČNÍ POHOVOR LÉKAŘE S NEMOCNÝM ČI RODINOU</t>
  </si>
  <si>
    <t>72015</t>
  </si>
  <si>
    <t>KOMPLEXNÍ VYŠETŘENÍ KLINICKÝM LOGOPEDEM</t>
  </si>
  <si>
    <t>72215</t>
  </si>
  <si>
    <t>LOGOPEDICKÁ TERAPIE STŘEDNĚ NÁROČNÁ PROVÁDĚNÁ KLIN</t>
  </si>
  <si>
    <t>72016</t>
  </si>
  <si>
    <t>CÍLENÉ VYŠETŘENÍ KLINICKÝM LOGOPEDEM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</si>
  <si>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</si>
  <si>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</si>
  <si>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</si>
  <si>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</si>
  <si>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</si>
  <si>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</si>
  <si>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</si>
  <si>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</si>
  <si>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</si>
  <si>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</si>
  <si>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16 - Klinika plicních nemocí a tuberkulózy</t>
  </si>
  <si>
    <t>17 - Neurologická klinika</t>
  </si>
  <si>
    <t>18 - Klinika psychiatrie</t>
  </si>
  <si>
    <t>21 - Onkologická klinika</t>
  </si>
  <si>
    <t>26 - Oddělení rehabilitace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</si>
  <si>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</si>
  <si>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</si>
  <si>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</si>
  <si>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</si>
  <si>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</si>
  <si>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</si>
  <si>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</si>
  <si>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</si>
  <si>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</si>
  <si>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</si>
  <si>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</si>
  <si>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</si>
  <si>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</si>
  <si>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16</t>
  </si>
  <si>
    <t>17</t>
  </si>
  <si>
    <t>18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</si>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</sst>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4" xfId="0" applyNumberFormat="1" applyFont="1" applyBorder="1"/>
    <xf numFmtId="174" fontId="39" fillId="0" borderId="78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right"/>
    </xf>
    <xf numFmtId="0" fontId="0" fillId="0" borderId="114" xfId="0" applyBorder="1" applyAlignment="1">
      <alignment horizontal="right" wrapText="1"/>
    </xf>
    <xf numFmtId="0" fontId="0" fillId="0" borderId="115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7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7" xfId="0" applyNumberFormat="1" applyFont="1" applyBorder="1"/>
    <xf numFmtId="173" fontId="32" fillId="0" borderId="90" xfId="0" applyNumberFormat="1" applyFont="1" applyBorder="1"/>
    <xf numFmtId="173" fontId="39" fillId="4" borderId="118" xfId="0" applyNumberFormat="1" applyFont="1" applyFill="1" applyBorder="1" applyAlignment="1">
      <alignment horizontal="center"/>
    </xf>
    <xf numFmtId="173" fontId="32" fillId="0" borderId="119" xfId="0" applyNumberFormat="1" applyFont="1" applyBorder="1" applyAlignment="1">
      <alignment horizontal="right"/>
    </xf>
    <xf numFmtId="175" fontId="32" fillId="0" borderId="119" xfId="0" applyNumberFormat="1" applyFont="1" applyBorder="1" applyAlignment="1">
      <alignment horizontal="right"/>
    </xf>
    <xf numFmtId="173" fontId="32" fillId="0" borderId="120" xfId="0" applyNumberFormat="1" applyFont="1" applyBorder="1" applyAlignment="1">
      <alignment horizontal="right"/>
    </xf>
    <xf numFmtId="0" fontId="0" fillId="0" borderId="116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3" fontId="32" fillId="0" borderId="71" xfId="0" applyNumberFormat="1" applyFont="1" applyBorder="1" applyAlignment="1">
      <alignment horizontal="right" wrapText="1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0.19360538290798482</c:v>
                </c:pt>
                <c:pt idx="1">
                  <c:v>0.19521907273863118</c:v>
                </c:pt>
                <c:pt idx="2">
                  <c:v>0.22937460564271384</c:v>
                </c:pt>
                <c:pt idx="3">
                  <c:v>0.25411935384055934</c:v>
                </c:pt>
                <c:pt idx="4">
                  <c:v>0.26687455791100251</c:v>
                </c:pt>
                <c:pt idx="5">
                  <c:v>0.26453837165946326</c:v>
                </c:pt>
                <c:pt idx="6">
                  <c:v>0.23657070400694266</c:v>
                </c:pt>
                <c:pt idx="7">
                  <c:v>0.22070661094792812</c:v>
                </c:pt>
                <c:pt idx="8">
                  <c:v>0.21963762520699401</c:v>
                </c:pt>
                <c:pt idx="9">
                  <c:v>0.19907811072620862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6786304"/>
        <c:axId val="-13267857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0.22012341578607841</c:v>
                </c:pt>
                <c:pt idx="1">
                  <c:v>0.22012341578607841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26783040"/>
        <c:axId val="-1326784672"/>
      </c:scatterChart>
      <c:catAx>
        <c:axId val="-13267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32678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2678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26786304"/>
        <c:crosses val="autoZero"/>
        <c:crossBetween val="between"/>
      </c:valAx>
      <c:valAx>
        <c:axId val="-1326783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26784672"/>
        <c:crosses val="max"/>
        <c:crossBetween val="midCat"/>
      </c:valAx>
      <c:valAx>
        <c:axId val="-1326784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26783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78" t="s">
        <v>90</v>
      </c>
      <c r="B1" s="278"/>
    </row>
    <row r="2" spans="1:3" ht="14.4" customHeight="1" thickBot="1" x14ac:dyDescent="0.35">
      <c r="A2" s="202" t="s">
        <v>207</v>
      </c>
      <c r="B2" s="41"/>
    </row>
    <row r="3" spans="1:3" ht="14.4" customHeight="1" thickBot="1" x14ac:dyDescent="0.35">
      <c r="A3" s="274" t="s">
        <v>112</v>
      </c>
      <c r="B3" s="275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100</v>
      </c>
      <c r="C4" s="42" t="s">
        <v>101</v>
      </c>
    </row>
    <row r="5" spans="1:3" ht="14.4" customHeight="1" x14ac:dyDescent="0.3">
      <c r="A5" s="119" t="str">
        <f t="shared" si="0"/>
        <v>HI</v>
      </c>
      <c r="B5" s="65" t="s">
        <v>109</v>
      </c>
      <c r="C5" s="42" t="s">
        <v>93</v>
      </c>
    </row>
    <row r="6" spans="1:3" ht="14.4" customHeight="1" x14ac:dyDescent="0.3">
      <c r="A6" s="120" t="str">
        <f t="shared" si="0"/>
        <v>HI Graf</v>
      </c>
      <c r="B6" s="66" t="s">
        <v>86</v>
      </c>
      <c r="C6" s="42" t="s">
        <v>94</v>
      </c>
    </row>
    <row r="7" spans="1:3" ht="14.4" customHeight="1" x14ac:dyDescent="0.3">
      <c r="A7" s="120" t="str">
        <f t="shared" si="0"/>
        <v>Man Tab</v>
      </c>
      <c r="B7" s="66" t="s">
        <v>209</v>
      </c>
      <c r="C7" s="42" t="s">
        <v>95</v>
      </c>
    </row>
    <row r="8" spans="1:3" ht="14.4" customHeight="1" thickBot="1" x14ac:dyDescent="0.35">
      <c r="A8" s="121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6" t="s">
        <v>91</v>
      </c>
      <c r="B10" s="275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110</v>
      </c>
      <c r="C11" s="42" t="s">
        <v>96</v>
      </c>
    </row>
    <row r="12" spans="1:3" ht="14.4" customHeight="1" x14ac:dyDescent="0.3">
      <c r="A12" s="120" t="str">
        <f t="shared" ref="A12:A15" si="2">HYPERLINK("#'"&amp;C12&amp;"'!A1",C12)</f>
        <v>LŽ Statim</v>
      </c>
      <c r="B12" s="262" t="s">
        <v>166</v>
      </c>
      <c r="C12" s="42" t="s">
        <v>176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111</v>
      </c>
      <c r="C13" s="42" t="s">
        <v>97</v>
      </c>
    </row>
    <row r="14" spans="1:3" ht="14.4" customHeight="1" x14ac:dyDescent="0.3">
      <c r="A14" s="120" t="str">
        <f t="shared" si="2"/>
        <v>MŽ Detail</v>
      </c>
      <c r="B14" s="66" t="s">
        <v>333</v>
      </c>
      <c r="C14" s="42" t="s">
        <v>98</v>
      </c>
    </row>
    <row r="15" spans="1:3" ht="14.4" customHeight="1" thickBot="1" x14ac:dyDescent="0.35">
      <c r="A15" s="122" t="str">
        <f t="shared" si="2"/>
        <v>Osobní náklady</v>
      </c>
      <c r="B15" s="66" t="s">
        <v>88</v>
      </c>
      <c r="C15" s="42" t="s">
        <v>99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77" t="s">
        <v>92</v>
      </c>
      <c r="B17" s="275"/>
    </row>
    <row r="18" spans="1:3" ht="14.4" customHeight="1" x14ac:dyDescent="0.3">
      <c r="A18" s="123" t="str">
        <f t="shared" ref="A18:A22" si="4">HYPERLINK("#'"&amp;C18&amp;"'!A1",C18)</f>
        <v>ZV Vykáz.-A</v>
      </c>
      <c r="B18" s="65" t="s">
        <v>336</v>
      </c>
      <c r="C18" s="42" t="s">
        <v>102</v>
      </c>
    </row>
    <row r="19" spans="1:3" ht="14.4" customHeight="1" x14ac:dyDescent="0.3">
      <c r="A19" s="120" t="str">
        <f t="shared" ref="A19" si="5">HYPERLINK("#'"&amp;C19&amp;"'!A1",C19)</f>
        <v>ZV Vykáz.-A Lékaři</v>
      </c>
      <c r="B19" s="66" t="s">
        <v>344</v>
      </c>
      <c r="C19" s="42" t="s">
        <v>179</v>
      </c>
    </row>
    <row r="20" spans="1:3" ht="14.4" customHeight="1" x14ac:dyDescent="0.3">
      <c r="A20" s="120" t="str">
        <f t="shared" si="4"/>
        <v>ZV Vykáz.-A Detail</v>
      </c>
      <c r="B20" s="66" t="s">
        <v>367</v>
      </c>
      <c r="C20" s="42" t="s">
        <v>103</v>
      </c>
    </row>
    <row r="21" spans="1:3" ht="14.4" customHeight="1" x14ac:dyDescent="0.3">
      <c r="A21" s="120" t="str">
        <f t="shared" si="4"/>
        <v>ZV Vykáz.-H</v>
      </c>
      <c r="B21" s="66" t="s">
        <v>106</v>
      </c>
      <c r="C21" s="42" t="s">
        <v>104</v>
      </c>
    </row>
    <row r="22" spans="1:3" ht="14.4" customHeight="1" x14ac:dyDescent="0.3">
      <c r="A22" s="120" t="str">
        <f t="shared" si="4"/>
        <v>ZV Vykáz.-H Detail</v>
      </c>
      <c r="B22" s="66" t="s">
        <v>404</v>
      </c>
      <c r="C22" s="42" t="s">
        <v>105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12" t="s">
        <v>333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4.4" customHeight="1" thickBot="1" x14ac:dyDescent="0.35">
      <c r="A2" s="202" t="s">
        <v>207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10"/>
      <c r="D3" s="311"/>
      <c r="E3" s="311"/>
      <c r="F3" s="311"/>
      <c r="G3" s="311"/>
      <c r="H3" s="117" t="s">
        <v>107</v>
      </c>
      <c r="I3" s="74">
        <f>IF(J3&lt;&gt;0,K3/J3,0)</f>
        <v>0.56000000000000005</v>
      </c>
      <c r="J3" s="74">
        <f>SUBTOTAL(9,J5:J1048576)</f>
        <v>300</v>
      </c>
      <c r="K3" s="75">
        <f>SUBTOTAL(9,K5:K1048576)</f>
        <v>168</v>
      </c>
    </row>
    <row r="4" spans="1:11" s="181" customFormat="1" ht="14.4" customHeight="1" thickBot="1" x14ac:dyDescent="0.35">
      <c r="A4" s="400" t="s">
        <v>4</v>
      </c>
      <c r="B4" s="401" t="s">
        <v>5</v>
      </c>
      <c r="C4" s="401" t="s">
        <v>0</v>
      </c>
      <c r="D4" s="401" t="s">
        <v>6</v>
      </c>
      <c r="E4" s="401" t="s">
        <v>7</v>
      </c>
      <c r="F4" s="401" t="s">
        <v>1</v>
      </c>
      <c r="G4" s="401" t="s">
        <v>53</v>
      </c>
      <c r="H4" s="402" t="s">
        <v>8</v>
      </c>
      <c r="I4" s="403" t="s">
        <v>114</v>
      </c>
      <c r="J4" s="403" t="s">
        <v>9</v>
      </c>
      <c r="K4" s="404" t="s">
        <v>122</v>
      </c>
    </row>
    <row r="5" spans="1:11" ht="14.4" customHeight="1" x14ac:dyDescent="0.3">
      <c r="A5" s="405" t="s">
        <v>312</v>
      </c>
      <c r="B5" s="406" t="s">
        <v>313</v>
      </c>
      <c r="C5" s="407" t="s">
        <v>317</v>
      </c>
      <c r="D5" s="408" t="s">
        <v>328</v>
      </c>
      <c r="E5" s="407" t="s">
        <v>329</v>
      </c>
      <c r="F5" s="408" t="s">
        <v>330</v>
      </c>
      <c r="G5" s="407" t="s">
        <v>324</v>
      </c>
      <c r="H5" s="407" t="s">
        <v>325</v>
      </c>
      <c r="I5" s="384">
        <v>0.26</v>
      </c>
      <c r="J5" s="384">
        <v>100</v>
      </c>
      <c r="K5" s="396">
        <v>26</v>
      </c>
    </row>
    <row r="6" spans="1:11" ht="14.4" customHeight="1" thickBot="1" x14ac:dyDescent="0.35">
      <c r="A6" s="409" t="s">
        <v>312</v>
      </c>
      <c r="B6" s="410" t="s">
        <v>313</v>
      </c>
      <c r="C6" s="411" t="s">
        <v>317</v>
      </c>
      <c r="D6" s="412" t="s">
        <v>328</v>
      </c>
      <c r="E6" s="411" t="s">
        <v>331</v>
      </c>
      <c r="F6" s="412" t="s">
        <v>332</v>
      </c>
      <c r="G6" s="411" t="s">
        <v>326</v>
      </c>
      <c r="H6" s="411" t="s">
        <v>327</v>
      </c>
      <c r="I6" s="387">
        <v>0.71</v>
      </c>
      <c r="J6" s="387">
        <v>200</v>
      </c>
      <c r="K6" s="397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F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E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5" width="13.109375" customWidth="1"/>
  </cols>
  <sheetData>
    <row r="1" spans="1:6" ht="18.600000000000001" thickBot="1" x14ac:dyDescent="0.4">
      <c r="A1" s="322" t="s">
        <v>88</v>
      </c>
      <c r="B1" s="309"/>
      <c r="C1" s="309"/>
      <c r="D1" s="309"/>
      <c r="E1" s="309"/>
    </row>
    <row r="2" spans="1:6" ht="15" thickBot="1" x14ac:dyDescent="0.35">
      <c r="A2" s="202" t="s">
        <v>207</v>
      </c>
      <c r="B2" s="203"/>
      <c r="C2" s="203"/>
      <c r="D2" s="203"/>
    </row>
    <row r="3" spans="1:6" x14ac:dyDescent="0.3">
      <c r="A3" s="217" t="s">
        <v>156</v>
      </c>
      <c r="B3" s="320" t="s">
        <v>140</v>
      </c>
      <c r="C3" s="220">
        <v>302</v>
      </c>
      <c r="D3" s="220">
        <v>523</v>
      </c>
      <c r="E3" s="417">
        <v>930</v>
      </c>
      <c r="F3" s="432"/>
    </row>
    <row r="4" spans="1:6" ht="24.6" outlineLevel="1" thickBot="1" x14ac:dyDescent="0.35">
      <c r="A4" s="218">
        <v>2016</v>
      </c>
      <c r="B4" s="321"/>
      <c r="C4" s="221" t="s">
        <v>182</v>
      </c>
      <c r="D4" s="221" t="s">
        <v>164</v>
      </c>
      <c r="E4" s="418" t="s">
        <v>158</v>
      </c>
      <c r="F4" s="432"/>
    </row>
    <row r="5" spans="1:6" x14ac:dyDescent="0.3">
      <c r="A5" s="204" t="s">
        <v>141</v>
      </c>
      <c r="B5" s="234"/>
      <c r="C5" s="235"/>
      <c r="D5" s="235"/>
      <c r="E5" s="419"/>
      <c r="F5" s="432"/>
    </row>
    <row r="6" spans="1:6" ht="15" collapsed="1" thickBot="1" x14ac:dyDescent="0.35">
      <c r="A6" s="205" t="s">
        <v>55</v>
      </c>
      <c r="B6" s="236">
        <f xml:space="preserve">
TRUNC(IF($A$4&lt;=12,SUMIFS('ON Data'!F:F,'ON Data'!$D:$D,$A$4,'ON Data'!$E:$E,1),SUMIFS('ON Data'!F:F,'ON Data'!$E:$E,1)/'ON Data'!$D$3),1)</f>
        <v>5</v>
      </c>
      <c r="C6" s="237">
        <f xml:space="preserve">
TRUNC(IF($A$4&lt;=12,SUMIFS('ON Data'!O:O,'ON Data'!$D:$D,$A$4,'ON Data'!$E:$E,1),SUMIFS('ON Data'!O:O,'ON Data'!$E:$E,1)/'ON Data'!$D$3),1)</f>
        <v>0</v>
      </c>
      <c r="D6" s="237">
        <f xml:space="preserve">
TRUNC(IF($A$4&lt;=12,SUMIFS('ON Data'!AG:AG,'ON Data'!$D:$D,$A$4,'ON Data'!$E:$E,1),SUMIFS('ON Data'!AG:AG,'ON Data'!$E:$E,1)/'ON Data'!$D$3),1)</f>
        <v>5</v>
      </c>
      <c r="E6" s="420">
        <f xml:space="preserve">
TRUNC(IF($A$4&lt;=12,SUMIFS('ON Data'!AW:AW,'ON Data'!$D:$D,$A$4,'ON Data'!$E:$E,1),SUMIFS('ON Data'!AW:AW,'ON Data'!$E:$E,1)/'ON Data'!$D$3),1)</f>
        <v>0</v>
      </c>
      <c r="F6" s="432"/>
    </row>
    <row r="7" spans="1:6" ht="15" hidden="1" outlineLevel="1" thickBot="1" x14ac:dyDescent="0.35">
      <c r="A7" s="205" t="s">
        <v>89</v>
      </c>
      <c r="B7" s="236"/>
      <c r="C7" s="237"/>
      <c r="D7" s="237"/>
      <c r="E7" s="420"/>
      <c r="F7" s="432"/>
    </row>
    <row r="8" spans="1:6" ht="15" hidden="1" outlineLevel="1" thickBot="1" x14ac:dyDescent="0.35">
      <c r="A8" s="205" t="s">
        <v>57</v>
      </c>
      <c r="B8" s="236"/>
      <c r="C8" s="237"/>
      <c r="D8" s="237"/>
      <c r="E8" s="420"/>
      <c r="F8" s="432"/>
    </row>
    <row r="9" spans="1:6" ht="15" hidden="1" outlineLevel="1" thickBot="1" x14ac:dyDescent="0.35">
      <c r="A9" s="206" t="s">
        <v>50</v>
      </c>
      <c r="B9" s="238"/>
      <c r="C9" s="239"/>
      <c r="D9" s="239"/>
      <c r="E9" s="421"/>
      <c r="F9" s="432"/>
    </row>
    <row r="10" spans="1:6" x14ac:dyDescent="0.3">
      <c r="A10" s="207" t="s">
        <v>142</v>
      </c>
      <c r="B10" s="222"/>
      <c r="C10" s="223"/>
      <c r="D10" s="223"/>
      <c r="E10" s="422"/>
      <c r="F10" s="432"/>
    </row>
    <row r="11" spans="1:6" x14ac:dyDescent="0.3">
      <c r="A11" s="208" t="s">
        <v>143</v>
      </c>
      <c r="B11" s="224">
        <f xml:space="preserve">
IF($A$4&lt;=12,SUMIFS('ON Data'!F:F,'ON Data'!$D:$D,$A$4,'ON Data'!$E:$E,2),SUMIFS('ON Data'!F:F,'ON Data'!$E:$E,2))</f>
        <v>7720</v>
      </c>
      <c r="C11" s="225">
        <f xml:space="preserve">
IF($A$4&lt;=12,SUMIFS('ON Data'!O:O,'ON Data'!$D:$D,$A$4,'ON Data'!$E:$E,2),SUMIFS('ON Data'!O:O,'ON Data'!$E:$E,2))</f>
        <v>0</v>
      </c>
      <c r="D11" s="225">
        <f xml:space="preserve">
IF($A$4&lt;=12,SUMIFS('ON Data'!AG:AG,'ON Data'!$D:$D,$A$4,'ON Data'!$E:$E,2),SUMIFS('ON Data'!AG:AG,'ON Data'!$E:$E,2))</f>
        <v>7720</v>
      </c>
      <c r="E11" s="423">
        <f xml:space="preserve">
IF($A$4&lt;=12,SUMIFS('ON Data'!AW:AW,'ON Data'!$D:$D,$A$4,'ON Data'!$E:$E,2),SUMIFS('ON Data'!AW:AW,'ON Data'!$E:$E,2))</f>
        <v>0</v>
      </c>
      <c r="F11" s="432"/>
    </row>
    <row r="12" spans="1:6" x14ac:dyDescent="0.3">
      <c r="A12" s="208" t="s">
        <v>144</v>
      </c>
      <c r="B12" s="224">
        <f xml:space="preserve">
IF($A$4&lt;=12,SUMIFS('ON Data'!F:F,'ON Data'!$D:$D,$A$4,'ON Data'!$E:$E,3),SUMIFS('ON Data'!F:F,'ON Data'!$E:$E,3))</f>
        <v>0</v>
      </c>
      <c r="C12" s="225">
        <f xml:space="preserve">
IF($A$4&lt;=12,SUMIFS('ON Data'!O:O,'ON Data'!$D:$D,$A$4,'ON Data'!$E:$E,3),SUMIFS('ON Data'!O:O,'ON Data'!$E:$E,3))</f>
        <v>0</v>
      </c>
      <c r="D12" s="225">
        <f xml:space="preserve">
IF($A$4&lt;=12,SUMIFS('ON Data'!AG:AG,'ON Data'!$D:$D,$A$4,'ON Data'!$E:$E,3),SUMIFS('ON Data'!AG:AG,'ON Data'!$E:$E,3))</f>
        <v>0</v>
      </c>
      <c r="E12" s="423">
        <f xml:space="preserve">
IF($A$4&lt;=12,SUMIFS('ON Data'!AW:AW,'ON Data'!$D:$D,$A$4,'ON Data'!$E:$E,3),SUMIFS('ON Data'!AW:AW,'ON Data'!$E:$E,3))</f>
        <v>0</v>
      </c>
      <c r="F12" s="432"/>
    </row>
    <row r="13" spans="1:6" x14ac:dyDescent="0.3">
      <c r="A13" s="208" t="s">
        <v>151</v>
      </c>
      <c r="B13" s="224">
        <f xml:space="preserve">
IF($A$4&lt;=12,SUMIFS('ON Data'!F:F,'ON Data'!$D:$D,$A$4,'ON Data'!$E:$E,4),SUMIFS('ON Data'!F:F,'ON Data'!$E:$E,4))</f>
        <v>0</v>
      </c>
      <c r="C13" s="225">
        <f xml:space="preserve">
IF($A$4&lt;=12,SUMIFS('ON Data'!O:O,'ON Data'!$D:$D,$A$4,'ON Data'!$E:$E,4),SUMIFS('ON Data'!O:O,'ON Data'!$E:$E,4))</f>
        <v>0</v>
      </c>
      <c r="D13" s="225">
        <f xml:space="preserve">
IF($A$4&lt;=12,SUMIFS('ON Data'!AG:AG,'ON Data'!$D:$D,$A$4,'ON Data'!$E:$E,4),SUMIFS('ON Data'!AG:AG,'ON Data'!$E:$E,4))</f>
        <v>0</v>
      </c>
      <c r="E13" s="423">
        <f xml:space="preserve">
IF($A$4&lt;=12,SUMIFS('ON Data'!AW:AW,'ON Data'!$D:$D,$A$4,'ON Data'!$E:$E,4),SUMIFS('ON Data'!AW:AW,'ON Data'!$E:$E,4))</f>
        <v>0</v>
      </c>
      <c r="F13" s="432"/>
    </row>
    <row r="14" spans="1:6" ht="15" thickBot="1" x14ac:dyDescent="0.35">
      <c r="A14" s="209" t="s">
        <v>145</v>
      </c>
      <c r="B14" s="226">
        <f xml:space="preserve">
IF($A$4&lt;=12,SUMIFS('ON Data'!F:F,'ON Data'!$D:$D,$A$4,'ON Data'!$E:$E,5),SUMIFS('ON Data'!F:F,'ON Data'!$E:$E,5))</f>
        <v>0</v>
      </c>
      <c r="C14" s="227">
        <f xml:space="preserve">
IF($A$4&lt;=12,SUMIFS('ON Data'!O:O,'ON Data'!$D:$D,$A$4,'ON Data'!$E:$E,5),SUMIFS('ON Data'!O:O,'ON Data'!$E:$E,5))</f>
        <v>0</v>
      </c>
      <c r="D14" s="227">
        <f xml:space="preserve">
IF($A$4&lt;=12,SUMIFS('ON Data'!AG:AG,'ON Data'!$D:$D,$A$4,'ON Data'!$E:$E,5),SUMIFS('ON Data'!AG:AG,'ON Data'!$E:$E,5))</f>
        <v>0</v>
      </c>
      <c r="E14" s="424">
        <f xml:space="preserve">
IF($A$4&lt;=12,SUMIFS('ON Data'!AW:AW,'ON Data'!$D:$D,$A$4,'ON Data'!$E:$E,5),SUMIFS('ON Data'!AW:AW,'ON Data'!$E:$E,5))</f>
        <v>0</v>
      </c>
      <c r="F14" s="432"/>
    </row>
    <row r="15" spans="1:6" x14ac:dyDescent="0.3">
      <c r="A15" s="136" t="s">
        <v>155</v>
      </c>
      <c r="B15" s="228"/>
      <c r="C15" s="229"/>
      <c r="D15" s="229"/>
      <c r="E15" s="425"/>
      <c r="F15" s="432"/>
    </row>
    <row r="16" spans="1:6" x14ac:dyDescent="0.3">
      <c r="A16" s="210" t="s">
        <v>146</v>
      </c>
      <c r="B16" s="224">
        <f xml:space="preserve">
IF($A$4&lt;=12,SUMIFS('ON Data'!F:F,'ON Data'!$D:$D,$A$4,'ON Data'!$E:$E,7),SUMIFS('ON Data'!F:F,'ON Data'!$E:$E,7))</f>
        <v>0</v>
      </c>
      <c r="C16" s="225">
        <f xml:space="preserve">
IF($A$4&lt;=12,SUMIFS('ON Data'!O:O,'ON Data'!$D:$D,$A$4,'ON Data'!$E:$E,7),SUMIFS('ON Data'!O:O,'ON Data'!$E:$E,7))</f>
        <v>0</v>
      </c>
      <c r="D16" s="225">
        <f xml:space="preserve">
IF($A$4&lt;=12,SUMIFS('ON Data'!AG:AG,'ON Data'!$D:$D,$A$4,'ON Data'!$E:$E,7),SUMIFS('ON Data'!AG:AG,'ON Data'!$E:$E,7))</f>
        <v>0</v>
      </c>
      <c r="E16" s="423">
        <f xml:space="preserve">
IF($A$4&lt;=12,SUMIFS('ON Data'!AW:AW,'ON Data'!$D:$D,$A$4,'ON Data'!$E:$E,7),SUMIFS('ON Data'!AW:AW,'ON Data'!$E:$E,7))</f>
        <v>0</v>
      </c>
      <c r="F16" s="432"/>
    </row>
    <row r="17" spans="1:6" x14ac:dyDescent="0.3">
      <c r="A17" s="210" t="s">
        <v>147</v>
      </c>
      <c r="B17" s="224">
        <f xml:space="preserve">
IF($A$4&lt;=12,SUMIFS('ON Data'!F:F,'ON Data'!$D:$D,$A$4,'ON Data'!$E:$E,8),SUMIFS('ON Data'!F:F,'ON Data'!$E:$E,8))</f>
        <v>0</v>
      </c>
      <c r="C17" s="225">
        <f xml:space="preserve">
IF($A$4&lt;=12,SUMIFS('ON Data'!O:O,'ON Data'!$D:$D,$A$4,'ON Data'!$E:$E,8),SUMIFS('ON Data'!O:O,'ON Data'!$E:$E,8))</f>
        <v>0</v>
      </c>
      <c r="D17" s="225">
        <f xml:space="preserve">
IF($A$4&lt;=12,SUMIFS('ON Data'!AG:AG,'ON Data'!$D:$D,$A$4,'ON Data'!$E:$E,8),SUMIFS('ON Data'!AG:AG,'ON Data'!$E:$E,8))</f>
        <v>0</v>
      </c>
      <c r="E17" s="423">
        <f xml:space="preserve">
IF($A$4&lt;=12,SUMIFS('ON Data'!AW:AW,'ON Data'!$D:$D,$A$4,'ON Data'!$E:$E,8),SUMIFS('ON Data'!AW:AW,'ON Data'!$E:$E,8))</f>
        <v>0</v>
      </c>
      <c r="F17" s="432"/>
    </row>
    <row r="18" spans="1:6" x14ac:dyDescent="0.3">
      <c r="A18" s="210" t="s">
        <v>148</v>
      </c>
      <c r="B18" s="224">
        <f xml:space="preserve">
B19-B16-B17</f>
        <v>73580</v>
      </c>
      <c r="C18" s="225">
        <f t="shared" ref="C18:D18" si="0" xml:space="preserve">
C19-C16-C17</f>
        <v>0</v>
      </c>
      <c r="D18" s="225">
        <f t="shared" si="0"/>
        <v>73580</v>
      </c>
      <c r="E18" s="423">
        <f t="shared" ref="E18" si="1" xml:space="preserve">
E19-E16-E17</f>
        <v>0</v>
      </c>
      <c r="F18" s="432"/>
    </row>
    <row r="19" spans="1:6" ht="15" thickBot="1" x14ac:dyDescent="0.35">
      <c r="A19" s="211" t="s">
        <v>149</v>
      </c>
      <c r="B19" s="230">
        <f xml:space="preserve">
IF($A$4&lt;=12,SUMIFS('ON Data'!F:F,'ON Data'!$D:$D,$A$4,'ON Data'!$E:$E,9),SUMIFS('ON Data'!F:F,'ON Data'!$E:$E,9))</f>
        <v>73580</v>
      </c>
      <c r="C19" s="231">
        <f xml:space="preserve">
IF($A$4&lt;=12,SUMIFS('ON Data'!O:O,'ON Data'!$D:$D,$A$4,'ON Data'!$E:$E,9),SUMIFS('ON Data'!O:O,'ON Data'!$E:$E,9))</f>
        <v>0</v>
      </c>
      <c r="D19" s="231">
        <f xml:space="preserve">
IF($A$4&lt;=12,SUMIFS('ON Data'!AG:AG,'ON Data'!$D:$D,$A$4,'ON Data'!$E:$E,9),SUMIFS('ON Data'!AG:AG,'ON Data'!$E:$E,9))</f>
        <v>73580</v>
      </c>
      <c r="E19" s="426">
        <f xml:space="preserve">
IF($A$4&lt;=12,SUMIFS('ON Data'!AW:AW,'ON Data'!$D:$D,$A$4,'ON Data'!$E:$E,9),SUMIFS('ON Data'!AW:AW,'ON Data'!$E:$E,9))</f>
        <v>0</v>
      </c>
      <c r="F19" s="432"/>
    </row>
    <row r="20" spans="1:6" ht="15" collapsed="1" thickBot="1" x14ac:dyDescent="0.35">
      <c r="A20" s="212" t="s">
        <v>55</v>
      </c>
      <c r="B20" s="232">
        <f xml:space="preserve">
IF($A$4&lt;=12,SUMIFS('ON Data'!F:F,'ON Data'!$D:$D,$A$4,'ON Data'!$E:$E,6),SUMIFS('ON Data'!F:F,'ON Data'!$E:$E,6))</f>
        <v>1988223</v>
      </c>
      <c r="C20" s="233">
        <f xml:space="preserve">
IF($A$4&lt;=12,SUMIFS('ON Data'!O:O,'ON Data'!$D:$D,$A$4,'ON Data'!$E:$E,6),SUMIFS('ON Data'!O:O,'ON Data'!$E:$E,6))</f>
        <v>0</v>
      </c>
      <c r="D20" s="233">
        <f xml:space="preserve">
IF($A$4&lt;=12,SUMIFS('ON Data'!AG:AG,'ON Data'!$D:$D,$A$4,'ON Data'!$E:$E,6),SUMIFS('ON Data'!AG:AG,'ON Data'!$E:$E,6))</f>
        <v>1955563</v>
      </c>
      <c r="E20" s="427">
        <f xml:space="preserve">
IF($A$4&lt;=12,SUMIFS('ON Data'!AW:AW,'ON Data'!$D:$D,$A$4,'ON Data'!$E:$E,6),SUMIFS('ON Data'!AW:AW,'ON Data'!$E:$E,6))</f>
        <v>32660</v>
      </c>
      <c r="F20" s="432"/>
    </row>
    <row r="21" spans="1:6" ht="15" hidden="1" outlineLevel="1" thickBot="1" x14ac:dyDescent="0.35">
      <c r="A21" s="205" t="s">
        <v>89</v>
      </c>
      <c r="B21" s="224">
        <f xml:space="preserve">
IF($A$4&lt;=12,SUMIFS('ON Data'!F:F,'ON Data'!$D:$D,$A$4,'ON Data'!$E:$E,12),SUMIFS('ON Data'!F:F,'ON Data'!$E:$E,12))</f>
        <v>0</v>
      </c>
      <c r="C21" s="225">
        <f xml:space="preserve">
IF($A$4&lt;=12,SUMIFS('ON Data'!O:O,'ON Data'!$D:$D,$A$4,'ON Data'!$E:$E,12),SUMIFS('ON Data'!O:O,'ON Data'!$E:$E,12))</f>
        <v>0</v>
      </c>
      <c r="D21" s="225">
        <f xml:space="preserve">
IF($A$4&lt;=12,SUMIFS('ON Data'!AG:AG,'ON Data'!$D:$D,$A$4,'ON Data'!$E:$E,12),SUMIFS('ON Data'!AG:AG,'ON Data'!$E:$E,12))</f>
        <v>0</v>
      </c>
      <c r="F21" s="432"/>
    </row>
    <row r="22" spans="1:6" ht="15" hidden="1" outlineLevel="1" thickBot="1" x14ac:dyDescent="0.35">
      <c r="A22" s="205" t="s">
        <v>57</v>
      </c>
      <c r="B22" s="271" t="str">
        <f xml:space="preserve">
IF(OR(B21="",B21=0),"",B20/B21)</f>
        <v/>
      </c>
      <c r="C22" s="272" t="str">
        <f t="shared" ref="C22:D22" si="2" xml:space="preserve">
IF(OR(C21="",C21=0),"",C20/C21)</f>
        <v/>
      </c>
      <c r="D22" s="272" t="str">
        <f t="shared" si="2"/>
        <v/>
      </c>
      <c r="F22" s="432"/>
    </row>
    <row r="23" spans="1:6" ht="15" hidden="1" outlineLevel="1" thickBot="1" x14ac:dyDescent="0.35">
      <c r="A23" s="213" t="s">
        <v>50</v>
      </c>
      <c r="B23" s="226">
        <f xml:space="preserve">
IF(B21="","",B20-B21)</f>
        <v>1988223</v>
      </c>
      <c r="C23" s="227">
        <f t="shared" ref="C23:D23" si="3" xml:space="preserve">
IF(C21="","",C20-C21)</f>
        <v>0</v>
      </c>
      <c r="D23" s="227">
        <f t="shared" si="3"/>
        <v>1955563</v>
      </c>
      <c r="F23" s="432"/>
    </row>
    <row r="24" spans="1:6" x14ac:dyDescent="0.3">
      <c r="A24" s="207" t="s">
        <v>150</v>
      </c>
      <c r="B24" s="244" t="s">
        <v>3</v>
      </c>
      <c r="C24" s="433" t="s">
        <v>161</v>
      </c>
      <c r="D24" s="413"/>
      <c r="E24" s="428" t="s">
        <v>162</v>
      </c>
      <c r="F24" s="432"/>
    </row>
    <row r="25" spans="1:6" x14ac:dyDescent="0.3">
      <c r="A25" s="208" t="s">
        <v>55</v>
      </c>
      <c r="B25" s="224">
        <f xml:space="preserve">
SUM(C25:E25)</f>
        <v>0</v>
      </c>
      <c r="C25" s="434">
        <f xml:space="preserve">
IF($A$4&lt;=12,SUMIFS('ON Data'!O:O,'ON Data'!$D:$D,$A$4,'ON Data'!$E:$E,10),SUMIFS('ON Data'!O:O,'ON Data'!$E:$E,10))</f>
        <v>0</v>
      </c>
      <c r="D25" s="414"/>
      <c r="E25" s="429">
        <f xml:space="preserve">
IF($A$4&lt;=12,SUMIFS('ON Data'!AW:AW,'ON Data'!$D:$D,$A$4,'ON Data'!$E:$E,10),SUMIFS('ON Data'!AW:AW,'ON Data'!$E:$E,10))</f>
        <v>0</v>
      </c>
      <c r="F25" s="432"/>
    </row>
    <row r="26" spans="1:6" x14ac:dyDescent="0.3">
      <c r="A26" s="214" t="s">
        <v>160</v>
      </c>
      <c r="B26" s="230">
        <f xml:space="preserve">
SUM(C26:E26)</f>
        <v>1833.333333333333</v>
      </c>
      <c r="C26" s="435">
        <f xml:space="preserve">
IF($A$4&lt;=12,SUMIFS('ON Data'!O:O,'ON Data'!$D:$D,$A$4,'ON Data'!$E:$E,11),SUMIFS('ON Data'!O:O,'ON Data'!$E:$E,11))</f>
        <v>1833.333333333333</v>
      </c>
      <c r="D26" s="415"/>
      <c r="E26" s="429">
        <f xml:space="preserve">
IF($A$4&lt;=12,SUMIFS('ON Data'!AW:AW,'ON Data'!$D:$D,$A$4,'ON Data'!$E:$E,11),SUMIFS('ON Data'!AW:AW,'ON Data'!$E:$E,11))</f>
        <v>0</v>
      </c>
      <c r="F26" s="432"/>
    </row>
    <row r="27" spans="1:6" x14ac:dyDescent="0.3">
      <c r="A27" s="214" t="s">
        <v>57</v>
      </c>
      <c r="B27" s="245">
        <f xml:space="preserve">
IF(B26=0,0,B25/B26)</f>
        <v>0</v>
      </c>
      <c r="C27" s="436">
        <f xml:space="preserve">
IF(C26=0,0,C25/C26)</f>
        <v>0</v>
      </c>
      <c r="D27" s="414"/>
      <c r="E27" s="430">
        <f xml:space="preserve">
IF(E26=0,0,E25/E26)</f>
        <v>0</v>
      </c>
      <c r="F27" s="432"/>
    </row>
    <row r="28" spans="1:6" ht="15" thickBot="1" x14ac:dyDescent="0.35">
      <c r="A28" s="214" t="s">
        <v>159</v>
      </c>
      <c r="B28" s="230">
        <f xml:space="preserve">
SUM(C28:E28)</f>
        <v>1833.333333333333</v>
      </c>
      <c r="C28" s="437">
        <f xml:space="preserve">
C26-C25</f>
        <v>1833.333333333333</v>
      </c>
      <c r="D28" s="416"/>
      <c r="E28" s="431">
        <f xml:space="preserve">
E26-E25</f>
        <v>0</v>
      </c>
      <c r="F28" s="432"/>
    </row>
    <row r="29" spans="1:6" x14ac:dyDescent="0.3">
      <c r="A29" s="215"/>
      <c r="B29" s="215"/>
      <c r="C29" s="216"/>
      <c r="D29" s="216"/>
    </row>
    <row r="30" spans="1:6" x14ac:dyDescent="0.3">
      <c r="A30" s="88" t="s">
        <v>123</v>
      </c>
      <c r="B30" s="105"/>
      <c r="C30" s="105"/>
      <c r="D30" s="105"/>
    </row>
    <row r="31" spans="1:6" x14ac:dyDescent="0.3">
      <c r="A31" s="89" t="s">
        <v>157</v>
      </c>
      <c r="B31" s="105"/>
      <c r="C31" s="105"/>
      <c r="D31" s="105"/>
    </row>
    <row r="32" spans="1:6" ht="14.4" customHeight="1" x14ac:dyDescent="0.3">
      <c r="A32" s="241" t="s">
        <v>154</v>
      </c>
      <c r="B32" s="242"/>
      <c r="C32" s="242"/>
      <c r="D32" s="242"/>
    </row>
    <row r="33" spans="1:1" x14ac:dyDescent="0.3">
      <c r="A33" s="243" t="s">
        <v>183</v>
      </c>
    </row>
    <row r="34" spans="1:1" x14ac:dyDescent="0.3">
      <c r="A34" s="243" t="s">
        <v>184</v>
      </c>
    </row>
    <row r="35" spans="1:1" x14ac:dyDescent="0.3">
      <c r="A35" s="243" t="s">
        <v>185</v>
      </c>
    </row>
    <row r="36" spans="1:1" x14ac:dyDescent="0.3">
      <c r="A36" s="243" t="s">
        <v>163</v>
      </c>
    </row>
  </sheetData>
  <mergeCells count="7">
    <mergeCell ref="B3:B4"/>
    <mergeCell ref="A1:E1"/>
    <mergeCell ref="C27:D27"/>
    <mergeCell ref="C28:D28"/>
    <mergeCell ref="C24:D24"/>
    <mergeCell ref="C25:D25"/>
    <mergeCell ref="C26:D26"/>
  </mergeCells>
  <conditionalFormatting sqref="B22:D22">
    <cfRule type="cellIs" dxfId="6" priority="6" operator="greaterThan">
      <formula>1</formula>
    </cfRule>
  </conditionalFormatting>
  <conditionalFormatting sqref="B23:D23">
    <cfRule type="cellIs" dxfId="5" priority="5" operator="greaterThan">
      <formula>0</formula>
    </cfRule>
  </conditionalFormatting>
  <conditionalFormatting sqref="E27">
    <cfRule type="cellIs" dxfId="4" priority="4" operator="greaterThan">
      <formula>1</formula>
    </cfRule>
  </conditionalFormatting>
  <conditionalFormatting sqref="E28">
    <cfRule type="cellIs" dxfId="3" priority="3" operator="lessThan">
      <formula>0</formula>
    </cfRule>
  </conditionalFormatting>
  <conditionalFormatting sqref="C28">
    <cfRule type="cellIs" dxfId="2" priority="1" operator="lessThan">
      <formula>0</formula>
    </cfRule>
  </conditionalFormatting>
  <conditionalFormatting sqref="C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334</v>
      </c>
    </row>
    <row r="2" spans="1:49" x14ac:dyDescent="0.3">
      <c r="A2" s="202" t="s">
        <v>207</v>
      </c>
    </row>
    <row r="3" spans="1:49" x14ac:dyDescent="0.3">
      <c r="A3" s="198" t="s">
        <v>127</v>
      </c>
      <c r="B3" s="219">
        <v>2016</v>
      </c>
      <c r="D3" s="199">
        <f>MAX(D5:D1048576)</f>
        <v>10</v>
      </c>
      <c r="F3" s="199">
        <f>SUMIF($E5:$E1048576,"&lt;10",F5:F1048576)</f>
        <v>2069573</v>
      </c>
      <c r="G3" s="199">
        <f t="shared" ref="G3:AW3" si="0">SUMIF($E5:$E1048576,"&lt;10",G5:G1048576)</f>
        <v>0</v>
      </c>
      <c r="H3" s="199">
        <f t="shared" si="0"/>
        <v>0</v>
      </c>
      <c r="I3" s="199">
        <f t="shared" si="0"/>
        <v>0</v>
      </c>
      <c r="J3" s="199">
        <f t="shared" si="0"/>
        <v>0</v>
      </c>
      <c r="K3" s="199">
        <f t="shared" si="0"/>
        <v>0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0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2036913</v>
      </c>
      <c r="AH3" s="199">
        <f t="shared" si="0"/>
        <v>0</v>
      </c>
      <c r="AI3" s="199">
        <f t="shared" si="0"/>
        <v>0</v>
      </c>
      <c r="AJ3" s="199">
        <f t="shared" si="0"/>
        <v>0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0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0</v>
      </c>
      <c r="AS3" s="199">
        <f t="shared" si="0"/>
        <v>0</v>
      </c>
      <c r="AT3" s="199">
        <f t="shared" si="0"/>
        <v>0</v>
      </c>
      <c r="AU3" s="199">
        <f t="shared" si="0"/>
        <v>0</v>
      </c>
      <c r="AV3" s="199">
        <f t="shared" si="0"/>
        <v>0</v>
      </c>
      <c r="AW3" s="199">
        <f t="shared" si="0"/>
        <v>32660</v>
      </c>
    </row>
    <row r="4" spans="1:49" x14ac:dyDescent="0.3">
      <c r="A4" s="198" t="s">
        <v>128</v>
      </c>
      <c r="B4" s="219">
        <v>1</v>
      </c>
      <c r="C4" s="200" t="s">
        <v>5</v>
      </c>
      <c r="D4" s="201" t="s">
        <v>49</v>
      </c>
      <c r="E4" s="201" t="s">
        <v>126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129</v>
      </c>
      <c r="B5" s="219">
        <v>2</v>
      </c>
      <c r="C5" s="198">
        <v>36</v>
      </c>
      <c r="D5" s="198">
        <v>1</v>
      </c>
      <c r="E5" s="198">
        <v>1</v>
      </c>
      <c r="F5" s="198">
        <v>5</v>
      </c>
      <c r="G5" s="198">
        <v>0</v>
      </c>
      <c r="H5" s="198">
        <v>0</v>
      </c>
      <c r="I5" s="198">
        <v>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5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0</v>
      </c>
      <c r="AQ5" s="198">
        <v>0</v>
      </c>
      <c r="AR5" s="198">
        <v>0</v>
      </c>
      <c r="AS5" s="198">
        <v>0</v>
      </c>
      <c r="AT5" s="198">
        <v>0</v>
      </c>
      <c r="AU5" s="198">
        <v>0</v>
      </c>
      <c r="AV5" s="198">
        <v>0</v>
      </c>
      <c r="AW5" s="198">
        <v>0</v>
      </c>
    </row>
    <row r="6" spans="1:49" x14ac:dyDescent="0.3">
      <c r="A6" s="198" t="s">
        <v>130</v>
      </c>
      <c r="B6" s="219">
        <v>3</v>
      </c>
      <c r="C6" s="198">
        <v>36</v>
      </c>
      <c r="D6" s="198">
        <v>1</v>
      </c>
      <c r="E6" s="198">
        <v>2</v>
      </c>
      <c r="F6" s="198">
        <v>728</v>
      </c>
      <c r="G6" s="198">
        <v>0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0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728</v>
      </c>
      <c r="AH6" s="198">
        <v>0</v>
      </c>
      <c r="AI6" s="198">
        <v>0</v>
      </c>
      <c r="AJ6" s="198">
        <v>0</v>
      </c>
      <c r="AK6" s="198">
        <v>0</v>
      </c>
      <c r="AL6" s="198">
        <v>0</v>
      </c>
      <c r="AM6" s="198">
        <v>0</v>
      </c>
      <c r="AN6" s="198">
        <v>0</v>
      </c>
      <c r="AO6" s="198">
        <v>0</v>
      </c>
      <c r="AP6" s="198">
        <v>0</v>
      </c>
      <c r="AQ6" s="198">
        <v>0</v>
      </c>
      <c r="AR6" s="198">
        <v>0</v>
      </c>
      <c r="AS6" s="198">
        <v>0</v>
      </c>
      <c r="AT6" s="198">
        <v>0</v>
      </c>
      <c r="AU6" s="198">
        <v>0</v>
      </c>
      <c r="AV6" s="198">
        <v>0</v>
      </c>
      <c r="AW6" s="198">
        <v>0</v>
      </c>
    </row>
    <row r="7" spans="1:49" x14ac:dyDescent="0.3">
      <c r="A7" s="198" t="s">
        <v>131</v>
      </c>
      <c r="B7" s="219">
        <v>4</v>
      </c>
      <c r="C7" s="198">
        <v>36</v>
      </c>
      <c r="D7" s="198">
        <v>1</v>
      </c>
      <c r="E7" s="198">
        <v>6</v>
      </c>
      <c r="F7" s="198">
        <v>178735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0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175215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3520</v>
      </c>
    </row>
    <row r="8" spans="1:49" x14ac:dyDescent="0.3">
      <c r="A8" s="198" t="s">
        <v>132</v>
      </c>
      <c r="B8" s="219">
        <v>5</v>
      </c>
      <c r="C8" s="198">
        <v>36</v>
      </c>
      <c r="D8" s="198">
        <v>1</v>
      </c>
      <c r="E8" s="198">
        <v>11</v>
      </c>
      <c r="F8" s="198">
        <v>183.33333333333334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183.33333333333334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133</v>
      </c>
      <c r="B9" s="219">
        <v>6</v>
      </c>
      <c r="C9" s="198">
        <v>36</v>
      </c>
      <c r="D9" s="198">
        <v>2</v>
      </c>
      <c r="E9" s="198">
        <v>1</v>
      </c>
      <c r="F9" s="198">
        <v>5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5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134</v>
      </c>
      <c r="B10" s="219">
        <v>7</v>
      </c>
      <c r="C10" s="198">
        <v>36</v>
      </c>
      <c r="D10" s="198">
        <v>2</v>
      </c>
      <c r="E10" s="198">
        <v>2</v>
      </c>
      <c r="F10" s="198">
        <v>752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752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  <c r="AT10" s="198">
        <v>0</v>
      </c>
      <c r="AU10" s="198">
        <v>0</v>
      </c>
      <c r="AV10" s="198">
        <v>0</v>
      </c>
      <c r="AW10" s="198">
        <v>0</v>
      </c>
    </row>
    <row r="11" spans="1:49" x14ac:dyDescent="0.3">
      <c r="A11" s="198" t="s">
        <v>135</v>
      </c>
      <c r="B11" s="219">
        <v>8</v>
      </c>
      <c r="C11" s="198">
        <v>36</v>
      </c>
      <c r="D11" s="198">
        <v>2</v>
      </c>
      <c r="E11" s="198">
        <v>6</v>
      </c>
      <c r="F11" s="198">
        <v>198847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195327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3520</v>
      </c>
    </row>
    <row r="12" spans="1:49" x14ac:dyDescent="0.3">
      <c r="A12" s="198" t="s">
        <v>136</v>
      </c>
      <c r="B12" s="219">
        <v>9</v>
      </c>
      <c r="C12" s="198">
        <v>36</v>
      </c>
      <c r="D12" s="198">
        <v>2</v>
      </c>
      <c r="E12" s="198">
        <v>11</v>
      </c>
      <c r="F12" s="198">
        <v>183.33333333333334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183.33333333333334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137</v>
      </c>
      <c r="B13" s="219">
        <v>10</v>
      </c>
      <c r="C13" s="198">
        <v>36</v>
      </c>
      <c r="D13" s="198">
        <v>3</v>
      </c>
      <c r="E13" s="198">
        <v>1</v>
      </c>
      <c r="F13" s="198">
        <v>5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5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138</v>
      </c>
      <c r="B14" s="219">
        <v>11</v>
      </c>
      <c r="C14" s="198">
        <v>36</v>
      </c>
      <c r="D14" s="198">
        <v>3</v>
      </c>
      <c r="E14" s="198">
        <v>2</v>
      </c>
      <c r="F14" s="198">
        <v>920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920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</row>
    <row r="15" spans="1:49" x14ac:dyDescent="0.3">
      <c r="A15" s="198" t="s">
        <v>139</v>
      </c>
      <c r="B15" s="219">
        <v>12</v>
      </c>
      <c r="C15" s="198">
        <v>36</v>
      </c>
      <c r="D15" s="198">
        <v>3</v>
      </c>
      <c r="E15" s="198">
        <v>6</v>
      </c>
      <c r="F15" s="198">
        <v>197145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193610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3535</v>
      </c>
    </row>
    <row r="16" spans="1:49" x14ac:dyDescent="0.3">
      <c r="A16" s="198" t="s">
        <v>127</v>
      </c>
      <c r="B16" s="219">
        <v>2016</v>
      </c>
      <c r="C16" s="198">
        <v>36</v>
      </c>
      <c r="D16" s="198">
        <v>3</v>
      </c>
      <c r="E16" s="198">
        <v>11</v>
      </c>
      <c r="F16" s="198">
        <v>183.33333333333334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183.33333333333334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36</v>
      </c>
      <c r="D17" s="198">
        <v>4</v>
      </c>
      <c r="E17" s="198">
        <v>1</v>
      </c>
      <c r="F17" s="198">
        <v>5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5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36</v>
      </c>
      <c r="D18" s="198">
        <v>4</v>
      </c>
      <c r="E18" s="198">
        <v>2</v>
      </c>
      <c r="F18" s="198">
        <v>792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792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</row>
    <row r="19" spans="3:49" x14ac:dyDescent="0.3">
      <c r="C19" s="198">
        <v>36</v>
      </c>
      <c r="D19" s="198">
        <v>4</v>
      </c>
      <c r="E19" s="198">
        <v>6</v>
      </c>
      <c r="F19" s="198">
        <v>197460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194116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3344</v>
      </c>
    </row>
    <row r="20" spans="3:49" x14ac:dyDescent="0.3">
      <c r="C20" s="198">
        <v>36</v>
      </c>
      <c r="D20" s="198">
        <v>4</v>
      </c>
      <c r="E20" s="198">
        <v>11</v>
      </c>
      <c r="F20" s="198">
        <v>183.33333333333334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183.33333333333334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36</v>
      </c>
      <c r="D21" s="198">
        <v>5</v>
      </c>
      <c r="E21" s="198">
        <v>1</v>
      </c>
      <c r="F21" s="198">
        <v>5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5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36</v>
      </c>
      <c r="D22" s="198">
        <v>5</v>
      </c>
      <c r="E22" s="198">
        <v>2</v>
      </c>
      <c r="F22" s="198">
        <v>880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880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</row>
    <row r="23" spans="3:49" x14ac:dyDescent="0.3">
      <c r="C23" s="198">
        <v>36</v>
      </c>
      <c r="D23" s="198">
        <v>5</v>
      </c>
      <c r="E23" s="198">
        <v>6</v>
      </c>
      <c r="F23" s="198">
        <v>196802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193610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3192</v>
      </c>
    </row>
    <row r="24" spans="3:49" x14ac:dyDescent="0.3">
      <c r="C24" s="198">
        <v>36</v>
      </c>
      <c r="D24" s="198">
        <v>5</v>
      </c>
      <c r="E24" s="198">
        <v>11</v>
      </c>
      <c r="F24" s="198">
        <v>183.33333333333334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183.33333333333334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36</v>
      </c>
      <c r="D25" s="198">
        <v>6</v>
      </c>
      <c r="E25" s="198">
        <v>1</v>
      </c>
      <c r="F25" s="198">
        <v>5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5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36</v>
      </c>
      <c r="D26" s="198">
        <v>6</v>
      </c>
      <c r="E26" s="198">
        <v>2</v>
      </c>
      <c r="F26" s="198">
        <v>664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664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</row>
    <row r="27" spans="3:49" x14ac:dyDescent="0.3">
      <c r="C27" s="198">
        <v>36</v>
      </c>
      <c r="D27" s="198">
        <v>6</v>
      </c>
      <c r="E27" s="198">
        <v>6</v>
      </c>
      <c r="F27" s="198">
        <v>158046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154518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3528</v>
      </c>
    </row>
    <row r="28" spans="3:49" x14ac:dyDescent="0.3">
      <c r="C28" s="198">
        <v>36</v>
      </c>
      <c r="D28" s="198">
        <v>6</v>
      </c>
      <c r="E28" s="198">
        <v>11</v>
      </c>
      <c r="F28" s="198">
        <v>183.33333333333334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183.33333333333334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36</v>
      </c>
      <c r="D29" s="198">
        <v>7</v>
      </c>
      <c r="E29" s="198">
        <v>1</v>
      </c>
      <c r="F29" s="198">
        <v>5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5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36</v>
      </c>
      <c r="D30" s="198">
        <v>7</v>
      </c>
      <c r="E30" s="198">
        <v>2</v>
      </c>
      <c r="F30" s="198">
        <v>752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752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</row>
    <row r="31" spans="3:49" x14ac:dyDescent="0.3">
      <c r="C31" s="198">
        <v>36</v>
      </c>
      <c r="D31" s="198">
        <v>7</v>
      </c>
      <c r="E31" s="198">
        <v>6</v>
      </c>
      <c r="F31" s="198">
        <v>266221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264109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2112</v>
      </c>
    </row>
    <row r="32" spans="3:49" x14ac:dyDescent="0.3">
      <c r="C32" s="198">
        <v>36</v>
      </c>
      <c r="D32" s="198">
        <v>7</v>
      </c>
      <c r="E32" s="198">
        <v>9</v>
      </c>
      <c r="F32" s="198">
        <v>73580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73580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36</v>
      </c>
      <c r="D33" s="198">
        <v>7</v>
      </c>
      <c r="E33" s="198">
        <v>11</v>
      </c>
      <c r="F33" s="198">
        <v>183.33333333333334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183.33333333333334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36</v>
      </c>
      <c r="D34" s="198">
        <v>8</v>
      </c>
      <c r="E34" s="198">
        <v>1</v>
      </c>
      <c r="F34" s="198">
        <v>5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5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36</v>
      </c>
      <c r="D35" s="198">
        <v>8</v>
      </c>
      <c r="E35" s="198">
        <v>2</v>
      </c>
      <c r="F35" s="198">
        <v>656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656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</row>
    <row r="36" spans="3:49" x14ac:dyDescent="0.3">
      <c r="C36" s="198">
        <v>36</v>
      </c>
      <c r="D36" s="198">
        <v>8</v>
      </c>
      <c r="E36" s="198">
        <v>6</v>
      </c>
      <c r="F36" s="198">
        <v>200152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196939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</v>
      </c>
      <c r="AS36" s="198">
        <v>0</v>
      </c>
      <c r="AT36" s="198">
        <v>0</v>
      </c>
      <c r="AU36" s="198">
        <v>0</v>
      </c>
      <c r="AV36" s="198">
        <v>0</v>
      </c>
      <c r="AW36" s="198">
        <v>3213</v>
      </c>
    </row>
    <row r="37" spans="3:49" x14ac:dyDescent="0.3">
      <c r="C37" s="198">
        <v>36</v>
      </c>
      <c r="D37" s="198">
        <v>8</v>
      </c>
      <c r="E37" s="198">
        <v>11</v>
      </c>
      <c r="F37" s="198">
        <v>183.33333333333334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183.33333333333334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36</v>
      </c>
      <c r="D38" s="198">
        <v>9</v>
      </c>
      <c r="E38" s="198">
        <v>1</v>
      </c>
      <c r="F38" s="198">
        <v>5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5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36</v>
      </c>
      <c r="D39" s="198">
        <v>9</v>
      </c>
      <c r="E39" s="198">
        <v>2</v>
      </c>
      <c r="F39" s="198">
        <v>816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816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</row>
    <row r="40" spans="3:49" x14ac:dyDescent="0.3">
      <c r="C40" s="198">
        <v>36</v>
      </c>
      <c r="D40" s="198">
        <v>9</v>
      </c>
      <c r="E40" s="198">
        <v>6</v>
      </c>
      <c r="F40" s="198">
        <v>197488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193960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3528</v>
      </c>
    </row>
    <row r="41" spans="3:49" x14ac:dyDescent="0.3">
      <c r="C41" s="198">
        <v>36</v>
      </c>
      <c r="D41" s="198">
        <v>9</v>
      </c>
      <c r="E41" s="198">
        <v>11</v>
      </c>
      <c r="F41" s="198">
        <v>183.33333333333334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183.33333333333334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36</v>
      </c>
      <c r="D42" s="198">
        <v>10</v>
      </c>
      <c r="E42" s="198">
        <v>1</v>
      </c>
      <c r="F42" s="198">
        <v>5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5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36</v>
      </c>
      <c r="D43" s="198">
        <v>10</v>
      </c>
      <c r="E43" s="198">
        <v>2</v>
      </c>
      <c r="F43" s="198">
        <v>760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760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</row>
    <row r="44" spans="3:49" x14ac:dyDescent="0.3">
      <c r="C44" s="198">
        <v>36</v>
      </c>
      <c r="D44" s="198">
        <v>10</v>
      </c>
      <c r="E44" s="198">
        <v>6</v>
      </c>
      <c r="F44" s="198">
        <v>197327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194159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0</v>
      </c>
      <c r="AS44" s="198">
        <v>0</v>
      </c>
      <c r="AT44" s="198">
        <v>0</v>
      </c>
      <c r="AU44" s="198">
        <v>0</v>
      </c>
      <c r="AV44" s="198">
        <v>0</v>
      </c>
      <c r="AW44" s="198">
        <v>3168</v>
      </c>
    </row>
    <row r="45" spans="3:49" x14ac:dyDescent="0.3">
      <c r="C45" s="198">
        <v>36</v>
      </c>
      <c r="D45" s="198">
        <v>10</v>
      </c>
      <c r="E45" s="198">
        <v>11</v>
      </c>
      <c r="F45" s="198">
        <v>183.33333333333334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183.33333333333334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23" t="s">
        <v>336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14.4" customHeight="1" thickBot="1" x14ac:dyDescent="0.35">
      <c r="A2" s="202" t="s">
        <v>207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107</v>
      </c>
      <c r="B3" s="189">
        <f>SUBTOTAL(9,B6:B1048576)/2</f>
        <v>635316</v>
      </c>
      <c r="C3" s="190">
        <f t="shared" ref="C3:R3" si="0">SUBTOTAL(9,C6:C1048576)</f>
        <v>2</v>
      </c>
      <c r="D3" s="190">
        <f>SUBTOTAL(9,D6:D1048576)/2</f>
        <v>657562</v>
      </c>
      <c r="E3" s="190">
        <f t="shared" si="0"/>
        <v>2.0700312915147738</v>
      </c>
      <c r="F3" s="190">
        <f>SUBTOTAL(9,F6:F1048576)/2</f>
        <v>569207.66999999993</v>
      </c>
      <c r="G3" s="191">
        <f>IF(B3&lt;&gt;0,F3/B3,"")</f>
        <v>0.89594417581172192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24" t="s">
        <v>181</v>
      </c>
      <c r="B4" s="325" t="s">
        <v>81</v>
      </c>
      <c r="C4" s="326"/>
      <c r="D4" s="326"/>
      <c r="E4" s="326"/>
      <c r="F4" s="326"/>
      <c r="G4" s="327"/>
      <c r="H4" s="325" t="s">
        <v>82</v>
      </c>
      <c r="I4" s="326"/>
      <c r="J4" s="326"/>
      <c r="K4" s="326"/>
      <c r="L4" s="326"/>
      <c r="M4" s="327"/>
      <c r="N4" s="325" t="s">
        <v>83</v>
      </c>
      <c r="O4" s="326"/>
      <c r="P4" s="326"/>
      <c r="Q4" s="326"/>
      <c r="R4" s="326"/>
      <c r="S4" s="327"/>
    </row>
    <row r="5" spans="1:19" ht="14.4" customHeight="1" thickBot="1" x14ac:dyDescent="0.35">
      <c r="A5" s="438"/>
      <c r="B5" s="439">
        <v>2014</v>
      </c>
      <c r="C5" s="440"/>
      <c r="D5" s="440">
        <v>2015</v>
      </c>
      <c r="E5" s="440"/>
      <c r="F5" s="440">
        <v>2016</v>
      </c>
      <c r="G5" s="441" t="s">
        <v>2</v>
      </c>
      <c r="H5" s="439">
        <v>2014</v>
      </c>
      <c r="I5" s="440"/>
      <c r="J5" s="440">
        <v>2015</v>
      </c>
      <c r="K5" s="440"/>
      <c r="L5" s="440">
        <v>2016</v>
      </c>
      <c r="M5" s="441" t="s">
        <v>2</v>
      </c>
      <c r="N5" s="439">
        <v>2014</v>
      </c>
      <c r="O5" s="440"/>
      <c r="P5" s="440">
        <v>2015</v>
      </c>
      <c r="Q5" s="440"/>
      <c r="R5" s="440">
        <v>2016</v>
      </c>
      <c r="S5" s="441" t="s">
        <v>2</v>
      </c>
    </row>
    <row r="6" spans="1:19" ht="14.4" customHeight="1" thickBot="1" x14ac:dyDescent="0.35">
      <c r="A6" s="444" t="s">
        <v>335</v>
      </c>
      <c r="B6" s="442">
        <v>635316</v>
      </c>
      <c r="C6" s="443">
        <v>1</v>
      </c>
      <c r="D6" s="442">
        <v>657562</v>
      </c>
      <c r="E6" s="443">
        <v>1.0350156457573869</v>
      </c>
      <c r="F6" s="442">
        <v>569207.67000000004</v>
      </c>
      <c r="G6" s="256">
        <v>0.89594417581172214</v>
      </c>
      <c r="H6" s="442"/>
      <c r="I6" s="443"/>
      <c r="J6" s="442"/>
      <c r="K6" s="443"/>
      <c r="L6" s="442"/>
      <c r="M6" s="256"/>
      <c r="N6" s="442"/>
      <c r="O6" s="443"/>
      <c r="P6" s="442"/>
      <c r="Q6" s="443"/>
      <c r="R6" s="442"/>
      <c r="S6" s="257"/>
    </row>
    <row r="7" spans="1:19" ht="14.4" customHeight="1" thickBot="1" x14ac:dyDescent="0.35"/>
    <row r="8" spans="1:19" ht="14.4" customHeight="1" thickBot="1" x14ac:dyDescent="0.35">
      <c r="A8" s="444" t="s">
        <v>317</v>
      </c>
      <c r="B8" s="442">
        <v>635316</v>
      </c>
      <c r="C8" s="443">
        <v>1</v>
      </c>
      <c r="D8" s="442">
        <v>657562</v>
      </c>
      <c r="E8" s="443">
        <v>1.0350156457573869</v>
      </c>
      <c r="F8" s="442">
        <v>569207.66999999993</v>
      </c>
      <c r="G8" s="256">
        <v>0.89594417581172192</v>
      </c>
      <c r="H8" s="442"/>
      <c r="I8" s="443"/>
      <c r="J8" s="442"/>
      <c r="K8" s="443"/>
      <c r="L8" s="442"/>
      <c r="M8" s="256"/>
      <c r="N8" s="442"/>
      <c r="O8" s="443"/>
      <c r="P8" s="442"/>
      <c r="Q8" s="443"/>
      <c r="R8" s="442"/>
      <c r="S8" s="257"/>
    </row>
    <row r="9" spans="1:19" ht="14.4" customHeight="1" x14ac:dyDescent="0.3">
      <c r="A9" s="445" t="s">
        <v>337</v>
      </c>
    </row>
    <row r="10" spans="1:19" ht="14.4" customHeight="1" x14ac:dyDescent="0.3">
      <c r="A10" s="446" t="s">
        <v>338</v>
      </c>
    </row>
    <row r="11" spans="1:19" ht="14.4" customHeight="1" x14ac:dyDescent="0.3">
      <c r="A11" s="445" t="s">
        <v>339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23" t="s">
        <v>344</v>
      </c>
      <c r="B1" s="278"/>
      <c r="C1" s="278"/>
      <c r="D1" s="278"/>
      <c r="E1" s="278"/>
      <c r="F1" s="278"/>
      <c r="G1" s="278"/>
    </row>
    <row r="2" spans="1:7" ht="14.4" customHeight="1" thickBot="1" x14ac:dyDescent="0.35">
      <c r="A2" s="202" t="s">
        <v>207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107</v>
      </c>
      <c r="B3" s="268">
        <f t="shared" ref="B3:G3" si="0">SUBTOTAL(9,B6:B1048576)</f>
        <v>1395</v>
      </c>
      <c r="C3" s="269">
        <f t="shared" si="0"/>
        <v>1488</v>
      </c>
      <c r="D3" s="269">
        <f t="shared" si="0"/>
        <v>1244</v>
      </c>
      <c r="E3" s="192">
        <f t="shared" si="0"/>
        <v>635316</v>
      </c>
      <c r="F3" s="190">
        <f t="shared" si="0"/>
        <v>657562</v>
      </c>
      <c r="G3" s="270">
        <f t="shared" si="0"/>
        <v>569207.66999999993</v>
      </c>
    </row>
    <row r="4" spans="1:7" ht="14.4" customHeight="1" x14ac:dyDescent="0.3">
      <c r="A4" s="324" t="s">
        <v>108</v>
      </c>
      <c r="B4" s="325" t="s">
        <v>178</v>
      </c>
      <c r="C4" s="326"/>
      <c r="D4" s="326"/>
      <c r="E4" s="328" t="s">
        <v>81</v>
      </c>
      <c r="F4" s="329"/>
      <c r="G4" s="330"/>
    </row>
    <row r="5" spans="1:7" ht="14.4" customHeight="1" thickBot="1" x14ac:dyDescent="0.35">
      <c r="A5" s="438"/>
      <c r="B5" s="439">
        <v>2014</v>
      </c>
      <c r="C5" s="440">
        <v>2015</v>
      </c>
      <c r="D5" s="440">
        <v>2016</v>
      </c>
      <c r="E5" s="439">
        <v>2014</v>
      </c>
      <c r="F5" s="440">
        <v>2015</v>
      </c>
      <c r="G5" s="440">
        <v>2016</v>
      </c>
    </row>
    <row r="6" spans="1:7" ht="14.4" customHeight="1" x14ac:dyDescent="0.3">
      <c r="A6" s="383" t="s">
        <v>340</v>
      </c>
      <c r="B6" s="384">
        <v>1354</v>
      </c>
      <c r="C6" s="384">
        <v>1488</v>
      </c>
      <c r="D6" s="384">
        <v>1244</v>
      </c>
      <c r="E6" s="447">
        <v>635316</v>
      </c>
      <c r="F6" s="447">
        <v>657562</v>
      </c>
      <c r="G6" s="448">
        <v>569207.66999999993</v>
      </c>
    </row>
    <row r="7" spans="1:7" ht="14.4" customHeight="1" x14ac:dyDescent="0.3">
      <c r="A7" s="455" t="s">
        <v>341</v>
      </c>
      <c r="B7" s="450">
        <v>1</v>
      </c>
      <c r="C7" s="450"/>
      <c r="D7" s="450"/>
      <c r="E7" s="451">
        <v>0</v>
      </c>
      <c r="F7" s="451"/>
      <c r="G7" s="452"/>
    </row>
    <row r="8" spans="1:7" ht="14.4" customHeight="1" x14ac:dyDescent="0.3">
      <c r="A8" s="455" t="s">
        <v>342</v>
      </c>
      <c r="B8" s="450">
        <v>4</v>
      </c>
      <c r="C8" s="450"/>
      <c r="D8" s="450"/>
      <c r="E8" s="451">
        <v>0</v>
      </c>
      <c r="F8" s="451"/>
      <c r="G8" s="452"/>
    </row>
    <row r="9" spans="1:7" ht="14.4" customHeight="1" thickBot="1" x14ac:dyDescent="0.35">
      <c r="A9" s="456" t="s">
        <v>343</v>
      </c>
      <c r="B9" s="387">
        <v>36</v>
      </c>
      <c r="C9" s="387"/>
      <c r="D9" s="387"/>
      <c r="E9" s="453">
        <v>0</v>
      </c>
      <c r="F9" s="453"/>
      <c r="G9" s="454"/>
    </row>
    <row r="10" spans="1:7" ht="14.4" customHeight="1" x14ac:dyDescent="0.3">
      <c r="A10" s="445" t="s">
        <v>337</v>
      </c>
    </row>
    <row r="11" spans="1:7" ht="14.4" customHeight="1" x14ac:dyDescent="0.3">
      <c r="A11" s="446" t="s">
        <v>338</v>
      </c>
    </row>
    <row r="12" spans="1:7" ht="14.4" customHeight="1" x14ac:dyDescent="0.3">
      <c r="A12" s="445" t="s">
        <v>339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78" t="s">
        <v>367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4.4" customHeight="1" thickBot="1" x14ac:dyDescent="0.35">
      <c r="A2" s="202" t="s">
        <v>207</v>
      </c>
      <c r="B2" s="273"/>
      <c r="C2" s="106"/>
      <c r="D2" s="267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1395</v>
      </c>
      <c r="G3" s="78">
        <f t="shared" si="0"/>
        <v>635316</v>
      </c>
      <c r="H3" s="58"/>
      <c r="I3" s="58"/>
      <c r="J3" s="78">
        <f t="shared" si="0"/>
        <v>1488</v>
      </c>
      <c r="K3" s="78">
        <f t="shared" si="0"/>
        <v>657562</v>
      </c>
      <c r="L3" s="58"/>
      <c r="M3" s="58"/>
      <c r="N3" s="78">
        <f t="shared" si="0"/>
        <v>1244</v>
      </c>
      <c r="O3" s="78">
        <f t="shared" si="0"/>
        <v>569207.66999999993</v>
      </c>
      <c r="P3" s="59">
        <f>IF(G3=0,0,O3/G3)</f>
        <v>0.89594417581172192</v>
      </c>
      <c r="Q3" s="79">
        <f>IF(N3=0,0,O3/N3)</f>
        <v>457.56243569131829</v>
      </c>
    </row>
    <row r="4" spans="1:17" ht="14.4" customHeight="1" x14ac:dyDescent="0.3">
      <c r="A4" s="332" t="s">
        <v>77</v>
      </c>
      <c r="B4" s="339" t="s">
        <v>0</v>
      </c>
      <c r="C4" s="333" t="s">
        <v>78</v>
      </c>
      <c r="D4" s="338" t="s">
        <v>53</v>
      </c>
      <c r="E4" s="334" t="s">
        <v>52</v>
      </c>
      <c r="F4" s="335">
        <v>2014</v>
      </c>
      <c r="G4" s="336"/>
      <c r="H4" s="76"/>
      <c r="I4" s="76"/>
      <c r="J4" s="335">
        <v>2015</v>
      </c>
      <c r="K4" s="336"/>
      <c r="L4" s="76"/>
      <c r="M4" s="76"/>
      <c r="N4" s="335">
        <v>2016</v>
      </c>
      <c r="O4" s="336"/>
      <c r="P4" s="337" t="s">
        <v>2</v>
      </c>
      <c r="Q4" s="331" t="s">
        <v>80</v>
      </c>
    </row>
    <row r="5" spans="1:17" ht="14.4" customHeight="1" thickBot="1" x14ac:dyDescent="0.35">
      <c r="A5" s="457"/>
      <c r="B5" s="458"/>
      <c r="C5" s="459"/>
      <c r="D5" s="460"/>
      <c r="E5" s="461"/>
      <c r="F5" s="462" t="s">
        <v>54</v>
      </c>
      <c r="G5" s="463" t="s">
        <v>10</v>
      </c>
      <c r="H5" s="464"/>
      <c r="I5" s="464"/>
      <c r="J5" s="462" t="s">
        <v>54</v>
      </c>
      <c r="K5" s="463" t="s">
        <v>10</v>
      </c>
      <c r="L5" s="464"/>
      <c r="M5" s="464"/>
      <c r="N5" s="462" t="s">
        <v>54</v>
      </c>
      <c r="O5" s="463" t="s">
        <v>10</v>
      </c>
      <c r="P5" s="465"/>
      <c r="Q5" s="466"/>
    </row>
    <row r="6" spans="1:17" ht="14.4" customHeight="1" x14ac:dyDescent="0.3">
      <c r="A6" s="405" t="s">
        <v>345</v>
      </c>
      <c r="B6" s="406" t="s">
        <v>317</v>
      </c>
      <c r="C6" s="406" t="s">
        <v>346</v>
      </c>
      <c r="D6" s="406" t="s">
        <v>347</v>
      </c>
      <c r="E6" s="406" t="s">
        <v>348</v>
      </c>
      <c r="F6" s="384"/>
      <c r="G6" s="384"/>
      <c r="H6" s="406"/>
      <c r="I6" s="406"/>
      <c r="J6" s="384">
        <v>3</v>
      </c>
      <c r="K6" s="384">
        <v>105</v>
      </c>
      <c r="L6" s="406"/>
      <c r="M6" s="406">
        <v>35</v>
      </c>
      <c r="N6" s="384"/>
      <c r="O6" s="384"/>
      <c r="P6" s="385"/>
      <c r="Q6" s="396"/>
    </row>
    <row r="7" spans="1:17" ht="14.4" customHeight="1" x14ac:dyDescent="0.3">
      <c r="A7" s="449" t="s">
        <v>345</v>
      </c>
      <c r="B7" s="467" t="s">
        <v>317</v>
      </c>
      <c r="C7" s="467" t="s">
        <v>346</v>
      </c>
      <c r="D7" s="467" t="s">
        <v>349</v>
      </c>
      <c r="E7" s="467" t="s">
        <v>350</v>
      </c>
      <c r="F7" s="450"/>
      <c r="G7" s="450"/>
      <c r="H7" s="467"/>
      <c r="I7" s="467"/>
      <c r="J7" s="450">
        <v>1</v>
      </c>
      <c r="K7" s="450">
        <v>133</v>
      </c>
      <c r="L7" s="467"/>
      <c r="M7" s="467">
        <v>133</v>
      </c>
      <c r="N7" s="450">
        <v>1</v>
      </c>
      <c r="O7" s="450">
        <v>141</v>
      </c>
      <c r="P7" s="468"/>
      <c r="Q7" s="469">
        <v>141</v>
      </c>
    </row>
    <row r="8" spans="1:17" ht="14.4" customHeight="1" x14ac:dyDescent="0.3">
      <c r="A8" s="449" t="s">
        <v>345</v>
      </c>
      <c r="B8" s="467" t="s">
        <v>317</v>
      </c>
      <c r="C8" s="467" t="s">
        <v>346</v>
      </c>
      <c r="D8" s="467" t="s">
        <v>351</v>
      </c>
      <c r="E8" s="467" t="s">
        <v>352</v>
      </c>
      <c r="F8" s="450">
        <v>71</v>
      </c>
      <c r="G8" s="450">
        <v>18876</v>
      </c>
      <c r="H8" s="467">
        <v>1</v>
      </c>
      <c r="I8" s="467">
        <v>265.85915492957747</v>
      </c>
      <c r="J8" s="450">
        <v>195</v>
      </c>
      <c r="K8" s="450">
        <v>52260</v>
      </c>
      <c r="L8" s="467">
        <v>2.7685950413223139</v>
      </c>
      <c r="M8" s="467">
        <v>268</v>
      </c>
      <c r="N8" s="450">
        <v>176</v>
      </c>
      <c r="O8" s="450">
        <v>50160</v>
      </c>
      <c r="P8" s="468">
        <v>2.6573426573426575</v>
      </c>
      <c r="Q8" s="469">
        <v>285</v>
      </c>
    </row>
    <row r="9" spans="1:17" ht="14.4" customHeight="1" x14ac:dyDescent="0.3">
      <c r="A9" s="449" t="s">
        <v>345</v>
      </c>
      <c r="B9" s="467" t="s">
        <v>317</v>
      </c>
      <c r="C9" s="467" t="s">
        <v>346</v>
      </c>
      <c r="D9" s="467" t="s">
        <v>353</v>
      </c>
      <c r="E9" s="467" t="s">
        <v>354</v>
      </c>
      <c r="F9" s="450">
        <v>928</v>
      </c>
      <c r="G9" s="450">
        <v>477892</v>
      </c>
      <c r="H9" s="467">
        <v>1</v>
      </c>
      <c r="I9" s="467">
        <v>514.96982758620686</v>
      </c>
      <c r="J9" s="450">
        <v>844</v>
      </c>
      <c r="K9" s="450">
        <v>437192</v>
      </c>
      <c r="L9" s="467">
        <v>0.9148343140291112</v>
      </c>
      <c r="M9" s="467">
        <v>518</v>
      </c>
      <c r="N9" s="450">
        <v>647</v>
      </c>
      <c r="O9" s="450">
        <v>357791</v>
      </c>
      <c r="P9" s="468">
        <v>0.74868589555799214</v>
      </c>
      <c r="Q9" s="469">
        <v>553</v>
      </c>
    </row>
    <row r="10" spans="1:17" ht="14.4" customHeight="1" x14ac:dyDescent="0.3">
      <c r="A10" s="449" t="s">
        <v>345</v>
      </c>
      <c r="B10" s="467" t="s">
        <v>317</v>
      </c>
      <c r="C10" s="467" t="s">
        <v>346</v>
      </c>
      <c r="D10" s="467" t="s">
        <v>355</v>
      </c>
      <c r="E10" s="467" t="s">
        <v>356</v>
      </c>
      <c r="F10" s="450">
        <v>2</v>
      </c>
      <c r="G10" s="450">
        <v>0</v>
      </c>
      <c r="H10" s="467"/>
      <c r="I10" s="467">
        <v>0</v>
      </c>
      <c r="J10" s="450"/>
      <c r="K10" s="450"/>
      <c r="L10" s="467"/>
      <c r="M10" s="467"/>
      <c r="N10" s="450"/>
      <c r="O10" s="450"/>
      <c r="P10" s="468"/>
      <c r="Q10" s="469"/>
    </row>
    <row r="11" spans="1:17" ht="14.4" customHeight="1" x14ac:dyDescent="0.3">
      <c r="A11" s="449" t="s">
        <v>345</v>
      </c>
      <c r="B11" s="467" t="s">
        <v>317</v>
      </c>
      <c r="C11" s="467" t="s">
        <v>346</v>
      </c>
      <c r="D11" s="467" t="s">
        <v>357</v>
      </c>
      <c r="E11" s="467" t="s">
        <v>358</v>
      </c>
      <c r="F11" s="450">
        <v>40</v>
      </c>
      <c r="G11" s="450">
        <v>0</v>
      </c>
      <c r="H11" s="467"/>
      <c r="I11" s="467">
        <v>0</v>
      </c>
      <c r="J11" s="450">
        <v>12</v>
      </c>
      <c r="K11" s="450">
        <v>100</v>
      </c>
      <c r="L11" s="467"/>
      <c r="M11" s="467">
        <v>8.3333333333333339</v>
      </c>
      <c r="N11" s="450">
        <v>38</v>
      </c>
      <c r="O11" s="450">
        <v>1266.67</v>
      </c>
      <c r="P11" s="468"/>
      <c r="Q11" s="469">
        <v>33.333421052631579</v>
      </c>
    </row>
    <row r="12" spans="1:17" ht="14.4" customHeight="1" x14ac:dyDescent="0.3">
      <c r="A12" s="449" t="s">
        <v>345</v>
      </c>
      <c r="B12" s="467" t="s">
        <v>317</v>
      </c>
      <c r="C12" s="467" t="s">
        <v>346</v>
      </c>
      <c r="D12" s="467" t="s">
        <v>359</v>
      </c>
      <c r="E12" s="467" t="s">
        <v>360</v>
      </c>
      <c r="F12" s="450">
        <v>1</v>
      </c>
      <c r="G12" s="450">
        <v>209</v>
      </c>
      <c r="H12" s="467">
        <v>1</v>
      </c>
      <c r="I12" s="467">
        <v>209</v>
      </c>
      <c r="J12" s="450"/>
      <c r="K12" s="450"/>
      <c r="L12" s="467"/>
      <c r="M12" s="467"/>
      <c r="N12" s="450"/>
      <c r="O12" s="450"/>
      <c r="P12" s="468"/>
      <c r="Q12" s="469"/>
    </row>
    <row r="13" spans="1:17" ht="14.4" customHeight="1" x14ac:dyDescent="0.3">
      <c r="A13" s="449" t="s">
        <v>345</v>
      </c>
      <c r="B13" s="467" t="s">
        <v>317</v>
      </c>
      <c r="C13" s="467" t="s">
        <v>346</v>
      </c>
      <c r="D13" s="467" t="s">
        <v>361</v>
      </c>
      <c r="E13" s="467" t="s">
        <v>362</v>
      </c>
      <c r="F13" s="450">
        <v>40</v>
      </c>
      <c r="G13" s="450">
        <v>13887</v>
      </c>
      <c r="H13" s="467">
        <v>1</v>
      </c>
      <c r="I13" s="467">
        <v>347.17500000000001</v>
      </c>
      <c r="J13" s="450">
        <v>42</v>
      </c>
      <c r="K13" s="450">
        <v>14700</v>
      </c>
      <c r="L13" s="467">
        <v>1.0585439619788291</v>
      </c>
      <c r="M13" s="467">
        <v>350</v>
      </c>
      <c r="N13" s="450">
        <v>47</v>
      </c>
      <c r="O13" s="450">
        <v>17484</v>
      </c>
      <c r="P13" s="468">
        <v>1.2590192266148197</v>
      </c>
      <c r="Q13" s="469">
        <v>372</v>
      </c>
    </row>
    <row r="14" spans="1:17" ht="14.4" customHeight="1" x14ac:dyDescent="0.3">
      <c r="A14" s="449" t="s">
        <v>345</v>
      </c>
      <c r="B14" s="467" t="s">
        <v>317</v>
      </c>
      <c r="C14" s="467" t="s">
        <v>346</v>
      </c>
      <c r="D14" s="467" t="s">
        <v>363</v>
      </c>
      <c r="E14" s="467" t="s">
        <v>364</v>
      </c>
      <c r="F14" s="450">
        <v>310</v>
      </c>
      <c r="G14" s="450">
        <v>123660</v>
      </c>
      <c r="H14" s="467">
        <v>1</v>
      </c>
      <c r="I14" s="467">
        <v>398.90322580645159</v>
      </c>
      <c r="J14" s="450">
        <v>361</v>
      </c>
      <c r="K14" s="450">
        <v>145122</v>
      </c>
      <c r="L14" s="467">
        <v>1.1735565259582728</v>
      </c>
      <c r="M14" s="467">
        <v>402</v>
      </c>
      <c r="N14" s="450">
        <v>309</v>
      </c>
      <c r="O14" s="450">
        <v>135033</v>
      </c>
      <c r="P14" s="468">
        <v>1.0919699175157691</v>
      </c>
      <c r="Q14" s="469">
        <v>437</v>
      </c>
    </row>
    <row r="15" spans="1:17" ht="14.4" customHeight="1" thickBot="1" x14ac:dyDescent="0.35">
      <c r="A15" s="409" t="s">
        <v>345</v>
      </c>
      <c r="B15" s="410" t="s">
        <v>317</v>
      </c>
      <c r="C15" s="410" t="s">
        <v>346</v>
      </c>
      <c r="D15" s="410" t="s">
        <v>365</v>
      </c>
      <c r="E15" s="410" t="s">
        <v>366</v>
      </c>
      <c r="F15" s="387">
        <v>3</v>
      </c>
      <c r="G15" s="387">
        <v>792</v>
      </c>
      <c r="H15" s="410">
        <v>1</v>
      </c>
      <c r="I15" s="410">
        <v>264</v>
      </c>
      <c r="J15" s="387">
        <v>30</v>
      </c>
      <c r="K15" s="387">
        <v>7950</v>
      </c>
      <c r="L15" s="410">
        <v>10.037878787878787</v>
      </c>
      <c r="M15" s="410">
        <v>265</v>
      </c>
      <c r="N15" s="387">
        <v>26</v>
      </c>
      <c r="O15" s="387">
        <v>7332</v>
      </c>
      <c r="P15" s="388">
        <v>9.2575757575757578</v>
      </c>
      <c r="Q15" s="397">
        <v>282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287" t="s">
        <v>106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14.4" customHeight="1" thickBot="1" x14ac:dyDescent="0.35">
      <c r="A2" s="202" t="s">
        <v>207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107</v>
      </c>
      <c r="B3" s="189">
        <f>SUBTOTAL(9,B6:B1048576)</f>
        <v>712209</v>
      </c>
      <c r="C3" s="190">
        <f t="shared" ref="C3:R3" si="0">SUBTOTAL(9,C6:C1048576)</f>
        <v>10</v>
      </c>
      <c r="D3" s="190">
        <f t="shared" si="0"/>
        <v>1113372.32</v>
      </c>
      <c r="E3" s="190">
        <f t="shared" si="0"/>
        <v>13.891232034502725</v>
      </c>
      <c r="F3" s="190">
        <f t="shared" si="0"/>
        <v>1216270.99</v>
      </c>
      <c r="G3" s="193">
        <f>IF(B3&lt;&gt;0,F3/B3,"")</f>
        <v>1.7077444823078618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24" t="s">
        <v>87</v>
      </c>
      <c r="B4" s="325" t="s">
        <v>81</v>
      </c>
      <c r="C4" s="326"/>
      <c r="D4" s="326"/>
      <c r="E4" s="326"/>
      <c r="F4" s="326"/>
      <c r="G4" s="327"/>
      <c r="H4" s="325" t="s">
        <v>82</v>
      </c>
      <c r="I4" s="326"/>
      <c r="J4" s="326"/>
      <c r="K4" s="326"/>
      <c r="L4" s="326"/>
      <c r="M4" s="327"/>
      <c r="N4" s="325" t="s">
        <v>83</v>
      </c>
      <c r="O4" s="326"/>
      <c r="P4" s="326"/>
      <c r="Q4" s="326"/>
      <c r="R4" s="326"/>
      <c r="S4" s="327"/>
    </row>
    <row r="5" spans="1:19" ht="14.4" customHeight="1" thickBot="1" x14ac:dyDescent="0.35">
      <c r="A5" s="438"/>
      <c r="B5" s="439">
        <v>2014</v>
      </c>
      <c r="C5" s="440"/>
      <c r="D5" s="440">
        <v>2015</v>
      </c>
      <c r="E5" s="440"/>
      <c r="F5" s="440">
        <v>2016</v>
      </c>
      <c r="G5" s="441" t="s">
        <v>2</v>
      </c>
      <c r="H5" s="439">
        <v>2014</v>
      </c>
      <c r="I5" s="440"/>
      <c r="J5" s="440">
        <v>2015</v>
      </c>
      <c r="K5" s="440"/>
      <c r="L5" s="440">
        <v>2016</v>
      </c>
      <c r="M5" s="441" t="s">
        <v>2</v>
      </c>
      <c r="N5" s="439">
        <v>2014</v>
      </c>
      <c r="O5" s="440"/>
      <c r="P5" s="440">
        <v>2015</v>
      </c>
      <c r="Q5" s="440"/>
      <c r="R5" s="440">
        <v>2016</v>
      </c>
      <c r="S5" s="441" t="s">
        <v>2</v>
      </c>
    </row>
    <row r="6" spans="1:19" ht="14.4" customHeight="1" x14ac:dyDescent="0.3">
      <c r="A6" s="383" t="s">
        <v>368</v>
      </c>
      <c r="B6" s="447">
        <v>6249</v>
      </c>
      <c r="C6" s="406">
        <v>1</v>
      </c>
      <c r="D6" s="447">
        <v>6048</v>
      </c>
      <c r="E6" s="406">
        <v>0.96783485357657228</v>
      </c>
      <c r="F6" s="447">
        <v>8024</v>
      </c>
      <c r="G6" s="385">
        <v>1.2840454472715634</v>
      </c>
      <c r="H6" s="447"/>
      <c r="I6" s="406"/>
      <c r="J6" s="447"/>
      <c r="K6" s="406"/>
      <c r="L6" s="447"/>
      <c r="M6" s="385"/>
      <c r="N6" s="447"/>
      <c r="O6" s="406"/>
      <c r="P6" s="447"/>
      <c r="Q6" s="406"/>
      <c r="R6" s="447"/>
      <c r="S6" s="386"/>
    </row>
    <row r="7" spans="1:19" ht="14.4" customHeight="1" x14ac:dyDescent="0.3">
      <c r="A7" s="455" t="s">
        <v>369</v>
      </c>
      <c r="B7" s="451">
        <v>1296</v>
      </c>
      <c r="C7" s="467">
        <v>1</v>
      </c>
      <c r="D7" s="451">
        <v>2072</v>
      </c>
      <c r="E7" s="467">
        <v>1.5987654320987654</v>
      </c>
      <c r="F7" s="451">
        <v>282</v>
      </c>
      <c r="G7" s="468">
        <v>0.21759259259259259</v>
      </c>
      <c r="H7" s="451"/>
      <c r="I7" s="467"/>
      <c r="J7" s="451"/>
      <c r="K7" s="467"/>
      <c r="L7" s="451"/>
      <c r="M7" s="468"/>
      <c r="N7" s="451"/>
      <c r="O7" s="467"/>
      <c r="P7" s="451"/>
      <c r="Q7" s="467"/>
      <c r="R7" s="451"/>
      <c r="S7" s="470"/>
    </row>
    <row r="8" spans="1:19" ht="14.4" customHeight="1" x14ac:dyDescent="0.3">
      <c r="A8" s="455" t="s">
        <v>370</v>
      </c>
      <c r="B8" s="451">
        <v>1032</v>
      </c>
      <c r="C8" s="467">
        <v>1</v>
      </c>
      <c r="D8" s="451">
        <v>3108</v>
      </c>
      <c r="E8" s="467">
        <v>3.0116279069767442</v>
      </c>
      <c r="F8" s="451">
        <v>1478</v>
      </c>
      <c r="G8" s="468">
        <v>1.432170542635659</v>
      </c>
      <c r="H8" s="451"/>
      <c r="I8" s="467"/>
      <c r="J8" s="451"/>
      <c r="K8" s="467"/>
      <c r="L8" s="451"/>
      <c r="M8" s="468"/>
      <c r="N8" s="451"/>
      <c r="O8" s="467"/>
      <c r="P8" s="451"/>
      <c r="Q8" s="467"/>
      <c r="R8" s="451"/>
      <c r="S8" s="470"/>
    </row>
    <row r="9" spans="1:19" ht="14.4" customHeight="1" x14ac:dyDescent="0.3">
      <c r="A9" s="455" t="s">
        <v>371</v>
      </c>
      <c r="B9" s="451"/>
      <c r="C9" s="467"/>
      <c r="D9" s="451">
        <v>1554</v>
      </c>
      <c r="E9" s="467"/>
      <c r="F9" s="451"/>
      <c r="G9" s="468"/>
      <c r="H9" s="451"/>
      <c r="I9" s="467"/>
      <c r="J9" s="451"/>
      <c r="K9" s="467"/>
      <c r="L9" s="451"/>
      <c r="M9" s="468"/>
      <c r="N9" s="451"/>
      <c r="O9" s="467"/>
      <c r="P9" s="451"/>
      <c r="Q9" s="467"/>
      <c r="R9" s="451"/>
      <c r="S9" s="470"/>
    </row>
    <row r="10" spans="1:19" ht="14.4" customHeight="1" x14ac:dyDescent="0.3">
      <c r="A10" s="455" t="s">
        <v>372</v>
      </c>
      <c r="B10" s="451"/>
      <c r="C10" s="467"/>
      <c r="D10" s="451"/>
      <c r="E10" s="467"/>
      <c r="F10" s="451">
        <v>553</v>
      </c>
      <c r="G10" s="468"/>
      <c r="H10" s="451"/>
      <c r="I10" s="467"/>
      <c r="J10" s="451"/>
      <c r="K10" s="467"/>
      <c r="L10" s="451"/>
      <c r="M10" s="468"/>
      <c r="N10" s="451"/>
      <c r="O10" s="467"/>
      <c r="P10" s="451"/>
      <c r="Q10" s="467"/>
      <c r="R10" s="451"/>
      <c r="S10" s="470"/>
    </row>
    <row r="11" spans="1:19" ht="14.4" customHeight="1" x14ac:dyDescent="0.3">
      <c r="A11" s="455" t="s">
        <v>373</v>
      </c>
      <c r="B11" s="451">
        <v>15000</v>
      </c>
      <c r="C11" s="467">
        <v>1</v>
      </c>
      <c r="D11" s="451">
        <v>12728</v>
      </c>
      <c r="E11" s="467">
        <v>0.84853333333333336</v>
      </c>
      <c r="F11" s="451">
        <v>24462</v>
      </c>
      <c r="G11" s="468">
        <v>1.6308</v>
      </c>
      <c r="H11" s="451"/>
      <c r="I11" s="467"/>
      <c r="J11" s="451"/>
      <c r="K11" s="467"/>
      <c r="L11" s="451"/>
      <c r="M11" s="468"/>
      <c r="N11" s="451"/>
      <c r="O11" s="467"/>
      <c r="P11" s="451"/>
      <c r="Q11" s="467"/>
      <c r="R11" s="451"/>
      <c r="S11" s="470"/>
    </row>
    <row r="12" spans="1:19" ht="14.4" customHeight="1" x14ac:dyDescent="0.3">
      <c r="A12" s="455" t="s">
        <v>374</v>
      </c>
      <c r="B12" s="451"/>
      <c r="C12" s="467"/>
      <c r="D12" s="451">
        <v>350</v>
      </c>
      <c r="E12" s="467"/>
      <c r="F12" s="451"/>
      <c r="G12" s="468"/>
      <c r="H12" s="451"/>
      <c r="I12" s="467"/>
      <c r="J12" s="451"/>
      <c r="K12" s="467"/>
      <c r="L12" s="451"/>
      <c r="M12" s="468"/>
      <c r="N12" s="451"/>
      <c r="O12" s="467"/>
      <c r="P12" s="451"/>
      <c r="Q12" s="467"/>
      <c r="R12" s="451"/>
      <c r="S12" s="470"/>
    </row>
    <row r="13" spans="1:19" ht="14.4" customHeight="1" x14ac:dyDescent="0.3">
      <c r="A13" s="455" t="s">
        <v>375</v>
      </c>
      <c r="B13" s="451"/>
      <c r="C13" s="467"/>
      <c r="D13" s="451">
        <v>4494</v>
      </c>
      <c r="E13" s="467"/>
      <c r="F13" s="451"/>
      <c r="G13" s="468"/>
      <c r="H13" s="451"/>
      <c r="I13" s="467"/>
      <c r="J13" s="451"/>
      <c r="K13" s="467"/>
      <c r="L13" s="451"/>
      <c r="M13" s="468"/>
      <c r="N13" s="451"/>
      <c r="O13" s="467"/>
      <c r="P13" s="451"/>
      <c r="Q13" s="467"/>
      <c r="R13" s="451"/>
      <c r="S13" s="470"/>
    </row>
    <row r="14" spans="1:19" ht="14.4" customHeight="1" x14ac:dyDescent="0.3">
      <c r="A14" s="455" t="s">
        <v>376</v>
      </c>
      <c r="B14" s="451"/>
      <c r="C14" s="467"/>
      <c r="D14" s="451"/>
      <c r="E14" s="467"/>
      <c r="F14" s="451">
        <v>2617.33</v>
      </c>
      <c r="G14" s="468"/>
      <c r="H14" s="451"/>
      <c r="I14" s="467"/>
      <c r="J14" s="451"/>
      <c r="K14" s="467"/>
      <c r="L14" s="451"/>
      <c r="M14" s="468"/>
      <c r="N14" s="451"/>
      <c r="O14" s="467"/>
      <c r="P14" s="451"/>
      <c r="Q14" s="467"/>
      <c r="R14" s="451"/>
      <c r="S14" s="470"/>
    </row>
    <row r="15" spans="1:19" ht="14.4" customHeight="1" x14ac:dyDescent="0.3">
      <c r="A15" s="455" t="s">
        <v>377</v>
      </c>
      <c r="B15" s="451"/>
      <c r="C15" s="467"/>
      <c r="D15" s="451"/>
      <c r="E15" s="467"/>
      <c r="F15" s="451">
        <v>2031</v>
      </c>
      <c r="G15" s="468"/>
      <c r="H15" s="451"/>
      <c r="I15" s="467"/>
      <c r="J15" s="451"/>
      <c r="K15" s="467"/>
      <c r="L15" s="451"/>
      <c r="M15" s="468"/>
      <c r="N15" s="451"/>
      <c r="O15" s="467"/>
      <c r="P15" s="451"/>
      <c r="Q15" s="467"/>
      <c r="R15" s="451"/>
      <c r="S15" s="470"/>
    </row>
    <row r="16" spans="1:19" ht="14.4" customHeight="1" x14ac:dyDescent="0.3">
      <c r="A16" s="455" t="s">
        <v>378</v>
      </c>
      <c r="B16" s="451">
        <v>275857</v>
      </c>
      <c r="C16" s="467">
        <v>1</v>
      </c>
      <c r="D16" s="451">
        <v>557510</v>
      </c>
      <c r="E16" s="467">
        <v>2.0210108860750315</v>
      </c>
      <c r="F16" s="451">
        <v>506539.32999999996</v>
      </c>
      <c r="G16" s="468">
        <v>1.836238812138173</v>
      </c>
      <c r="H16" s="451"/>
      <c r="I16" s="467"/>
      <c r="J16" s="451"/>
      <c r="K16" s="467"/>
      <c r="L16" s="451"/>
      <c r="M16" s="468"/>
      <c r="N16" s="451"/>
      <c r="O16" s="467"/>
      <c r="P16" s="451"/>
      <c r="Q16" s="467"/>
      <c r="R16" s="451"/>
      <c r="S16" s="470"/>
    </row>
    <row r="17" spans="1:19" ht="14.4" customHeight="1" x14ac:dyDescent="0.3">
      <c r="A17" s="455" t="s">
        <v>379</v>
      </c>
      <c r="B17" s="451"/>
      <c r="C17" s="467"/>
      <c r="D17" s="451">
        <v>1554</v>
      </c>
      <c r="E17" s="467"/>
      <c r="F17" s="451"/>
      <c r="G17" s="468"/>
      <c r="H17" s="451"/>
      <c r="I17" s="467"/>
      <c r="J17" s="451"/>
      <c r="K17" s="467"/>
      <c r="L17" s="451"/>
      <c r="M17" s="468"/>
      <c r="N17" s="451"/>
      <c r="O17" s="467"/>
      <c r="P17" s="451"/>
      <c r="Q17" s="467"/>
      <c r="R17" s="451"/>
      <c r="S17" s="470"/>
    </row>
    <row r="18" spans="1:19" ht="14.4" customHeight="1" x14ac:dyDescent="0.3">
      <c r="A18" s="455" t="s">
        <v>380</v>
      </c>
      <c r="B18" s="451">
        <v>5389</v>
      </c>
      <c r="C18" s="467">
        <v>1</v>
      </c>
      <c r="D18" s="451">
        <v>3205</v>
      </c>
      <c r="E18" s="467">
        <v>0.59473000556689548</v>
      </c>
      <c r="F18" s="451">
        <v>2584</v>
      </c>
      <c r="G18" s="468">
        <v>0.47949526813880128</v>
      </c>
      <c r="H18" s="451"/>
      <c r="I18" s="467"/>
      <c r="J18" s="451"/>
      <c r="K18" s="467"/>
      <c r="L18" s="451"/>
      <c r="M18" s="468"/>
      <c r="N18" s="451"/>
      <c r="O18" s="467"/>
      <c r="P18" s="451"/>
      <c r="Q18" s="467"/>
      <c r="R18" s="451"/>
      <c r="S18" s="470"/>
    </row>
    <row r="19" spans="1:19" ht="14.4" customHeight="1" x14ac:dyDescent="0.3">
      <c r="A19" s="455" t="s">
        <v>381</v>
      </c>
      <c r="B19" s="451">
        <v>198363</v>
      </c>
      <c r="C19" s="467">
        <v>1</v>
      </c>
      <c r="D19" s="451">
        <v>292044.66000000003</v>
      </c>
      <c r="E19" s="467">
        <v>1.4722738615568429</v>
      </c>
      <c r="F19" s="451">
        <v>359191</v>
      </c>
      <c r="G19" s="468">
        <v>1.8107762032233834</v>
      </c>
      <c r="H19" s="451"/>
      <c r="I19" s="467"/>
      <c r="J19" s="451"/>
      <c r="K19" s="467"/>
      <c r="L19" s="451"/>
      <c r="M19" s="468"/>
      <c r="N19" s="451"/>
      <c r="O19" s="467"/>
      <c r="P19" s="451"/>
      <c r="Q19" s="467"/>
      <c r="R19" s="451"/>
      <c r="S19" s="470"/>
    </row>
    <row r="20" spans="1:19" ht="14.4" customHeight="1" x14ac:dyDescent="0.3">
      <c r="A20" s="455" t="s">
        <v>382</v>
      </c>
      <c r="B20" s="451">
        <v>195502</v>
      </c>
      <c r="C20" s="467">
        <v>1</v>
      </c>
      <c r="D20" s="451">
        <v>222791.33000000002</v>
      </c>
      <c r="E20" s="467">
        <v>1.1395859377397675</v>
      </c>
      <c r="F20" s="451">
        <v>290770</v>
      </c>
      <c r="G20" s="468">
        <v>1.4872993626663666</v>
      </c>
      <c r="H20" s="451"/>
      <c r="I20" s="467"/>
      <c r="J20" s="451"/>
      <c r="K20" s="467"/>
      <c r="L20" s="451"/>
      <c r="M20" s="468"/>
      <c r="N20" s="451"/>
      <c r="O20" s="467"/>
      <c r="P20" s="451"/>
      <c r="Q20" s="467"/>
      <c r="R20" s="451"/>
      <c r="S20" s="470"/>
    </row>
    <row r="21" spans="1:19" ht="14.4" customHeight="1" x14ac:dyDescent="0.3">
      <c r="A21" s="455" t="s">
        <v>383</v>
      </c>
      <c r="B21" s="451">
        <v>11109</v>
      </c>
      <c r="C21" s="467">
        <v>1</v>
      </c>
      <c r="D21" s="451"/>
      <c r="E21" s="467"/>
      <c r="F21" s="451">
        <v>11804</v>
      </c>
      <c r="G21" s="468">
        <v>1.0625618867584841</v>
      </c>
      <c r="H21" s="451"/>
      <c r="I21" s="467"/>
      <c r="J21" s="451"/>
      <c r="K21" s="467"/>
      <c r="L21" s="451"/>
      <c r="M21" s="468"/>
      <c r="N21" s="451"/>
      <c r="O21" s="467"/>
      <c r="P21" s="451"/>
      <c r="Q21" s="467"/>
      <c r="R21" s="451"/>
      <c r="S21" s="470"/>
    </row>
    <row r="22" spans="1:19" ht="14.4" customHeight="1" x14ac:dyDescent="0.3">
      <c r="A22" s="455" t="s">
        <v>384</v>
      </c>
      <c r="B22" s="451">
        <v>2412</v>
      </c>
      <c r="C22" s="467">
        <v>1</v>
      </c>
      <c r="D22" s="451">
        <v>5395.33</v>
      </c>
      <c r="E22" s="467">
        <v>2.2368698175787727</v>
      </c>
      <c r="F22" s="451">
        <v>5935.33</v>
      </c>
      <c r="G22" s="468">
        <v>2.460750414593698</v>
      </c>
      <c r="H22" s="451"/>
      <c r="I22" s="467"/>
      <c r="J22" s="451"/>
      <c r="K22" s="467"/>
      <c r="L22" s="451"/>
      <c r="M22" s="468"/>
      <c r="N22" s="451"/>
      <c r="O22" s="467"/>
      <c r="P22" s="451"/>
      <c r="Q22" s="467"/>
      <c r="R22" s="451"/>
      <c r="S22" s="470"/>
    </row>
    <row r="23" spans="1:19" ht="14.4" customHeight="1" thickBot="1" x14ac:dyDescent="0.35">
      <c r="A23" s="456" t="s">
        <v>385</v>
      </c>
      <c r="B23" s="453"/>
      <c r="C23" s="410"/>
      <c r="D23" s="453">
        <v>518</v>
      </c>
      <c r="E23" s="410"/>
      <c r="F23" s="453"/>
      <c r="G23" s="388"/>
      <c r="H23" s="453"/>
      <c r="I23" s="410"/>
      <c r="J23" s="453"/>
      <c r="K23" s="410"/>
      <c r="L23" s="453"/>
      <c r="M23" s="388"/>
      <c r="N23" s="453"/>
      <c r="O23" s="410"/>
      <c r="P23" s="453"/>
      <c r="Q23" s="410"/>
      <c r="R23" s="453"/>
      <c r="S23" s="38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78" t="s">
        <v>404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4.4" customHeight="1" thickBot="1" x14ac:dyDescent="0.35">
      <c r="A2" s="202" t="s">
        <v>207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107</v>
      </c>
      <c r="F3" s="77">
        <f t="shared" ref="F3:O3" si="0">SUBTOTAL(9,F6:F1048576)</f>
        <v>1435</v>
      </c>
      <c r="G3" s="78">
        <f t="shared" si="0"/>
        <v>712209</v>
      </c>
      <c r="H3" s="78"/>
      <c r="I3" s="78"/>
      <c r="J3" s="78">
        <f t="shared" si="0"/>
        <v>2335</v>
      </c>
      <c r="K3" s="78">
        <f t="shared" si="0"/>
        <v>1113372.3200000003</v>
      </c>
      <c r="L3" s="78"/>
      <c r="M3" s="78"/>
      <c r="N3" s="78">
        <f t="shared" si="0"/>
        <v>2331</v>
      </c>
      <c r="O3" s="78">
        <f t="shared" si="0"/>
        <v>1216270.9900000002</v>
      </c>
      <c r="P3" s="59">
        <f>IF(G3=0,0,O3/G3)</f>
        <v>1.7077444823078622</v>
      </c>
      <c r="Q3" s="79">
        <f>IF(N3=0,0,O3/N3)</f>
        <v>521.78077649077659</v>
      </c>
    </row>
    <row r="4" spans="1:17" ht="14.4" customHeight="1" x14ac:dyDescent="0.3">
      <c r="A4" s="333" t="s">
        <v>51</v>
      </c>
      <c r="B4" s="332" t="s">
        <v>77</v>
      </c>
      <c r="C4" s="333" t="s">
        <v>78</v>
      </c>
      <c r="D4" s="342" t="s">
        <v>79</v>
      </c>
      <c r="E4" s="334" t="s">
        <v>52</v>
      </c>
      <c r="F4" s="340">
        <v>2014</v>
      </c>
      <c r="G4" s="341"/>
      <c r="H4" s="80"/>
      <c r="I4" s="80"/>
      <c r="J4" s="340">
        <v>2015</v>
      </c>
      <c r="K4" s="341"/>
      <c r="L4" s="80"/>
      <c r="M4" s="80"/>
      <c r="N4" s="340">
        <v>2016</v>
      </c>
      <c r="O4" s="341"/>
      <c r="P4" s="343" t="s">
        <v>2</v>
      </c>
      <c r="Q4" s="331" t="s">
        <v>80</v>
      </c>
    </row>
    <row r="5" spans="1:17" ht="14.4" customHeight="1" thickBot="1" x14ac:dyDescent="0.35">
      <c r="A5" s="459"/>
      <c r="B5" s="457"/>
      <c r="C5" s="459"/>
      <c r="D5" s="471"/>
      <c r="E5" s="461"/>
      <c r="F5" s="472" t="s">
        <v>54</v>
      </c>
      <c r="G5" s="473" t="s">
        <v>10</v>
      </c>
      <c r="H5" s="474"/>
      <c r="I5" s="474"/>
      <c r="J5" s="472" t="s">
        <v>54</v>
      </c>
      <c r="K5" s="473" t="s">
        <v>10</v>
      </c>
      <c r="L5" s="474"/>
      <c r="M5" s="474"/>
      <c r="N5" s="472" t="s">
        <v>54</v>
      </c>
      <c r="O5" s="473" t="s">
        <v>10</v>
      </c>
      <c r="P5" s="475"/>
      <c r="Q5" s="466"/>
    </row>
    <row r="6" spans="1:17" ht="14.4" customHeight="1" x14ac:dyDescent="0.3">
      <c r="A6" s="405" t="s">
        <v>386</v>
      </c>
      <c r="B6" s="406" t="s">
        <v>345</v>
      </c>
      <c r="C6" s="406" t="s">
        <v>346</v>
      </c>
      <c r="D6" s="406" t="s">
        <v>353</v>
      </c>
      <c r="E6" s="406" t="s">
        <v>354</v>
      </c>
      <c r="F6" s="384">
        <v>11</v>
      </c>
      <c r="G6" s="384">
        <v>5640</v>
      </c>
      <c r="H6" s="384">
        <v>1</v>
      </c>
      <c r="I6" s="384">
        <v>512.72727272727275</v>
      </c>
      <c r="J6" s="384">
        <v>11</v>
      </c>
      <c r="K6" s="384">
        <v>5698</v>
      </c>
      <c r="L6" s="384">
        <v>1.0102836879432624</v>
      </c>
      <c r="M6" s="384">
        <v>518</v>
      </c>
      <c r="N6" s="384">
        <v>14</v>
      </c>
      <c r="O6" s="384">
        <v>7742</v>
      </c>
      <c r="P6" s="385">
        <v>1.3726950354609928</v>
      </c>
      <c r="Q6" s="396">
        <v>553</v>
      </c>
    </row>
    <row r="7" spans="1:17" ht="14.4" customHeight="1" x14ac:dyDescent="0.3">
      <c r="A7" s="449" t="s">
        <v>386</v>
      </c>
      <c r="B7" s="467" t="s">
        <v>345</v>
      </c>
      <c r="C7" s="467" t="s">
        <v>346</v>
      </c>
      <c r="D7" s="467" t="s">
        <v>357</v>
      </c>
      <c r="E7" s="467" t="s">
        <v>358</v>
      </c>
      <c r="F7" s="450"/>
      <c r="G7" s="450"/>
      <c r="H7" s="450"/>
      <c r="I7" s="450"/>
      <c r="J7" s="450">
        <v>1</v>
      </c>
      <c r="K7" s="450">
        <v>0</v>
      </c>
      <c r="L7" s="450"/>
      <c r="M7" s="450">
        <v>0</v>
      </c>
      <c r="N7" s="450"/>
      <c r="O7" s="450"/>
      <c r="P7" s="468"/>
      <c r="Q7" s="469"/>
    </row>
    <row r="8" spans="1:17" ht="14.4" customHeight="1" x14ac:dyDescent="0.3">
      <c r="A8" s="449" t="s">
        <v>386</v>
      </c>
      <c r="B8" s="467" t="s">
        <v>345</v>
      </c>
      <c r="C8" s="467" t="s">
        <v>346</v>
      </c>
      <c r="D8" s="467" t="s">
        <v>361</v>
      </c>
      <c r="E8" s="467" t="s">
        <v>362</v>
      </c>
      <c r="F8" s="450">
        <v>1</v>
      </c>
      <c r="G8" s="450">
        <v>345</v>
      </c>
      <c r="H8" s="450">
        <v>1</v>
      </c>
      <c r="I8" s="450">
        <v>345</v>
      </c>
      <c r="J8" s="450">
        <v>1</v>
      </c>
      <c r="K8" s="450">
        <v>350</v>
      </c>
      <c r="L8" s="450">
        <v>1.0144927536231885</v>
      </c>
      <c r="M8" s="450">
        <v>350</v>
      </c>
      <c r="N8" s="450"/>
      <c r="O8" s="450"/>
      <c r="P8" s="468"/>
      <c r="Q8" s="469"/>
    </row>
    <row r="9" spans="1:17" ht="14.4" customHeight="1" x14ac:dyDescent="0.3">
      <c r="A9" s="449" t="s">
        <v>386</v>
      </c>
      <c r="B9" s="467" t="s">
        <v>345</v>
      </c>
      <c r="C9" s="467" t="s">
        <v>346</v>
      </c>
      <c r="D9" s="467" t="s">
        <v>365</v>
      </c>
      <c r="E9" s="467" t="s">
        <v>366</v>
      </c>
      <c r="F9" s="450">
        <v>1</v>
      </c>
      <c r="G9" s="450">
        <v>264</v>
      </c>
      <c r="H9" s="450">
        <v>1</v>
      </c>
      <c r="I9" s="450">
        <v>264</v>
      </c>
      <c r="J9" s="450"/>
      <c r="K9" s="450"/>
      <c r="L9" s="450"/>
      <c r="M9" s="450"/>
      <c r="N9" s="450">
        <v>1</v>
      </c>
      <c r="O9" s="450">
        <v>282</v>
      </c>
      <c r="P9" s="468">
        <v>1.0681818181818181</v>
      </c>
      <c r="Q9" s="469">
        <v>282</v>
      </c>
    </row>
    <row r="10" spans="1:17" ht="14.4" customHeight="1" x14ac:dyDescent="0.3">
      <c r="A10" s="449" t="s">
        <v>387</v>
      </c>
      <c r="B10" s="467" t="s">
        <v>345</v>
      </c>
      <c r="C10" s="467" t="s">
        <v>346</v>
      </c>
      <c r="D10" s="467" t="s">
        <v>353</v>
      </c>
      <c r="E10" s="467" t="s">
        <v>354</v>
      </c>
      <c r="F10" s="450">
        <v>2</v>
      </c>
      <c r="G10" s="450">
        <v>1032</v>
      </c>
      <c r="H10" s="450">
        <v>1</v>
      </c>
      <c r="I10" s="450">
        <v>516</v>
      </c>
      <c r="J10" s="450">
        <v>4</v>
      </c>
      <c r="K10" s="450">
        <v>2072</v>
      </c>
      <c r="L10" s="450">
        <v>2.0077519379844961</v>
      </c>
      <c r="M10" s="450">
        <v>518</v>
      </c>
      <c r="N10" s="450"/>
      <c r="O10" s="450"/>
      <c r="P10" s="468"/>
      <c r="Q10" s="469"/>
    </row>
    <row r="11" spans="1:17" ht="14.4" customHeight="1" x14ac:dyDescent="0.3">
      <c r="A11" s="449" t="s">
        <v>387</v>
      </c>
      <c r="B11" s="467" t="s">
        <v>345</v>
      </c>
      <c r="C11" s="467" t="s">
        <v>346</v>
      </c>
      <c r="D11" s="467" t="s">
        <v>365</v>
      </c>
      <c r="E11" s="467" t="s">
        <v>366</v>
      </c>
      <c r="F11" s="450">
        <v>1</v>
      </c>
      <c r="G11" s="450">
        <v>264</v>
      </c>
      <c r="H11" s="450">
        <v>1</v>
      </c>
      <c r="I11" s="450">
        <v>264</v>
      </c>
      <c r="J11" s="450"/>
      <c r="K11" s="450"/>
      <c r="L11" s="450"/>
      <c r="M11" s="450"/>
      <c r="N11" s="450">
        <v>1</v>
      </c>
      <c r="O11" s="450">
        <v>282</v>
      </c>
      <c r="P11" s="468">
        <v>1.0681818181818181</v>
      </c>
      <c r="Q11" s="469">
        <v>282</v>
      </c>
    </row>
    <row r="12" spans="1:17" ht="14.4" customHeight="1" x14ac:dyDescent="0.3">
      <c r="A12" s="449" t="s">
        <v>388</v>
      </c>
      <c r="B12" s="467" t="s">
        <v>345</v>
      </c>
      <c r="C12" s="467" t="s">
        <v>346</v>
      </c>
      <c r="D12" s="467" t="s">
        <v>353</v>
      </c>
      <c r="E12" s="467" t="s">
        <v>354</v>
      </c>
      <c r="F12" s="450">
        <v>2</v>
      </c>
      <c r="G12" s="450">
        <v>1032</v>
      </c>
      <c r="H12" s="450">
        <v>1</v>
      </c>
      <c r="I12" s="450">
        <v>516</v>
      </c>
      <c r="J12" s="450">
        <v>6</v>
      </c>
      <c r="K12" s="450">
        <v>3108</v>
      </c>
      <c r="L12" s="450">
        <v>3.0116279069767442</v>
      </c>
      <c r="M12" s="450">
        <v>518</v>
      </c>
      <c r="N12" s="450">
        <v>2</v>
      </c>
      <c r="O12" s="450">
        <v>1106</v>
      </c>
      <c r="P12" s="468">
        <v>1.0717054263565891</v>
      </c>
      <c r="Q12" s="469">
        <v>553</v>
      </c>
    </row>
    <row r="13" spans="1:17" ht="14.4" customHeight="1" x14ac:dyDescent="0.3">
      <c r="A13" s="449" t="s">
        <v>388</v>
      </c>
      <c r="B13" s="467" t="s">
        <v>345</v>
      </c>
      <c r="C13" s="467" t="s">
        <v>346</v>
      </c>
      <c r="D13" s="467" t="s">
        <v>361</v>
      </c>
      <c r="E13" s="467" t="s">
        <v>362</v>
      </c>
      <c r="F13" s="450"/>
      <c r="G13" s="450"/>
      <c r="H13" s="450"/>
      <c r="I13" s="450"/>
      <c r="J13" s="450"/>
      <c r="K13" s="450"/>
      <c r="L13" s="450"/>
      <c r="M13" s="450"/>
      <c r="N13" s="450">
        <v>1</v>
      </c>
      <c r="O13" s="450">
        <v>372</v>
      </c>
      <c r="P13" s="468"/>
      <c r="Q13" s="469">
        <v>372</v>
      </c>
    </row>
    <row r="14" spans="1:17" ht="14.4" customHeight="1" x14ac:dyDescent="0.3">
      <c r="A14" s="449" t="s">
        <v>389</v>
      </c>
      <c r="B14" s="467" t="s">
        <v>345</v>
      </c>
      <c r="C14" s="467" t="s">
        <v>346</v>
      </c>
      <c r="D14" s="467" t="s">
        <v>353</v>
      </c>
      <c r="E14" s="467" t="s">
        <v>354</v>
      </c>
      <c r="F14" s="450"/>
      <c r="G14" s="450"/>
      <c r="H14" s="450"/>
      <c r="I14" s="450"/>
      <c r="J14" s="450">
        <v>3</v>
      </c>
      <c r="K14" s="450">
        <v>1554</v>
      </c>
      <c r="L14" s="450"/>
      <c r="M14" s="450">
        <v>518</v>
      </c>
      <c r="N14" s="450"/>
      <c r="O14" s="450"/>
      <c r="P14" s="468"/>
      <c r="Q14" s="469"/>
    </row>
    <row r="15" spans="1:17" ht="14.4" customHeight="1" x14ac:dyDescent="0.3">
      <c r="A15" s="449" t="s">
        <v>389</v>
      </c>
      <c r="B15" s="467" t="s">
        <v>345</v>
      </c>
      <c r="C15" s="467" t="s">
        <v>346</v>
      </c>
      <c r="D15" s="467" t="s">
        <v>361</v>
      </c>
      <c r="E15" s="467" t="s">
        <v>362</v>
      </c>
      <c r="F15" s="450"/>
      <c r="G15" s="450"/>
      <c r="H15" s="450"/>
      <c r="I15" s="450"/>
      <c r="J15" s="450">
        <v>0</v>
      </c>
      <c r="K15" s="450">
        <v>0</v>
      </c>
      <c r="L15" s="450"/>
      <c r="M15" s="450"/>
      <c r="N15" s="450"/>
      <c r="O15" s="450"/>
      <c r="P15" s="468"/>
      <c r="Q15" s="469"/>
    </row>
    <row r="16" spans="1:17" ht="14.4" customHeight="1" x14ac:dyDescent="0.3">
      <c r="A16" s="449" t="s">
        <v>390</v>
      </c>
      <c r="B16" s="467" t="s">
        <v>345</v>
      </c>
      <c r="C16" s="467" t="s">
        <v>346</v>
      </c>
      <c r="D16" s="467" t="s">
        <v>353</v>
      </c>
      <c r="E16" s="467" t="s">
        <v>354</v>
      </c>
      <c r="F16" s="450"/>
      <c r="G16" s="450"/>
      <c r="H16" s="450"/>
      <c r="I16" s="450"/>
      <c r="J16" s="450"/>
      <c r="K16" s="450"/>
      <c r="L16" s="450"/>
      <c r="M16" s="450"/>
      <c r="N16" s="450">
        <v>1</v>
      </c>
      <c r="O16" s="450">
        <v>553</v>
      </c>
      <c r="P16" s="468"/>
      <c r="Q16" s="469">
        <v>553</v>
      </c>
    </row>
    <row r="17" spans="1:17" ht="14.4" customHeight="1" x14ac:dyDescent="0.3">
      <c r="A17" s="449" t="s">
        <v>391</v>
      </c>
      <c r="B17" s="467" t="s">
        <v>345</v>
      </c>
      <c r="C17" s="467" t="s">
        <v>346</v>
      </c>
      <c r="D17" s="467" t="s">
        <v>353</v>
      </c>
      <c r="E17" s="467" t="s">
        <v>354</v>
      </c>
      <c r="F17" s="450">
        <v>23</v>
      </c>
      <c r="G17" s="450">
        <v>11868</v>
      </c>
      <c r="H17" s="450">
        <v>1</v>
      </c>
      <c r="I17" s="450">
        <v>516</v>
      </c>
      <c r="J17" s="450">
        <v>21</v>
      </c>
      <c r="K17" s="450">
        <v>10878</v>
      </c>
      <c r="L17" s="450">
        <v>0.91658240647118305</v>
      </c>
      <c r="M17" s="450">
        <v>518</v>
      </c>
      <c r="N17" s="450">
        <v>38</v>
      </c>
      <c r="O17" s="450">
        <v>21014</v>
      </c>
      <c r="P17" s="468">
        <v>1.7706437478934951</v>
      </c>
      <c r="Q17" s="469">
        <v>553</v>
      </c>
    </row>
    <row r="18" spans="1:17" ht="14.4" customHeight="1" x14ac:dyDescent="0.3">
      <c r="A18" s="449" t="s">
        <v>391</v>
      </c>
      <c r="B18" s="467" t="s">
        <v>345</v>
      </c>
      <c r="C18" s="467" t="s">
        <v>346</v>
      </c>
      <c r="D18" s="467" t="s">
        <v>357</v>
      </c>
      <c r="E18" s="467" t="s">
        <v>358</v>
      </c>
      <c r="F18" s="450"/>
      <c r="G18" s="450"/>
      <c r="H18" s="450"/>
      <c r="I18" s="450"/>
      <c r="J18" s="450">
        <v>3</v>
      </c>
      <c r="K18" s="450">
        <v>100</v>
      </c>
      <c r="L18" s="450"/>
      <c r="M18" s="450">
        <v>33.333333333333336</v>
      </c>
      <c r="N18" s="450">
        <v>3</v>
      </c>
      <c r="O18" s="450">
        <v>100</v>
      </c>
      <c r="P18" s="468"/>
      <c r="Q18" s="469">
        <v>33.333333333333336</v>
      </c>
    </row>
    <row r="19" spans="1:17" ht="14.4" customHeight="1" x14ac:dyDescent="0.3">
      <c r="A19" s="449" t="s">
        <v>391</v>
      </c>
      <c r="B19" s="467" t="s">
        <v>345</v>
      </c>
      <c r="C19" s="467" t="s">
        <v>346</v>
      </c>
      <c r="D19" s="467" t="s">
        <v>361</v>
      </c>
      <c r="E19" s="467" t="s">
        <v>362</v>
      </c>
      <c r="F19" s="450">
        <v>9</v>
      </c>
      <c r="G19" s="450">
        <v>3132</v>
      </c>
      <c r="H19" s="450">
        <v>1</v>
      </c>
      <c r="I19" s="450">
        <v>348</v>
      </c>
      <c r="J19" s="450">
        <v>5</v>
      </c>
      <c r="K19" s="450">
        <v>1750</v>
      </c>
      <c r="L19" s="450">
        <v>0.55874840357598976</v>
      </c>
      <c r="M19" s="450">
        <v>350</v>
      </c>
      <c r="N19" s="450">
        <v>9</v>
      </c>
      <c r="O19" s="450">
        <v>3348</v>
      </c>
      <c r="P19" s="468">
        <v>1.0689655172413792</v>
      </c>
      <c r="Q19" s="469">
        <v>372</v>
      </c>
    </row>
    <row r="20" spans="1:17" ht="14.4" customHeight="1" x14ac:dyDescent="0.3">
      <c r="A20" s="449" t="s">
        <v>391</v>
      </c>
      <c r="B20" s="467" t="s">
        <v>345</v>
      </c>
      <c r="C20" s="467" t="s">
        <v>346</v>
      </c>
      <c r="D20" s="467" t="s">
        <v>365</v>
      </c>
      <c r="E20" s="467" t="s">
        <v>366</v>
      </c>
      <c r="F20" s="450"/>
      <c r="G20" s="450"/>
      <c r="H20" s="450"/>
      <c r="I20" s="450"/>
      <c r="J20" s="450"/>
      <c r="K20" s="450"/>
      <c r="L20" s="450"/>
      <c r="M20" s="450"/>
      <c r="N20" s="450">
        <v>0</v>
      </c>
      <c r="O20" s="450">
        <v>0</v>
      </c>
      <c r="P20" s="468"/>
      <c r="Q20" s="469"/>
    </row>
    <row r="21" spans="1:17" ht="14.4" customHeight="1" x14ac:dyDescent="0.3">
      <c r="A21" s="449" t="s">
        <v>392</v>
      </c>
      <c r="B21" s="467" t="s">
        <v>345</v>
      </c>
      <c r="C21" s="467" t="s">
        <v>346</v>
      </c>
      <c r="D21" s="467" t="s">
        <v>357</v>
      </c>
      <c r="E21" s="467" t="s">
        <v>358</v>
      </c>
      <c r="F21" s="450"/>
      <c r="G21" s="450"/>
      <c r="H21" s="450"/>
      <c r="I21" s="450"/>
      <c r="J21" s="450">
        <v>0</v>
      </c>
      <c r="K21" s="450">
        <v>0</v>
      </c>
      <c r="L21" s="450"/>
      <c r="M21" s="450"/>
      <c r="N21" s="450"/>
      <c r="O21" s="450"/>
      <c r="P21" s="468"/>
      <c r="Q21" s="469"/>
    </row>
    <row r="22" spans="1:17" ht="14.4" customHeight="1" x14ac:dyDescent="0.3">
      <c r="A22" s="449" t="s">
        <v>392</v>
      </c>
      <c r="B22" s="467" t="s">
        <v>345</v>
      </c>
      <c r="C22" s="467" t="s">
        <v>346</v>
      </c>
      <c r="D22" s="467" t="s">
        <v>361</v>
      </c>
      <c r="E22" s="467" t="s">
        <v>362</v>
      </c>
      <c r="F22" s="450"/>
      <c r="G22" s="450"/>
      <c r="H22" s="450"/>
      <c r="I22" s="450"/>
      <c r="J22" s="450">
        <v>1</v>
      </c>
      <c r="K22" s="450">
        <v>350</v>
      </c>
      <c r="L22" s="450"/>
      <c r="M22" s="450">
        <v>350</v>
      </c>
      <c r="N22" s="450"/>
      <c r="O22" s="450"/>
      <c r="P22" s="468"/>
      <c r="Q22" s="469"/>
    </row>
    <row r="23" spans="1:17" ht="14.4" customHeight="1" x14ac:dyDescent="0.3">
      <c r="A23" s="449" t="s">
        <v>393</v>
      </c>
      <c r="B23" s="467" t="s">
        <v>345</v>
      </c>
      <c r="C23" s="467" t="s">
        <v>346</v>
      </c>
      <c r="D23" s="467" t="s">
        <v>353</v>
      </c>
      <c r="E23" s="467" t="s">
        <v>354</v>
      </c>
      <c r="F23" s="450"/>
      <c r="G23" s="450"/>
      <c r="H23" s="450"/>
      <c r="I23" s="450"/>
      <c r="J23" s="450">
        <v>8</v>
      </c>
      <c r="K23" s="450">
        <v>4144</v>
      </c>
      <c r="L23" s="450"/>
      <c r="M23" s="450">
        <v>518</v>
      </c>
      <c r="N23" s="450"/>
      <c r="O23" s="450"/>
      <c r="P23" s="468"/>
      <c r="Q23" s="469"/>
    </row>
    <row r="24" spans="1:17" ht="14.4" customHeight="1" x14ac:dyDescent="0.3">
      <c r="A24" s="449" t="s">
        <v>393</v>
      </c>
      <c r="B24" s="467" t="s">
        <v>345</v>
      </c>
      <c r="C24" s="467" t="s">
        <v>346</v>
      </c>
      <c r="D24" s="467" t="s">
        <v>357</v>
      </c>
      <c r="E24" s="467" t="s">
        <v>358</v>
      </c>
      <c r="F24" s="450"/>
      <c r="G24" s="450"/>
      <c r="H24" s="450"/>
      <c r="I24" s="450"/>
      <c r="J24" s="450">
        <v>1</v>
      </c>
      <c r="K24" s="450">
        <v>0</v>
      </c>
      <c r="L24" s="450"/>
      <c r="M24" s="450">
        <v>0</v>
      </c>
      <c r="N24" s="450"/>
      <c r="O24" s="450"/>
      <c r="P24" s="468"/>
      <c r="Q24" s="469"/>
    </row>
    <row r="25" spans="1:17" ht="14.4" customHeight="1" x14ac:dyDescent="0.3">
      <c r="A25" s="449" t="s">
        <v>393</v>
      </c>
      <c r="B25" s="467" t="s">
        <v>345</v>
      </c>
      <c r="C25" s="467" t="s">
        <v>346</v>
      </c>
      <c r="D25" s="467" t="s">
        <v>361</v>
      </c>
      <c r="E25" s="467" t="s">
        <v>362</v>
      </c>
      <c r="F25" s="450"/>
      <c r="G25" s="450"/>
      <c r="H25" s="450"/>
      <c r="I25" s="450"/>
      <c r="J25" s="450">
        <v>1</v>
      </c>
      <c r="K25" s="450">
        <v>350</v>
      </c>
      <c r="L25" s="450"/>
      <c r="M25" s="450">
        <v>350</v>
      </c>
      <c r="N25" s="450"/>
      <c r="O25" s="450"/>
      <c r="P25" s="468"/>
      <c r="Q25" s="469"/>
    </row>
    <row r="26" spans="1:17" ht="14.4" customHeight="1" x14ac:dyDescent="0.3">
      <c r="A26" s="449" t="s">
        <v>394</v>
      </c>
      <c r="B26" s="467" t="s">
        <v>345</v>
      </c>
      <c r="C26" s="467" t="s">
        <v>346</v>
      </c>
      <c r="D26" s="467" t="s">
        <v>353</v>
      </c>
      <c r="E26" s="467" t="s">
        <v>354</v>
      </c>
      <c r="F26" s="450"/>
      <c r="G26" s="450"/>
      <c r="H26" s="450"/>
      <c r="I26" s="450"/>
      <c r="J26" s="450"/>
      <c r="K26" s="450"/>
      <c r="L26" s="450"/>
      <c r="M26" s="450"/>
      <c r="N26" s="450">
        <v>4</v>
      </c>
      <c r="O26" s="450">
        <v>2212</v>
      </c>
      <c r="P26" s="468"/>
      <c r="Q26" s="469">
        <v>553</v>
      </c>
    </row>
    <row r="27" spans="1:17" ht="14.4" customHeight="1" x14ac:dyDescent="0.3">
      <c r="A27" s="449" t="s">
        <v>394</v>
      </c>
      <c r="B27" s="467" t="s">
        <v>345</v>
      </c>
      <c r="C27" s="467" t="s">
        <v>346</v>
      </c>
      <c r="D27" s="467" t="s">
        <v>357</v>
      </c>
      <c r="E27" s="467" t="s">
        <v>358</v>
      </c>
      <c r="F27" s="450"/>
      <c r="G27" s="450"/>
      <c r="H27" s="450"/>
      <c r="I27" s="450"/>
      <c r="J27" s="450"/>
      <c r="K27" s="450"/>
      <c r="L27" s="450"/>
      <c r="M27" s="450"/>
      <c r="N27" s="450">
        <v>1</v>
      </c>
      <c r="O27" s="450">
        <v>33.33</v>
      </c>
      <c r="P27" s="468"/>
      <c r="Q27" s="469">
        <v>33.33</v>
      </c>
    </row>
    <row r="28" spans="1:17" ht="14.4" customHeight="1" x14ac:dyDescent="0.3">
      <c r="A28" s="449" t="s">
        <v>394</v>
      </c>
      <c r="B28" s="467" t="s">
        <v>345</v>
      </c>
      <c r="C28" s="467" t="s">
        <v>346</v>
      </c>
      <c r="D28" s="467" t="s">
        <v>361</v>
      </c>
      <c r="E28" s="467" t="s">
        <v>362</v>
      </c>
      <c r="F28" s="450"/>
      <c r="G28" s="450"/>
      <c r="H28" s="450"/>
      <c r="I28" s="450"/>
      <c r="J28" s="450"/>
      <c r="K28" s="450"/>
      <c r="L28" s="450"/>
      <c r="M28" s="450"/>
      <c r="N28" s="450">
        <v>1</v>
      </c>
      <c r="O28" s="450">
        <v>372</v>
      </c>
      <c r="P28" s="468"/>
      <c r="Q28" s="469">
        <v>372</v>
      </c>
    </row>
    <row r="29" spans="1:17" ht="14.4" customHeight="1" x14ac:dyDescent="0.3">
      <c r="A29" s="449" t="s">
        <v>395</v>
      </c>
      <c r="B29" s="467" t="s">
        <v>345</v>
      </c>
      <c r="C29" s="467" t="s">
        <v>346</v>
      </c>
      <c r="D29" s="467" t="s">
        <v>353</v>
      </c>
      <c r="E29" s="467" t="s">
        <v>354</v>
      </c>
      <c r="F29" s="450"/>
      <c r="G29" s="450"/>
      <c r="H29" s="450"/>
      <c r="I29" s="450"/>
      <c r="J29" s="450"/>
      <c r="K29" s="450"/>
      <c r="L29" s="450"/>
      <c r="M29" s="450"/>
      <c r="N29" s="450">
        <v>3</v>
      </c>
      <c r="O29" s="450">
        <v>1659</v>
      </c>
      <c r="P29" s="468"/>
      <c r="Q29" s="469">
        <v>553</v>
      </c>
    </row>
    <row r="30" spans="1:17" ht="14.4" customHeight="1" x14ac:dyDescent="0.3">
      <c r="A30" s="449" t="s">
        <v>395</v>
      </c>
      <c r="B30" s="467" t="s">
        <v>345</v>
      </c>
      <c r="C30" s="467" t="s">
        <v>346</v>
      </c>
      <c r="D30" s="467" t="s">
        <v>361</v>
      </c>
      <c r="E30" s="467" t="s">
        <v>362</v>
      </c>
      <c r="F30" s="450"/>
      <c r="G30" s="450"/>
      <c r="H30" s="450"/>
      <c r="I30" s="450"/>
      <c r="J30" s="450"/>
      <c r="K30" s="450"/>
      <c r="L30" s="450"/>
      <c r="M30" s="450"/>
      <c r="N30" s="450">
        <v>1</v>
      </c>
      <c r="O30" s="450">
        <v>372</v>
      </c>
      <c r="P30" s="468"/>
      <c r="Q30" s="469">
        <v>372</v>
      </c>
    </row>
    <row r="31" spans="1:17" ht="14.4" customHeight="1" x14ac:dyDescent="0.3">
      <c r="A31" s="449" t="s">
        <v>396</v>
      </c>
      <c r="B31" s="467" t="s">
        <v>345</v>
      </c>
      <c r="C31" s="467" t="s">
        <v>346</v>
      </c>
      <c r="D31" s="467" t="s">
        <v>349</v>
      </c>
      <c r="E31" s="467" t="s">
        <v>350</v>
      </c>
      <c r="F31" s="450"/>
      <c r="G31" s="450"/>
      <c r="H31" s="450"/>
      <c r="I31" s="450"/>
      <c r="J31" s="450">
        <v>1</v>
      </c>
      <c r="K31" s="450">
        <v>133</v>
      </c>
      <c r="L31" s="450"/>
      <c r="M31" s="450">
        <v>133</v>
      </c>
      <c r="N31" s="450"/>
      <c r="O31" s="450"/>
      <c r="P31" s="468"/>
      <c r="Q31" s="469"/>
    </row>
    <row r="32" spans="1:17" ht="14.4" customHeight="1" x14ac:dyDescent="0.3">
      <c r="A32" s="449" t="s">
        <v>396</v>
      </c>
      <c r="B32" s="467" t="s">
        <v>345</v>
      </c>
      <c r="C32" s="467" t="s">
        <v>346</v>
      </c>
      <c r="D32" s="467" t="s">
        <v>353</v>
      </c>
      <c r="E32" s="467" t="s">
        <v>354</v>
      </c>
      <c r="F32" s="450">
        <v>473</v>
      </c>
      <c r="G32" s="450">
        <v>243568</v>
      </c>
      <c r="H32" s="450">
        <v>1</v>
      </c>
      <c r="I32" s="450">
        <v>514.94291754756875</v>
      </c>
      <c r="J32" s="450">
        <v>954</v>
      </c>
      <c r="K32" s="450">
        <v>494172</v>
      </c>
      <c r="L32" s="450">
        <v>2.0288872101425475</v>
      </c>
      <c r="M32" s="450">
        <v>518</v>
      </c>
      <c r="N32" s="450">
        <v>792</v>
      </c>
      <c r="O32" s="450">
        <v>437976</v>
      </c>
      <c r="P32" s="468">
        <v>1.7981672469289891</v>
      </c>
      <c r="Q32" s="469">
        <v>553</v>
      </c>
    </row>
    <row r="33" spans="1:17" ht="14.4" customHeight="1" x14ac:dyDescent="0.3">
      <c r="A33" s="449" t="s">
        <v>396</v>
      </c>
      <c r="B33" s="467" t="s">
        <v>345</v>
      </c>
      <c r="C33" s="467" t="s">
        <v>346</v>
      </c>
      <c r="D33" s="467" t="s">
        <v>357</v>
      </c>
      <c r="E33" s="467" t="s">
        <v>358</v>
      </c>
      <c r="F33" s="450"/>
      <c r="G33" s="450"/>
      <c r="H33" s="450"/>
      <c r="I33" s="450"/>
      <c r="J33" s="450">
        <v>86</v>
      </c>
      <c r="K33" s="450">
        <v>1799.9999999999998</v>
      </c>
      <c r="L33" s="450"/>
      <c r="M33" s="450">
        <v>20.930232558139533</v>
      </c>
      <c r="N33" s="450">
        <v>31</v>
      </c>
      <c r="O33" s="450">
        <v>1033.33</v>
      </c>
      <c r="P33" s="468"/>
      <c r="Q33" s="469">
        <v>33.333225806451608</v>
      </c>
    </row>
    <row r="34" spans="1:17" ht="14.4" customHeight="1" x14ac:dyDescent="0.3">
      <c r="A34" s="449" t="s">
        <v>396</v>
      </c>
      <c r="B34" s="467" t="s">
        <v>345</v>
      </c>
      <c r="C34" s="467" t="s">
        <v>346</v>
      </c>
      <c r="D34" s="467" t="s">
        <v>361</v>
      </c>
      <c r="E34" s="467" t="s">
        <v>362</v>
      </c>
      <c r="F34" s="450">
        <v>74</v>
      </c>
      <c r="G34" s="450">
        <v>25698</v>
      </c>
      <c r="H34" s="450">
        <v>1</v>
      </c>
      <c r="I34" s="450">
        <v>347.27027027027026</v>
      </c>
      <c r="J34" s="450">
        <v>155</v>
      </c>
      <c r="K34" s="450">
        <v>54250</v>
      </c>
      <c r="L34" s="450">
        <v>2.1110592263989414</v>
      </c>
      <c r="M34" s="450">
        <v>350</v>
      </c>
      <c r="N34" s="450">
        <v>155</v>
      </c>
      <c r="O34" s="450">
        <v>57660</v>
      </c>
      <c r="P34" s="468">
        <v>2.2437543777725892</v>
      </c>
      <c r="Q34" s="469">
        <v>372</v>
      </c>
    </row>
    <row r="35" spans="1:17" ht="14.4" customHeight="1" x14ac:dyDescent="0.3">
      <c r="A35" s="449" t="s">
        <v>396</v>
      </c>
      <c r="B35" s="467" t="s">
        <v>345</v>
      </c>
      <c r="C35" s="467" t="s">
        <v>346</v>
      </c>
      <c r="D35" s="467" t="s">
        <v>365</v>
      </c>
      <c r="E35" s="467" t="s">
        <v>366</v>
      </c>
      <c r="F35" s="450">
        <v>25</v>
      </c>
      <c r="G35" s="450">
        <v>6591</v>
      </c>
      <c r="H35" s="450">
        <v>1</v>
      </c>
      <c r="I35" s="450">
        <v>263.64</v>
      </c>
      <c r="J35" s="450">
        <v>27</v>
      </c>
      <c r="K35" s="450">
        <v>7155</v>
      </c>
      <c r="L35" s="450">
        <v>1.0855712335002277</v>
      </c>
      <c r="M35" s="450">
        <v>265</v>
      </c>
      <c r="N35" s="450">
        <v>35</v>
      </c>
      <c r="O35" s="450">
        <v>9870</v>
      </c>
      <c r="P35" s="468">
        <v>1.4974965862539826</v>
      </c>
      <c r="Q35" s="469">
        <v>282</v>
      </c>
    </row>
    <row r="36" spans="1:17" ht="14.4" customHeight="1" x14ac:dyDescent="0.3">
      <c r="A36" s="449" t="s">
        <v>397</v>
      </c>
      <c r="B36" s="467" t="s">
        <v>345</v>
      </c>
      <c r="C36" s="467" t="s">
        <v>346</v>
      </c>
      <c r="D36" s="467" t="s">
        <v>353</v>
      </c>
      <c r="E36" s="467" t="s">
        <v>354</v>
      </c>
      <c r="F36" s="450"/>
      <c r="G36" s="450"/>
      <c r="H36" s="450"/>
      <c r="I36" s="450"/>
      <c r="J36" s="450">
        <v>3</v>
      </c>
      <c r="K36" s="450">
        <v>1554</v>
      </c>
      <c r="L36" s="450"/>
      <c r="M36" s="450">
        <v>518</v>
      </c>
      <c r="N36" s="450"/>
      <c r="O36" s="450"/>
      <c r="P36" s="468"/>
      <c r="Q36" s="469"/>
    </row>
    <row r="37" spans="1:17" ht="14.4" customHeight="1" x14ac:dyDescent="0.3">
      <c r="A37" s="449" t="s">
        <v>398</v>
      </c>
      <c r="B37" s="467" t="s">
        <v>345</v>
      </c>
      <c r="C37" s="467" t="s">
        <v>346</v>
      </c>
      <c r="D37" s="467" t="s">
        <v>353</v>
      </c>
      <c r="E37" s="467" t="s">
        <v>354</v>
      </c>
      <c r="F37" s="450">
        <v>10</v>
      </c>
      <c r="G37" s="450">
        <v>5128</v>
      </c>
      <c r="H37" s="450">
        <v>1</v>
      </c>
      <c r="I37" s="450">
        <v>512.79999999999995</v>
      </c>
      <c r="J37" s="450">
        <v>5</v>
      </c>
      <c r="K37" s="450">
        <v>2590</v>
      </c>
      <c r="L37" s="450">
        <v>0.50507020280811232</v>
      </c>
      <c r="M37" s="450">
        <v>518</v>
      </c>
      <c r="N37" s="450">
        <v>4</v>
      </c>
      <c r="O37" s="450">
        <v>2212</v>
      </c>
      <c r="P37" s="468">
        <v>0.43135725429017163</v>
      </c>
      <c r="Q37" s="469">
        <v>553</v>
      </c>
    </row>
    <row r="38" spans="1:17" ht="14.4" customHeight="1" x14ac:dyDescent="0.3">
      <c r="A38" s="449" t="s">
        <v>398</v>
      </c>
      <c r="B38" s="467" t="s">
        <v>345</v>
      </c>
      <c r="C38" s="467" t="s">
        <v>346</v>
      </c>
      <c r="D38" s="467" t="s">
        <v>357</v>
      </c>
      <c r="E38" s="467" t="s">
        <v>358</v>
      </c>
      <c r="F38" s="450"/>
      <c r="G38" s="450"/>
      <c r="H38" s="450"/>
      <c r="I38" s="450"/>
      <c r="J38" s="450">
        <v>2</v>
      </c>
      <c r="K38" s="450">
        <v>0</v>
      </c>
      <c r="L38" s="450"/>
      <c r="M38" s="450">
        <v>0</v>
      </c>
      <c r="N38" s="450"/>
      <c r="O38" s="450"/>
      <c r="P38" s="468"/>
      <c r="Q38" s="469"/>
    </row>
    <row r="39" spans="1:17" ht="14.4" customHeight="1" x14ac:dyDescent="0.3">
      <c r="A39" s="449" t="s">
        <v>398</v>
      </c>
      <c r="B39" s="467" t="s">
        <v>345</v>
      </c>
      <c r="C39" s="467" t="s">
        <v>346</v>
      </c>
      <c r="D39" s="467" t="s">
        <v>361</v>
      </c>
      <c r="E39" s="467" t="s">
        <v>362</v>
      </c>
      <c r="F39" s="450"/>
      <c r="G39" s="450"/>
      <c r="H39" s="450"/>
      <c r="I39" s="450"/>
      <c r="J39" s="450">
        <v>1</v>
      </c>
      <c r="K39" s="450">
        <v>350</v>
      </c>
      <c r="L39" s="450"/>
      <c r="M39" s="450">
        <v>350</v>
      </c>
      <c r="N39" s="450">
        <v>1</v>
      </c>
      <c r="O39" s="450">
        <v>372</v>
      </c>
      <c r="P39" s="468"/>
      <c r="Q39" s="469">
        <v>372</v>
      </c>
    </row>
    <row r="40" spans="1:17" ht="14.4" customHeight="1" x14ac:dyDescent="0.3">
      <c r="A40" s="449" t="s">
        <v>398</v>
      </c>
      <c r="B40" s="467" t="s">
        <v>345</v>
      </c>
      <c r="C40" s="467" t="s">
        <v>346</v>
      </c>
      <c r="D40" s="467" t="s">
        <v>365</v>
      </c>
      <c r="E40" s="467" t="s">
        <v>366</v>
      </c>
      <c r="F40" s="450">
        <v>1</v>
      </c>
      <c r="G40" s="450">
        <v>261</v>
      </c>
      <c r="H40" s="450">
        <v>1</v>
      </c>
      <c r="I40" s="450">
        <v>261</v>
      </c>
      <c r="J40" s="450">
        <v>1</v>
      </c>
      <c r="K40" s="450">
        <v>265</v>
      </c>
      <c r="L40" s="450">
        <v>1.0153256704980842</v>
      </c>
      <c r="M40" s="450">
        <v>265</v>
      </c>
      <c r="N40" s="450"/>
      <c r="O40" s="450"/>
      <c r="P40" s="468"/>
      <c r="Q40" s="469"/>
    </row>
    <row r="41" spans="1:17" ht="14.4" customHeight="1" x14ac:dyDescent="0.3">
      <c r="A41" s="449" t="s">
        <v>399</v>
      </c>
      <c r="B41" s="467" t="s">
        <v>345</v>
      </c>
      <c r="C41" s="467" t="s">
        <v>346</v>
      </c>
      <c r="D41" s="467" t="s">
        <v>349</v>
      </c>
      <c r="E41" s="467" t="s">
        <v>350</v>
      </c>
      <c r="F41" s="450">
        <v>2</v>
      </c>
      <c r="G41" s="450">
        <v>263</v>
      </c>
      <c r="H41" s="450">
        <v>1</v>
      </c>
      <c r="I41" s="450">
        <v>131.5</v>
      </c>
      <c r="J41" s="450">
        <v>6</v>
      </c>
      <c r="K41" s="450">
        <v>798</v>
      </c>
      <c r="L41" s="450">
        <v>3.0342205323193916</v>
      </c>
      <c r="M41" s="450">
        <v>133</v>
      </c>
      <c r="N41" s="450">
        <v>1</v>
      </c>
      <c r="O41" s="450">
        <v>141</v>
      </c>
      <c r="P41" s="468">
        <v>0.53612167300380231</v>
      </c>
      <c r="Q41" s="469">
        <v>141</v>
      </c>
    </row>
    <row r="42" spans="1:17" ht="14.4" customHeight="1" x14ac:dyDescent="0.3">
      <c r="A42" s="449" t="s">
        <v>399</v>
      </c>
      <c r="B42" s="467" t="s">
        <v>345</v>
      </c>
      <c r="C42" s="467" t="s">
        <v>346</v>
      </c>
      <c r="D42" s="467" t="s">
        <v>353</v>
      </c>
      <c r="E42" s="467" t="s">
        <v>354</v>
      </c>
      <c r="F42" s="450">
        <v>378</v>
      </c>
      <c r="G42" s="450">
        <v>194776</v>
      </c>
      <c r="H42" s="450">
        <v>1</v>
      </c>
      <c r="I42" s="450">
        <v>515.28042328042329</v>
      </c>
      <c r="J42" s="450">
        <v>555</v>
      </c>
      <c r="K42" s="450">
        <v>287490</v>
      </c>
      <c r="L42" s="450">
        <v>1.4760032036801249</v>
      </c>
      <c r="M42" s="450">
        <v>518</v>
      </c>
      <c r="N42" s="450">
        <v>642</v>
      </c>
      <c r="O42" s="450">
        <v>355026</v>
      </c>
      <c r="P42" s="468">
        <v>1.8227399679631988</v>
      </c>
      <c r="Q42" s="469">
        <v>553</v>
      </c>
    </row>
    <row r="43" spans="1:17" ht="14.4" customHeight="1" x14ac:dyDescent="0.3">
      <c r="A43" s="449" t="s">
        <v>399</v>
      </c>
      <c r="B43" s="467" t="s">
        <v>345</v>
      </c>
      <c r="C43" s="467" t="s">
        <v>346</v>
      </c>
      <c r="D43" s="467" t="s">
        <v>357</v>
      </c>
      <c r="E43" s="467" t="s">
        <v>358</v>
      </c>
      <c r="F43" s="450"/>
      <c r="G43" s="450"/>
      <c r="H43" s="450"/>
      <c r="I43" s="450"/>
      <c r="J43" s="450">
        <v>3</v>
      </c>
      <c r="K43" s="450">
        <v>66.66</v>
      </c>
      <c r="L43" s="450"/>
      <c r="M43" s="450">
        <v>22.22</v>
      </c>
      <c r="N43" s="450">
        <v>3</v>
      </c>
      <c r="O43" s="450">
        <v>100</v>
      </c>
      <c r="P43" s="468"/>
      <c r="Q43" s="469">
        <v>33.333333333333336</v>
      </c>
    </row>
    <row r="44" spans="1:17" ht="14.4" customHeight="1" x14ac:dyDescent="0.3">
      <c r="A44" s="449" t="s">
        <v>399</v>
      </c>
      <c r="B44" s="467" t="s">
        <v>345</v>
      </c>
      <c r="C44" s="467" t="s">
        <v>346</v>
      </c>
      <c r="D44" s="467" t="s">
        <v>361</v>
      </c>
      <c r="E44" s="467" t="s">
        <v>362</v>
      </c>
      <c r="F44" s="450">
        <v>5</v>
      </c>
      <c r="G44" s="450">
        <v>1740</v>
      </c>
      <c r="H44" s="450">
        <v>1</v>
      </c>
      <c r="I44" s="450">
        <v>348</v>
      </c>
      <c r="J44" s="450">
        <v>6</v>
      </c>
      <c r="K44" s="450">
        <v>2100</v>
      </c>
      <c r="L44" s="450">
        <v>1.2068965517241379</v>
      </c>
      <c r="M44" s="450">
        <v>350</v>
      </c>
      <c r="N44" s="450">
        <v>6</v>
      </c>
      <c r="O44" s="450">
        <v>2232</v>
      </c>
      <c r="P44" s="468">
        <v>1.2827586206896551</v>
      </c>
      <c r="Q44" s="469">
        <v>372</v>
      </c>
    </row>
    <row r="45" spans="1:17" ht="14.4" customHeight="1" x14ac:dyDescent="0.3">
      <c r="A45" s="449" t="s">
        <v>399</v>
      </c>
      <c r="B45" s="467" t="s">
        <v>345</v>
      </c>
      <c r="C45" s="467" t="s">
        <v>346</v>
      </c>
      <c r="D45" s="467" t="s">
        <v>365</v>
      </c>
      <c r="E45" s="467" t="s">
        <v>366</v>
      </c>
      <c r="F45" s="450">
        <v>6</v>
      </c>
      <c r="G45" s="450">
        <v>1584</v>
      </c>
      <c r="H45" s="450">
        <v>1</v>
      </c>
      <c r="I45" s="450">
        <v>264</v>
      </c>
      <c r="J45" s="450">
        <v>6</v>
      </c>
      <c r="K45" s="450">
        <v>1590</v>
      </c>
      <c r="L45" s="450">
        <v>1.0037878787878789</v>
      </c>
      <c r="M45" s="450">
        <v>265</v>
      </c>
      <c r="N45" s="450">
        <v>6</v>
      </c>
      <c r="O45" s="450">
        <v>1692</v>
      </c>
      <c r="P45" s="468">
        <v>1.0681818181818181</v>
      </c>
      <c r="Q45" s="469">
        <v>282</v>
      </c>
    </row>
    <row r="46" spans="1:17" ht="14.4" customHeight="1" x14ac:dyDescent="0.3">
      <c r="A46" s="449" t="s">
        <v>400</v>
      </c>
      <c r="B46" s="467" t="s">
        <v>345</v>
      </c>
      <c r="C46" s="467" t="s">
        <v>346</v>
      </c>
      <c r="D46" s="467" t="s">
        <v>349</v>
      </c>
      <c r="E46" s="467" t="s">
        <v>350</v>
      </c>
      <c r="F46" s="450">
        <v>1</v>
      </c>
      <c r="G46" s="450">
        <v>132</v>
      </c>
      <c r="H46" s="450">
        <v>1</v>
      </c>
      <c r="I46" s="450">
        <v>132</v>
      </c>
      <c r="J46" s="450">
        <v>3</v>
      </c>
      <c r="K46" s="450">
        <v>399</v>
      </c>
      <c r="L46" s="450">
        <v>3.0227272727272729</v>
      </c>
      <c r="M46" s="450">
        <v>133</v>
      </c>
      <c r="N46" s="450">
        <v>8</v>
      </c>
      <c r="O46" s="450">
        <v>1128</v>
      </c>
      <c r="P46" s="468">
        <v>8.545454545454545</v>
      </c>
      <c r="Q46" s="469">
        <v>141</v>
      </c>
    </row>
    <row r="47" spans="1:17" ht="14.4" customHeight="1" x14ac:dyDescent="0.3">
      <c r="A47" s="449" t="s">
        <v>400</v>
      </c>
      <c r="B47" s="467" t="s">
        <v>345</v>
      </c>
      <c r="C47" s="467" t="s">
        <v>346</v>
      </c>
      <c r="D47" s="467" t="s">
        <v>353</v>
      </c>
      <c r="E47" s="467" t="s">
        <v>354</v>
      </c>
      <c r="F47" s="450">
        <v>374</v>
      </c>
      <c r="G47" s="450">
        <v>192496</v>
      </c>
      <c r="H47" s="450">
        <v>1</v>
      </c>
      <c r="I47" s="450">
        <v>514.69518716577545</v>
      </c>
      <c r="J47" s="450">
        <v>423</v>
      </c>
      <c r="K47" s="450">
        <v>219114</v>
      </c>
      <c r="L47" s="450">
        <v>1.1382781979885297</v>
      </c>
      <c r="M47" s="450">
        <v>518</v>
      </c>
      <c r="N47" s="450">
        <v>518</v>
      </c>
      <c r="O47" s="450">
        <v>286454</v>
      </c>
      <c r="P47" s="468">
        <v>1.4881036489069903</v>
      </c>
      <c r="Q47" s="469">
        <v>553</v>
      </c>
    </row>
    <row r="48" spans="1:17" ht="14.4" customHeight="1" x14ac:dyDescent="0.3">
      <c r="A48" s="449" t="s">
        <v>400</v>
      </c>
      <c r="B48" s="467" t="s">
        <v>345</v>
      </c>
      <c r="C48" s="467" t="s">
        <v>346</v>
      </c>
      <c r="D48" s="467" t="s">
        <v>357</v>
      </c>
      <c r="E48" s="467" t="s">
        <v>358</v>
      </c>
      <c r="F48" s="450"/>
      <c r="G48" s="450"/>
      <c r="H48" s="450"/>
      <c r="I48" s="450"/>
      <c r="J48" s="450">
        <v>9</v>
      </c>
      <c r="K48" s="450">
        <v>33.33</v>
      </c>
      <c r="L48" s="450"/>
      <c r="M48" s="450">
        <v>3.7033333333333331</v>
      </c>
      <c r="N48" s="450">
        <v>6</v>
      </c>
      <c r="O48" s="450">
        <v>200</v>
      </c>
      <c r="P48" s="468"/>
      <c r="Q48" s="469">
        <v>33.333333333333336</v>
      </c>
    </row>
    <row r="49" spans="1:17" ht="14.4" customHeight="1" x14ac:dyDescent="0.3">
      <c r="A49" s="449" t="s">
        <v>400</v>
      </c>
      <c r="B49" s="467" t="s">
        <v>345</v>
      </c>
      <c r="C49" s="467" t="s">
        <v>346</v>
      </c>
      <c r="D49" s="467" t="s">
        <v>361</v>
      </c>
      <c r="E49" s="467" t="s">
        <v>362</v>
      </c>
      <c r="F49" s="450">
        <v>6</v>
      </c>
      <c r="G49" s="450">
        <v>2085</v>
      </c>
      <c r="H49" s="450">
        <v>1</v>
      </c>
      <c r="I49" s="450">
        <v>347.5</v>
      </c>
      <c r="J49" s="450">
        <v>7</v>
      </c>
      <c r="K49" s="450">
        <v>2450</v>
      </c>
      <c r="L49" s="450">
        <v>1.1750599520383693</v>
      </c>
      <c r="M49" s="450">
        <v>350</v>
      </c>
      <c r="N49" s="450">
        <v>5</v>
      </c>
      <c r="O49" s="450">
        <v>1860</v>
      </c>
      <c r="P49" s="468">
        <v>0.8920863309352518</v>
      </c>
      <c r="Q49" s="469">
        <v>372</v>
      </c>
    </row>
    <row r="50" spans="1:17" ht="14.4" customHeight="1" x14ac:dyDescent="0.3">
      <c r="A50" s="449" t="s">
        <v>400</v>
      </c>
      <c r="B50" s="467" t="s">
        <v>345</v>
      </c>
      <c r="C50" s="467" t="s">
        <v>346</v>
      </c>
      <c r="D50" s="467" t="s">
        <v>365</v>
      </c>
      <c r="E50" s="467" t="s">
        <v>366</v>
      </c>
      <c r="F50" s="450">
        <v>3</v>
      </c>
      <c r="G50" s="450">
        <v>789</v>
      </c>
      <c r="H50" s="450">
        <v>1</v>
      </c>
      <c r="I50" s="450">
        <v>263</v>
      </c>
      <c r="J50" s="450">
        <v>3</v>
      </c>
      <c r="K50" s="450">
        <v>795</v>
      </c>
      <c r="L50" s="450">
        <v>1.0076045627376427</v>
      </c>
      <c r="M50" s="450">
        <v>265</v>
      </c>
      <c r="N50" s="450">
        <v>4</v>
      </c>
      <c r="O50" s="450">
        <v>1128</v>
      </c>
      <c r="P50" s="468">
        <v>1.4296577946768061</v>
      </c>
      <c r="Q50" s="469">
        <v>282</v>
      </c>
    </row>
    <row r="51" spans="1:17" ht="14.4" customHeight="1" x14ac:dyDescent="0.3">
      <c r="A51" s="449" t="s">
        <v>401</v>
      </c>
      <c r="B51" s="467" t="s">
        <v>345</v>
      </c>
      <c r="C51" s="467" t="s">
        <v>346</v>
      </c>
      <c r="D51" s="467" t="s">
        <v>353</v>
      </c>
      <c r="E51" s="467" t="s">
        <v>354</v>
      </c>
      <c r="F51" s="450">
        <v>21</v>
      </c>
      <c r="G51" s="450">
        <v>10764</v>
      </c>
      <c r="H51" s="450">
        <v>1</v>
      </c>
      <c r="I51" s="450">
        <v>512.57142857142856</v>
      </c>
      <c r="J51" s="450"/>
      <c r="K51" s="450"/>
      <c r="L51" s="450"/>
      <c r="M51" s="450"/>
      <c r="N51" s="450">
        <v>20</v>
      </c>
      <c r="O51" s="450">
        <v>11060</v>
      </c>
      <c r="P51" s="468">
        <v>1.027499070977332</v>
      </c>
      <c r="Q51" s="469">
        <v>553</v>
      </c>
    </row>
    <row r="52" spans="1:17" ht="14.4" customHeight="1" x14ac:dyDescent="0.3">
      <c r="A52" s="449" t="s">
        <v>401</v>
      </c>
      <c r="B52" s="467" t="s">
        <v>345</v>
      </c>
      <c r="C52" s="467" t="s">
        <v>346</v>
      </c>
      <c r="D52" s="467" t="s">
        <v>361</v>
      </c>
      <c r="E52" s="467" t="s">
        <v>362</v>
      </c>
      <c r="F52" s="450">
        <v>1</v>
      </c>
      <c r="G52" s="450">
        <v>345</v>
      </c>
      <c r="H52" s="450">
        <v>1</v>
      </c>
      <c r="I52" s="450">
        <v>345</v>
      </c>
      <c r="J52" s="450"/>
      <c r="K52" s="450"/>
      <c r="L52" s="450"/>
      <c r="M52" s="450"/>
      <c r="N52" s="450">
        <v>2</v>
      </c>
      <c r="O52" s="450">
        <v>744</v>
      </c>
      <c r="P52" s="468">
        <v>2.1565217391304348</v>
      </c>
      <c r="Q52" s="469">
        <v>372</v>
      </c>
    </row>
    <row r="53" spans="1:17" ht="14.4" customHeight="1" x14ac:dyDescent="0.3">
      <c r="A53" s="449" t="s">
        <v>402</v>
      </c>
      <c r="B53" s="467" t="s">
        <v>345</v>
      </c>
      <c r="C53" s="467" t="s">
        <v>346</v>
      </c>
      <c r="D53" s="467" t="s">
        <v>353</v>
      </c>
      <c r="E53" s="467" t="s">
        <v>354</v>
      </c>
      <c r="F53" s="450">
        <v>4</v>
      </c>
      <c r="G53" s="450">
        <v>2064</v>
      </c>
      <c r="H53" s="450">
        <v>1</v>
      </c>
      <c r="I53" s="450">
        <v>516</v>
      </c>
      <c r="J53" s="450">
        <v>9</v>
      </c>
      <c r="K53" s="450">
        <v>4662</v>
      </c>
      <c r="L53" s="450">
        <v>2.2587209302325579</v>
      </c>
      <c r="M53" s="450">
        <v>518</v>
      </c>
      <c r="N53" s="450">
        <v>10</v>
      </c>
      <c r="O53" s="450">
        <v>5530</v>
      </c>
      <c r="P53" s="468">
        <v>2.679263565891473</v>
      </c>
      <c r="Q53" s="469">
        <v>553</v>
      </c>
    </row>
    <row r="54" spans="1:17" ht="14.4" customHeight="1" x14ac:dyDescent="0.3">
      <c r="A54" s="449" t="s">
        <v>402</v>
      </c>
      <c r="B54" s="467" t="s">
        <v>345</v>
      </c>
      <c r="C54" s="467" t="s">
        <v>346</v>
      </c>
      <c r="D54" s="467" t="s">
        <v>357</v>
      </c>
      <c r="E54" s="467" t="s">
        <v>358</v>
      </c>
      <c r="F54" s="450"/>
      <c r="G54" s="450"/>
      <c r="H54" s="450"/>
      <c r="I54" s="450"/>
      <c r="J54" s="450">
        <v>1</v>
      </c>
      <c r="K54" s="450">
        <v>33.33</v>
      </c>
      <c r="L54" s="450"/>
      <c r="M54" s="450">
        <v>33.33</v>
      </c>
      <c r="N54" s="450">
        <v>1</v>
      </c>
      <c r="O54" s="450">
        <v>33.33</v>
      </c>
      <c r="P54" s="468"/>
      <c r="Q54" s="469">
        <v>33.33</v>
      </c>
    </row>
    <row r="55" spans="1:17" ht="14.4" customHeight="1" x14ac:dyDescent="0.3">
      <c r="A55" s="449" t="s">
        <v>402</v>
      </c>
      <c r="B55" s="467" t="s">
        <v>345</v>
      </c>
      <c r="C55" s="467" t="s">
        <v>346</v>
      </c>
      <c r="D55" s="467" t="s">
        <v>361</v>
      </c>
      <c r="E55" s="467" t="s">
        <v>362</v>
      </c>
      <c r="F55" s="450">
        <v>1</v>
      </c>
      <c r="G55" s="450">
        <v>348</v>
      </c>
      <c r="H55" s="450">
        <v>1</v>
      </c>
      <c r="I55" s="450">
        <v>348</v>
      </c>
      <c r="J55" s="450">
        <v>2</v>
      </c>
      <c r="K55" s="450">
        <v>700</v>
      </c>
      <c r="L55" s="450">
        <v>2.0114942528735633</v>
      </c>
      <c r="M55" s="450">
        <v>350</v>
      </c>
      <c r="N55" s="450">
        <v>1</v>
      </c>
      <c r="O55" s="450">
        <v>372</v>
      </c>
      <c r="P55" s="468">
        <v>1.0689655172413792</v>
      </c>
      <c r="Q55" s="469">
        <v>372</v>
      </c>
    </row>
    <row r="56" spans="1:17" ht="14.4" customHeight="1" thickBot="1" x14ac:dyDescent="0.35">
      <c r="A56" s="409" t="s">
        <v>403</v>
      </c>
      <c r="B56" s="410" t="s">
        <v>345</v>
      </c>
      <c r="C56" s="410" t="s">
        <v>346</v>
      </c>
      <c r="D56" s="410" t="s">
        <v>353</v>
      </c>
      <c r="E56" s="410" t="s">
        <v>354</v>
      </c>
      <c r="F56" s="387"/>
      <c r="G56" s="387"/>
      <c r="H56" s="387"/>
      <c r="I56" s="387"/>
      <c r="J56" s="387">
        <v>1</v>
      </c>
      <c r="K56" s="387">
        <v>518</v>
      </c>
      <c r="L56" s="387"/>
      <c r="M56" s="387">
        <v>518</v>
      </c>
      <c r="N56" s="387"/>
      <c r="O56" s="387"/>
      <c r="P56" s="388"/>
      <c r="Q56" s="39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8" t="s">
        <v>100</v>
      </c>
      <c r="B1" s="278"/>
      <c r="C1" s="279"/>
      <c r="D1" s="279"/>
      <c r="E1" s="279"/>
    </row>
    <row r="2" spans="1:5" ht="14.4" customHeight="1" thickBot="1" x14ac:dyDescent="0.35">
      <c r="A2" s="202" t="s">
        <v>207</v>
      </c>
      <c r="B2" s="125"/>
    </row>
    <row r="3" spans="1:5" ht="14.4" customHeight="1" thickBot="1" x14ac:dyDescent="0.35">
      <c r="A3" s="128"/>
      <c r="C3" s="129" t="s">
        <v>89</v>
      </c>
      <c r="D3" s="130" t="s">
        <v>55</v>
      </c>
      <c r="E3" s="131" t="s">
        <v>57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2886.180907793183</v>
      </c>
      <c r="D4" s="134">
        <f ca="1">IF(ISERROR(VLOOKUP("Náklady celkem",INDIRECT("HI!$A:$G"),5,0)),0,VLOOKUP("Náklady celkem",INDIRECT("HI!$A:$G"),5,0))</f>
        <v>2859.2175599999996</v>
      </c>
      <c r="E4" s="135">
        <f ca="1">IF(C4=0,0,D4/C4)</f>
        <v>0.99065777626053253</v>
      </c>
    </row>
    <row r="5" spans="1:5" ht="14.4" customHeight="1" x14ac:dyDescent="0.3">
      <c r="A5" s="136" t="s">
        <v>115</v>
      </c>
      <c r="B5" s="137"/>
      <c r="C5" s="138"/>
      <c r="D5" s="138"/>
      <c r="E5" s="139"/>
    </row>
    <row r="6" spans="1:5" ht="14.4" customHeight="1" x14ac:dyDescent="0.3">
      <c r="A6" s="140" t="s">
        <v>120</v>
      </c>
      <c r="B6" s="141"/>
      <c r="C6" s="142"/>
      <c r="D6" s="142"/>
      <c r="E6" s="139"/>
    </row>
    <row r="7" spans="1:5" ht="14.4" customHeight="1" x14ac:dyDescent="0.3">
      <c r="A7" s="26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93</v>
      </c>
      <c r="C7" s="142">
        <f>IF(ISERROR(HI!F5),"",HI!F5)</f>
        <v>0.28215002547166668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65" t="str">
        <f>HYPERLINK("#'LŽ Statim'!A1","Podíl statimových žádanek (max. 30%)")</f>
        <v>Podíl statimových žádanek (max. 30%)</v>
      </c>
      <c r="B8" s="263" t="s">
        <v>176</v>
      </c>
      <c r="C8" s="264">
        <v>0.3</v>
      </c>
      <c r="D8" s="264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116</v>
      </c>
      <c r="B9" s="141"/>
      <c r="C9" s="142"/>
      <c r="D9" s="142"/>
      <c r="E9" s="139"/>
    </row>
    <row r="10" spans="1:5" ht="14.4" customHeight="1" x14ac:dyDescent="0.3">
      <c r="A10" s="144" t="s">
        <v>117</v>
      </c>
      <c r="B10" s="141"/>
      <c r="C10" s="142"/>
      <c r="D10" s="142"/>
      <c r="E10" s="139"/>
    </row>
    <row r="11" spans="1:5" ht="14.4" customHeight="1" x14ac:dyDescent="0.3">
      <c r="A11" s="145" t="s">
        <v>121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93</v>
      </c>
      <c r="C12" s="142">
        <f>IF(ISERROR(HI!F6),"",HI!F6)</f>
        <v>0.24113335510249997</v>
      </c>
      <c r="D12" s="142">
        <f>IF(ISERROR(HI!E6),"",HI!E6)</f>
        <v>0.16800000000000001</v>
      </c>
      <c r="E12" s="139">
        <f t="shared" si="0"/>
        <v>0.69670991774898694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2715.8335785173913</v>
      </c>
      <c r="D13" s="138">
        <f ca="1">IF(ISERROR(VLOOKUP("Osobní náklady (Kč) *",INDIRECT("HI!$A:$G"),5,0)),0,VLOOKUP("Osobní náklady (Kč) *",INDIRECT("HI!$A:$G"),5,0))</f>
        <v>2689.3991999999998</v>
      </c>
      <c r="E13" s="139">
        <f ca="1">IF(C13=0,0,D13/C13)</f>
        <v>0.99026656908343313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635.31600000000003</v>
      </c>
      <c r="D15" s="157">
        <f ca="1">IF(ISERROR(VLOOKUP("Výnosy celkem",INDIRECT("HI!$A:$G"),5,0)),0,VLOOKUP("Výnosy celkem",INDIRECT("HI!$A:$G"),5,0))</f>
        <v>569.20766999999989</v>
      </c>
      <c r="E15" s="158">
        <f t="shared" ref="E15:E18" ca="1" si="1">IF(C15=0,0,D15/C15)</f>
        <v>0.89594417581172181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635.31600000000003</v>
      </c>
      <c r="D16" s="138">
        <f ca="1">IF(ISERROR(VLOOKUP("Ambulance *",INDIRECT("HI!$A:$G"),5,0)),0,VLOOKUP("Ambulance *",INDIRECT("HI!$A:$G"),5,0))</f>
        <v>569.20766999999989</v>
      </c>
      <c r="E16" s="139">
        <f t="shared" ca="1" si="1"/>
        <v>0.89594417581172181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102</v>
      </c>
      <c r="C17" s="143">
        <v>1</v>
      </c>
      <c r="D17" s="143">
        <f>IF(ISERROR(VLOOKUP("Celkem:",'ZV Vykáz.-A'!$A:$S,7,0)),"",VLOOKUP("Celkem:",'ZV Vykáz.-A'!$A:$S,7,0))</f>
        <v>0.89594417581172192</v>
      </c>
      <c r="E17" s="139">
        <f t="shared" si="1"/>
        <v>0.89594417581172192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104</v>
      </c>
      <c r="C18" s="143">
        <v>0.85</v>
      </c>
      <c r="D18" s="143">
        <f>IF(ISERROR(VLOOKUP("Celkem:",'ZV Vykáz.-H'!$A:$S,7,0)),"",VLOOKUP("Celkem:",'ZV Vykáz.-H'!$A:$S,7,0))</f>
        <v>1.7077444823078618</v>
      </c>
      <c r="E18" s="139">
        <f t="shared" si="1"/>
        <v>2.0091111556563082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118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119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6" priority="20" operator="lessThan">
      <formula>1</formula>
    </cfRule>
  </conditionalFormatting>
  <conditionalFormatting sqref="E8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78" t="s">
        <v>109</v>
      </c>
      <c r="B1" s="278"/>
      <c r="C1" s="278"/>
      <c r="D1" s="278"/>
      <c r="E1" s="278"/>
      <c r="F1" s="278"/>
      <c r="G1" s="279"/>
      <c r="H1" s="279"/>
    </row>
    <row r="2" spans="1:8" ht="14.4" customHeight="1" thickBot="1" x14ac:dyDescent="0.35">
      <c r="A2" s="202" t="s">
        <v>207</v>
      </c>
      <c r="B2" s="86"/>
      <c r="C2" s="86"/>
      <c r="D2" s="86"/>
      <c r="E2" s="86"/>
      <c r="F2" s="86"/>
    </row>
    <row r="3" spans="1:8" ht="14.4" customHeight="1" x14ac:dyDescent="0.3">
      <c r="A3" s="280"/>
      <c r="B3" s="82">
        <v>2014</v>
      </c>
      <c r="C3" s="40">
        <v>2015</v>
      </c>
      <c r="D3" s="7"/>
      <c r="E3" s="284">
        <v>2016</v>
      </c>
      <c r="F3" s="285"/>
      <c r="G3" s="285"/>
      <c r="H3" s="286"/>
    </row>
    <row r="4" spans="1:8" ht="14.4" customHeight="1" thickBot="1" x14ac:dyDescent="0.35">
      <c r="A4" s="281"/>
      <c r="B4" s="282" t="s">
        <v>55</v>
      </c>
      <c r="C4" s="283"/>
      <c r="D4" s="7"/>
      <c r="E4" s="103" t="s">
        <v>55</v>
      </c>
      <c r="F4" s="84" t="s">
        <v>56</v>
      </c>
      <c r="G4" s="84" t="s">
        <v>50</v>
      </c>
      <c r="H4" s="85" t="s">
        <v>57</v>
      </c>
    </row>
    <row r="5" spans="1:8" ht="14.4" customHeight="1" x14ac:dyDescent="0.3">
      <c r="A5" s="87" t="str">
        <f>HYPERLINK("#'Léky Žádanky'!A1","Léky (Kč)")</f>
        <v>Léky (Kč)</v>
      </c>
      <c r="B5" s="27">
        <v>0</v>
      </c>
      <c r="C5" s="29">
        <v>0.33857999999999999</v>
      </c>
      <c r="D5" s="8"/>
      <c r="E5" s="92">
        <v>0</v>
      </c>
      <c r="F5" s="28">
        <v>0.28215002547166668</v>
      </c>
      <c r="G5" s="91">
        <f>E5-F5</f>
        <v>-0.28215002547166668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0</v>
      </c>
      <c r="C6" s="31">
        <v>1.01122</v>
      </c>
      <c r="D6" s="8"/>
      <c r="E6" s="93">
        <v>0.16800000000000001</v>
      </c>
      <c r="F6" s="30">
        <v>0.24113335510249997</v>
      </c>
      <c r="G6" s="94">
        <f>E6-F6</f>
        <v>-7.3133355102499964E-2</v>
      </c>
      <c r="H6" s="98">
        <f>IF(F6&lt;0.00000001,"",E6/F6)</f>
        <v>0.69670991774898694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2183.1039700000006</v>
      </c>
      <c r="C7" s="31">
        <v>2696.3835600000011</v>
      </c>
      <c r="D7" s="8"/>
      <c r="E7" s="93">
        <v>2689.3991999999998</v>
      </c>
      <c r="F7" s="30">
        <v>2715.8335785173913</v>
      </c>
      <c r="G7" s="94">
        <f>E7-F7</f>
        <v>-26.434378517391451</v>
      </c>
      <c r="H7" s="98">
        <f>IF(F7&lt;0.00000001,"",E7/F7)</f>
        <v>0.99026656908343313</v>
      </c>
    </row>
    <row r="8" spans="1:8" ht="14.4" customHeight="1" thickBot="1" x14ac:dyDescent="0.35">
      <c r="A8" s="1" t="s">
        <v>58</v>
      </c>
      <c r="B8" s="11">
        <v>192.48467000000073</v>
      </c>
      <c r="C8" s="33">
        <v>190.54182000000031</v>
      </c>
      <c r="D8" s="8"/>
      <c r="E8" s="95">
        <v>169.65035999999975</v>
      </c>
      <c r="F8" s="32">
        <v>169.82404589521752</v>
      </c>
      <c r="G8" s="96">
        <f>E8-F8</f>
        <v>-0.17368589521777267</v>
      </c>
      <c r="H8" s="99">
        <f>IF(F8&lt;0.00000001,"",E8/F8)</f>
        <v>0.99897725970252216</v>
      </c>
    </row>
    <row r="9" spans="1:8" ht="14.4" customHeight="1" thickBot="1" x14ac:dyDescent="0.35">
      <c r="A9" s="2" t="s">
        <v>59</v>
      </c>
      <c r="B9" s="3">
        <v>2375.5886400000013</v>
      </c>
      <c r="C9" s="35">
        <v>2888.2751800000015</v>
      </c>
      <c r="D9" s="8"/>
      <c r="E9" s="3">
        <v>2859.2175599999996</v>
      </c>
      <c r="F9" s="34">
        <v>2886.180907793183</v>
      </c>
      <c r="G9" s="34">
        <f>E9-F9</f>
        <v>-26.963347793183402</v>
      </c>
      <c r="H9" s="100">
        <f>IF(F9&lt;0.00000001,"",E9/F9)</f>
        <v>0.99065777626053253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635.31600000000003</v>
      </c>
      <c r="C11" s="29">
        <f>IF(ISERROR(VLOOKUP("Celkem:",'ZV Vykáz.-A'!A:F,4,0)),0,VLOOKUP("Celkem:",'ZV Vykáz.-A'!A:F,4,0)/1000)</f>
        <v>657.56200000000001</v>
      </c>
      <c r="D11" s="8"/>
      <c r="E11" s="92">
        <f>IF(ISERROR(VLOOKUP("Celkem:",'ZV Vykáz.-A'!A:F,6,0)),0,VLOOKUP("Celkem:",'ZV Vykáz.-A'!A:F,6,0)/1000)</f>
        <v>569.20766999999989</v>
      </c>
      <c r="F11" s="28">
        <f>B11</f>
        <v>635.31600000000003</v>
      </c>
      <c r="G11" s="91">
        <f>E11-F11</f>
        <v>-66.108330000000137</v>
      </c>
      <c r="H11" s="97">
        <f>IF(F11&lt;0.00000001,"",E11/F11)</f>
        <v>0.89594417581172181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62</v>
      </c>
      <c r="B13" s="5">
        <f>SUM(B11:B12)</f>
        <v>635.31600000000003</v>
      </c>
      <c r="C13" s="37">
        <f>SUM(C11:C12)</f>
        <v>657.56200000000001</v>
      </c>
      <c r="D13" s="8"/>
      <c r="E13" s="5">
        <f>SUM(E11:E12)</f>
        <v>569.20766999999989</v>
      </c>
      <c r="F13" s="36">
        <f>SUM(F11:F12)</f>
        <v>635.31600000000003</v>
      </c>
      <c r="G13" s="36">
        <f>E13-F13</f>
        <v>-66.108330000000137</v>
      </c>
      <c r="H13" s="101">
        <f>IF(F13&lt;0.00000001,"",E13/F13)</f>
        <v>0.89594417581172181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0.26743519029456198</v>
      </c>
      <c r="C15" s="39">
        <f>IF(C9=0,"",C13/C9)</f>
        <v>0.2276659802200702</v>
      </c>
      <c r="D15" s="8"/>
      <c r="E15" s="6">
        <f>IF(E9=0,"",E13/E9)</f>
        <v>0.19907812471604994</v>
      </c>
      <c r="F15" s="38">
        <f>IF(F9=0,"",F13/F9)</f>
        <v>0.22012341578607841</v>
      </c>
      <c r="G15" s="38">
        <f>IF(ISERROR(F15-E15),"",E15-F15)</f>
        <v>-2.1045291070028477E-2</v>
      </c>
      <c r="H15" s="102">
        <f>IF(ISERROR(F15-E15),"",IF(F15&lt;0.00000001,"",E15/F15))</f>
        <v>0.90439321961784913</v>
      </c>
    </row>
    <row r="17" spans="1:8" ht="14.4" customHeight="1" x14ac:dyDescent="0.3">
      <c r="A17" s="88" t="s">
        <v>123</v>
      </c>
    </row>
    <row r="18" spans="1:8" ht="14.4" customHeight="1" x14ac:dyDescent="0.3">
      <c r="A18" s="241" t="s">
        <v>153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152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89" t="s">
        <v>177</v>
      </c>
    </row>
    <row r="21" spans="1:8" ht="14.4" customHeight="1" x14ac:dyDescent="0.3">
      <c r="A21" s="89" t="s">
        <v>124</v>
      </c>
    </row>
    <row r="22" spans="1:8" ht="14.4" customHeight="1" x14ac:dyDescent="0.3">
      <c r="A22" s="90" t="s">
        <v>206</v>
      </c>
    </row>
    <row r="23" spans="1:8" ht="14.4" customHeight="1" x14ac:dyDescent="0.3">
      <c r="A23" s="90" t="s">
        <v>125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78" t="s">
        <v>86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14.4" customHeight="1" x14ac:dyDescent="0.3">
      <c r="A2" s="202" t="s">
        <v>207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64</v>
      </c>
      <c r="C3" s="173" t="s">
        <v>65</v>
      </c>
      <c r="D3" s="173" t="s">
        <v>66</v>
      </c>
      <c r="E3" s="172" t="s">
        <v>67</v>
      </c>
      <c r="F3" s="173" t="s">
        <v>68</v>
      </c>
      <c r="G3" s="173" t="s">
        <v>69</v>
      </c>
      <c r="H3" s="173" t="s">
        <v>70</v>
      </c>
      <c r="I3" s="173" t="s">
        <v>71</v>
      </c>
      <c r="J3" s="173" t="s">
        <v>72</v>
      </c>
      <c r="K3" s="173" t="s">
        <v>73</v>
      </c>
      <c r="L3" s="173" t="s">
        <v>74</v>
      </c>
      <c r="M3" s="173" t="s">
        <v>75</v>
      </c>
    </row>
    <row r="4" spans="1:13" ht="14.4" customHeight="1" x14ac:dyDescent="0.3">
      <c r="A4" s="171" t="s">
        <v>63</v>
      </c>
      <c r="B4" s="174">
        <f>(B10+B8)/B6</f>
        <v>0.19360538290798482</v>
      </c>
      <c r="C4" s="174">
        <f t="shared" ref="C4:M4" si="0">(C10+C8)/C6</f>
        <v>0.19521907273863118</v>
      </c>
      <c r="D4" s="174">
        <f t="shared" si="0"/>
        <v>0.22937460564271384</v>
      </c>
      <c r="E4" s="174">
        <f t="shared" si="0"/>
        <v>0.25411935384055934</v>
      </c>
      <c r="F4" s="174">
        <f t="shared" si="0"/>
        <v>0.26687455791100251</v>
      </c>
      <c r="G4" s="174">
        <f t="shared" si="0"/>
        <v>0.26453837165946326</v>
      </c>
      <c r="H4" s="174">
        <f t="shared" si="0"/>
        <v>0.23657070400694266</v>
      </c>
      <c r="I4" s="174">
        <f t="shared" si="0"/>
        <v>0.22070661094792812</v>
      </c>
      <c r="J4" s="174">
        <f t="shared" si="0"/>
        <v>0.21963762520699401</v>
      </c>
      <c r="K4" s="174">
        <f t="shared" si="0"/>
        <v>0.19907811072620862</v>
      </c>
      <c r="L4" s="174">
        <f t="shared" si="0"/>
        <v>0.19907811072620862</v>
      </c>
      <c r="M4" s="174">
        <f t="shared" si="0"/>
        <v>0.19907811072620862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265.13549999999998</v>
      </c>
      <c r="C5" s="174">
        <f>IF(ISERROR(VLOOKUP($A5,'Man Tab'!$A:$Q,COLUMN()+2,0)),0,VLOOKUP($A5,'Man Tab'!$A:$Q,COLUMN()+2,0))</f>
        <v>288.12662999999998</v>
      </c>
      <c r="D5" s="174">
        <f>IF(ISERROR(VLOOKUP($A5,'Man Tab'!$A:$Q,COLUMN()+2,0)),0,VLOOKUP($A5,'Man Tab'!$A:$Q,COLUMN()+2,0))</f>
        <v>287.78991000000002</v>
      </c>
      <c r="E5" s="174">
        <f>IF(ISERROR(VLOOKUP($A5,'Man Tab'!$A:$Q,COLUMN()+2,0)),0,VLOOKUP($A5,'Man Tab'!$A:$Q,COLUMN()+2,0))</f>
        <v>285.87106</v>
      </c>
      <c r="F5" s="174">
        <f>IF(ISERROR(VLOOKUP($A5,'Man Tab'!$A:$Q,COLUMN()+2,0)),0,VLOOKUP($A5,'Man Tab'!$A:$Q,COLUMN()+2,0))</f>
        <v>280.1748</v>
      </c>
      <c r="G5" s="174">
        <f>IF(ISERROR(VLOOKUP($A5,'Man Tab'!$A:$Q,COLUMN()+2,0)),0,VLOOKUP($A5,'Man Tab'!$A:$Q,COLUMN()+2,0))</f>
        <v>226.05508</v>
      </c>
      <c r="H5" s="174">
        <f>IF(ISERROR(VLOOKUP($A5,'Man Tab'!$A:$Q,COLUMN()+2,0)),0,VLOOKUP($A5,'Man Tab'!$A:$Q,COLUMN()+2,0))</f>
        <v>377.18173999999999</v>
      </c>
      <c r="I5" s="174">
        <f>IF(ISERROR(VLOOKUP($A5,'Man Tab'!$A:$Q,COLUMN()+2,0)),0,VLOOKUP($A5,'Man Tab'!$A:$Q,COLUMN()+2,0))</f>
        <v>283.13668000000001</v>
      </c>
      <c r="J5" s="174">
        <f>IF(ISERROR(VLOOKUP($A5,'Man Tab'!$A:$Q,COLUMN()+2,0)),0,VLOOKUP($A5,'Man Tab'!$A:$Q,COLUMN()+2,0))</f>
        <v>280.48025999999999</v>
      </c>
      <c r="K5" s="174">
        <f>IF(ISERROR(VLOOKUP($A5,'Man Tab'!$A:$Q,COLUMN()+2,0)),0,VLOOKUP($A5,'Man Tab'!$A:$Q,COLUMN()+2,0))</f>
        <v>285.26589999999999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59</v>
      </c>
      <c r="B6" s="176">
        <f>B5</f>
        <v>265.13549999999998</v>
      </c>
      <c r="C6" s="176">
        <f t="shared" ref="C6:M6" si="1">C5+B6</f>
        <v>553.26212999999996</v>
      </c>
      <c r="D6" s="176">
        <f t="shared" si="1"/>
        <v>841.05204000000003</v>
      </c>
      <c r="E6" s="176">
        <f t="shared" si="1"/>
        <v>1126.9231</v>
      </c>
      <c r="F6" s="176">
        <f t="shared" si="1"/>
        <v>1407.0979</v>
      </c>
      <c r="G6" s="176">
        <f t="shared" si="1"/>
        <v>1633.1529800000001</v>
      </c>
      <c r="H6" s="176">
        <f t="shared" si="1"/>
        <v>2010.3347200000001</v>
      </c>
      <c r="I6" s="176">
        <f t="shared" si="1"/>
        <v>2293.4713999999999</v>
      </c>
      <c r="J6" s="176">
        <f t="shared" si="1"/>
        <v>2573.9516599999997</v>
      </c>
      <c r="K6" s="176">
        <f t="shared" si="1"/>
        <v>2859.2175599999996</v>
      </c>
      <c r="L6" s="176">
        <f t="shared" si="1"/>
        <v>2859.2175599999996</v>
      </c>
      <c r="M6" s="176">
        <f t="shared" si="1"/>
        <v>2859.2175599999996</v>
      </c>
    </row>
    <row r="7" spans="1:13" ht="14.4" customHeight="1" x14ac:dyDescent="0.3">
      <c r="A7" s="175" t="s">
        <v>84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60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85</v>
      </c>
      <c r="B9" s="175">
        <v>51331.66</v>
      </c>
      <c r="C9" s="175">
        <v>56675.66</v>
      </c>
      <c r="D9" s="175">
        <v>84908.66</v>
      </c>
      <c r="E9" s="175">
        <v>93456.99</v>
      </c>
      <c r="F9" s="175">
        <v>89145.66</v>
      </c>
      <c r="G9" s="175">
        <v>56513</v>
      </c>
      <c r="H9" s="175">
        <v>43554.67</v>
      </c>
      <c r="I9" s="175">
        <v>30598</v>
      </c>
      <c r="J9" s="175">
        <v>59152.33</v>
      </c>
      <c r="K9" s="175">
        <v>3871</v>
      </c>
      <c r="L9" s="175">
        <v>0</v>
      </c>
      <c r="M9" s="175">
        <v>0</v>
      </c>
    </row>
    <row r="10" spans="1:13" ht="14.4" customHeight="1" x14ac:dyDescent="0.3">
      <c r="A10" s="175" t="s">
        <v>61</v>
      </c>
      <c r="B10" s="176">
        <f>B9/1000</f>
        <v>51.331660000000007</v>
      </c>
      <c r="C10" s="176">
        <f t="shared" ref="C10:M10" si="3">C9/1000+B10</f>
        <v>108.00732000000001</v>
      </c>
      <c r="D10" s="176">
        <f t="shared" si="3"/>
        <v>192.91597999999999</v>
      </c>
      <c r="E10" s="176">
        <f t="shared" si="3"/>
        <v>286.37297000000001</v>
      </c>
      <c r="F10" s="176">
        <f t="shared" si="3"/>
        <v>375.51863000000003</v>
      </c>
      <c r="G10" s="176">
        <f t="shared" si="3"/>
        <v>432.03163000000001</v>
      </c>
      <c r="H10" s="176">
        <f t="shared" si="3"/>
        <v>475.58629999999999</v>
      </c>
      <c r="I10" s="176">
        <f t="shared" si="3"/>
        <v>506.18430000000001</v>
      </c>
      <c r="J10" s="176">
        <f t="shared" si="3"/>
        <v>565.33663000000001</v>
      </c>
      <c r="K10" s="176">
        <f t="shared" si="3"/>
        <v>569.20762999999999</v>
      </c>
      <c r="L10" s="176">
        <f t="shared" si="3"/>
        <v>569.20762999999999</v>
      </c>
      <c r="M10" s="176">
        <f t="shared" si="3"/>
        <v>569.20762999999999</v>
      </c>
    </row>
    <row r="11" spans="1:13" ht="14.4" customHeight="1" x14ac:dyDescent="0.3">
      <c r="A11" s="171"/>
      <c r="B11" s="171" t="s">
        <v>76</v>
      </c>
      <c r="C11" s="171">
        <f ca="1">IF(MONTH(TODAY())=1,12,MONTH(TODAY())-1)</f>
        <v>10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0.22012341578607841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0.22012341578607841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287" t="s">
        <v>209</v>
      </c>
      <c r="B1" s="287"/>
      <c r="C1" s="287"/>
      <c r="D1" s="287"/>
      <c r="E1" s="287"/>
      <c r="F1" s="287"/>
      <c r="G1" s="287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s="177" customFormat="1" ht="14.4" customHeight="1" thickBot="1" x14ac:dyDescent="0.3">
      <c r="A2" s="202" t="s">
        <v>207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8" t="s">
        <v>11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13"/>
      <c r="Q3" s="115"/>
    </row>
    <row r="4" spans="1:17" ht="14.4" customHeight="1" x14ac:dyDescent="0.3">
      <c r="A4" s="61"/>
      <c r="B4" s="20">
        <v>2016</v>
      </c>
      <c r="C4" s="114" t="s">
        <v>12</v>
      </c>
      <c r="D4" s="104" t="s">
        <v>186</v>
      </c>
      <c r="E4" s="104" t="s">
        <v>187</v>
      </c>
      <c r="F4" s="104" t="s">
        <v>188</v>
      </c>
      <c r="G4" s="104" t="s">
        <v>189</v>
      </c>
      <c r="H4" s="104" t="s">
        <v>190</v>
      </c>
      <c r="I4" s="104" t="s">
        <v>191</v>
      </c>
      <c r="J4" s="104" t="s">
        <v>192</v>
      </c>
      <c r="K4" s="104" t="s">
        <v>193</v>
      </c>
      <c r="L4" s="104" t="s">
        <v>194</v>
      </c>
      <c r="M4" s="104" t="s">
        <v>195</v>
      </c>
      <c r="N4" s="104" t="s">
        <v>196</v>
      </c>
      <c r="O4" s="104" t="s">
        <v>197</v>
      </c>
      <c r="P4" s="290" t="s">
        <v>3</v>
      </c>
      <c r="Q4" s="291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208</v>
      </c>
    </row>
    <row r="7" spans="1:17" ht="14.4" customHeight="1" x14ac:dyDescent="0.3">
      <c r="A7" s="15" t="s">
        <v>17</v>
      </c>
      <c r="B7" s="46">
        <v>0.338580030566</v>
      </c>
      <c r="C7" s="47">
        <v>2.8215002547E-2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208</v>
      </c>
    </row>
    <row r="9" spans="1:17" ht="14.4" customHeight="1" x14ac:dyDescent="0.3">
      <c r="A9" s="15" t="s">
        <v>19</v>
      </c>
      <c r="B9" s="46">
        <v>0.28936002612299999</v>
      </c>
      <c r="C9" s="47">
        <v>2.411333551E-2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0.16800000000000001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0.16800000000000001</v>
      </c>
      <c r="Q9" s="71">
        <v>0.69670991774799995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208</v>
      </c>
    </row>
    <row r="11" spans="1:17" ht="14.4" customHeight="1" x14ac:dyDescent="0.3">
      <c r="A11" s="15" t="s">
        <v>21</v>
      </c>
      <c r="B11" s="46">
        <v>9.8668176663189993</v>
      </c>
      <c r="C11" s="47">
        <v>0.82223480552600003</v>
      </c>
      <c r="D11" s="47">
        <v>2.0853999999999999</v>
      </c>
      <c r="E11" s="47">
        <v>1.57389</v>
      </c>
      <c r="F11" s="47">
        <v>0.30249999999999999</v>
      </c>
      <c r="G11" s="47">
        <v>0</v>
      </c>
      <c r="H11" s="47">
        <v>0</v>
      </c>
      <c r="I11" s="47">
        <v>0</v>
      </c>
      <c r="J11" s="47">
        <v>2.5530599999999999</v>
      </c>
      <c r="K11" s="47">
        <v>0</v>
      </c>
      <c r="L11" s="47">
        <v>0.30249999999999999</v>
      </c>
      <c r="M11" s="47">
        <v>1.89018</v>
      </c>
      <c r="N11" s="47">
        <v>0</v>
      </c>
      <c r="O11" s="47">
        <v>0</v>
      </c>
      <c r="P11" s="48">
        <v>8.7075300000000002</v>
      </c>
      <c r="Q11" s="71">
        <v>1.059007711844</v>
      </c>
    </row>
    <row r="12" spans="1:17" ht="14.4" customHeight="1" x14ac:dyDescent="0.3">
      <c r="A12" s="15" t="s">
        <v>22</v>
      </c>
      <c r="B12" s="46">
        <v>0.12100288709699999</v>
      </c>
      <c r="C12" s="47">
        <v>1.0083573924E-2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>
        <v>0</v>
      </c>
    </row>
    <row r="13" spans="1:17" ht="14.4" customHeight="1" x14ac:dyDescent="0.3">
      <c r="A13" s="15" t="s">
        <v>23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0.74414999999999998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0.74414999999999998</v>
      </c>
      <c r="Q13" s="71" t="s">
        <v>208</v>
      </c>
    </row>
    <row r="14" spans="1:17" ht="14.4" customHeight="1" x14ac:dyDescent="0.3">
      <c r="A14" s="15" t="s">
        <v>24</v>
      </c>
      <c r="B14" s="46">
        <v>142.16953438377399</v>
      </c>
      <c r="C14" s="47">
        <v>11.847461198647</v>
      </c>
      <c r="D14" s="47">
        <v>18.408000000000001</v>
      </c>
      <c r="E14" s="47">
        <v>13.744999999999999</v>
      </c>
      <c r="F14" s="47">
        <v>15.207000000000001</v>
      </c>
      <c r="G14" s="47">
        <v>11.855</v>
      </c>
      <c r="H14" s="47">
        <v>9.9689999999999994</v>
      </c>
      <c r="I14" s="47">
        <v>9.1560000000000006</v>
      </c>
      <c r="J14" s="47">
        <v>8.109</v>
      </c>
      <c r="K14" s="47">
        <v>8.4730000000000008</v>
      </c>
      <c r="L14" s="47">
        <v>9.125</v>
      </c>
      <c r="M14" s="47">
        <v>12.509</v>
      </c>
      <c r="N14" s="47">
        <v>0</v>
      </c>
      <c r="O14" s="47">
        <v>0</v>
      </c>
      <c r="P14" s="48">
        <v>116.556</v>
      </c>
      <c r="Q14" s="71">
        <v>0.98380571200599998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208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208</v>
      </c>
    </row>
    <row r="17" spans="1:17" ht="14.4" customHeight="1" x14ac:dyDescent="0.3">
      <c r="A17" s="15" t="s">
        <v>27</v>
      </c>
      <c r="B17" s="46">
        <v>3.5590760194079998</v>
      </c>
      <c r="C17" s="47">
        <v>0.29658966828400002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1.0467500000000001</v>
      </c>
      <c r="J17" s="47">
        <v>1.42144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2.4681899999999999</v>
      </c>
      <c r="Q17" s="71">
        <v>0.83219014818600001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208</v>
      </c>
    </row>
    <row r="19" spans="1:17" ht="14.4" customHeight="1" x14ac:dyDescent="0.3">
      <c r="A19" s="15" t="s">
        <v>29</v>
      </c>
      <c r="B19" s="46">
        <v>28.072377932468001</v>
      </c>
      <c r="C19" s="47">
        <v>2.3393648277049999</v>
      </c>
      <c r="D19" s="47">
        <v>2.8977200000000001</v>
      </c>
      <c r="E19" s="47">
        <v>1.72668</v>
      </c>
      <c r="F19" s="47">
        <v>3.5070800000000002</v>
      </c>
      <c r="G19" s="47">
        <v>4.8144099999999996</v>
      </c>
      <c r="H19" s="47">
        <v>1.89645</v>
      </c>
      <c r="I19" s="47">
        <v>1.8869499999999999</v>
      </c>
      <c r="J19" s="47">
        <v>2.5583</v>
      </c>
      <c r="K19" s="47">
        <v>1.81426</v>
      </c>
      <c r="L19" s="47">
        <v>1.81426</v>
      </c>
      <c r="M19" s="47">
        <v>1.8423799999999999</v>
      </c>
      <c r="N19" s="47">
        <v>0</v>
      </c>
      <c r="O19" s="47">
        <v>0</v>
      </c>
      <c r="P19" s="48">
        <v>24.758489999999998</v>
      </c>
      <c r="Q19" s="71">
        <v>1.058342405886</v>
      </c>
    </row>
    <row r="20" spans="1:17" ht="14.4" customHeight="1" x14ac:dyDescent="0.3">
      <c r="A20" s="15" t="s">
        <v>30</v>
      </c>
      <c r="B20" s="46">
        <v>3259.0002942208698</v>
      </c>
      <c r="C20" s="47">
        <v>271.58335785173898</v>
      </c>
      <c r="D20" s="47">
        <v>240.10337999999999</v>
      </c>
      <c r="E20" s="47">
        <v>269.44006000000002</v>
      </c>
      <c r="F20" s="47">
        <v>267.13233000000002</v>
      </c>
      <c r="G20" s="47">
        <v>267.56065000000001</v>
      </c>
      <c r="H20" s="47">
        <v>266.66834999999998</v>
      </c>
      <c r="I20" s="47">
        <v>211.58023</v>
      </c>
      <c r="J20" s="47">
        <v>360.73093999999998</v>
      </c>
      <c r="K20" s="47">
        <v>271.20841999999999</v>
      </c>
      <c r="L20" s="47">
        <v>267.59750000000003</v>
      </c>
      <c r="M20" s="47">
        <v>267.37734</v>
      </c>
      <c r="N20" s="47">
        <v>0</v>
      </c>
      <c r="O20" s="47">
        <v>0</v>
      </c>
      <c r="P20" s="48">
        <v>2689.3991999999998</v>
      </c>
      <c r="Q20" s="71">
        <v>0.99026656908300004</v>
      </c>
    </row>
    <row r="21" spans="1:17" ht="14.4" customHeight="1" x14ac:dyDescent="0.3">
      <c r="A21" s="16" t="s">
        <v>31</v>
      </c>
      <c r="B21" s="46">
        <v>20.000046185193</v>
      </c>
      <c r="C21" s="47">
        <v>1.6666705154320001</v>
      </c>
      <c r="D21" s="47">
        <v>1.641</v>
      </c>
      <c r="E21" s="47">
        <v>1.641</v>
      </c>
      <c r="F21" s="47">
        <v>1.641</v>
      </c>
      <c r="G21" s="47">
        <v>1.641</v>
      </c>
      <c r="H21" s="47">
        <v>1.641</v>
      </c>
      <c r="I21" s="47">
        <v>1.641</v>
      </c>
      <c r="J21" s="47">
        <v>1.641</v>
      </c>
      <c r="K21" s="47">
        <v>1.641</v>
      </c>
      <c r="L21" s="47">
        <v>1.641</v>
      </c>
      <c r="M21" s="47">
        <v>1.647</v>
      </c>
      <c r="N21" s="47">
        <v>0</v>
      </c>
      <c r="O21" s="47">
        <v>0</v>
      </c>
      <c r="P21" s="48">
        <v>16.416</v>
      </c>
      <c r="Q21" s="71">
        <v>0.98495772547600002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208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208</v>
      </c>
    </row>
    <row r="24" spans="1:17" ht="14.4" customHeight="1" x14ac:dyDescent="0.3">
      <c r="A24" s="16" t="s">
        <v>34</v>
      </c>
      <c r="B24" s="46">
        <v>0</v>
      </c>
      <c r="C24" s="47">
        <v>-5.6843418860808002E-14</v>
      </c>
      <c r="D24" s="47">
        <v>-5.6843418860808002E-14</v>
      </c>
      <c r="E24" s="47">
        <v>-5.6843418860808002E-14</v>
      </c>
      <c r="F24" s="47">
        <v>-5.6843418860808002E-14</v>
      </c>
      <c r="G24" s="47">
        <v>-5.6843418860808002E-14</v>
      </c>
      <c r="H24" s="47">
        <v>-5.6843418860808002E-14</v>
      </c>
      <c r="I24" s="47">
        <v>2.8421709430404001E-14</v>
      </c>
      <c r="J24" s="47">
        <v>-5.6843418860808002E-14</v>
      </c>
      <c r="K24" s="47">
        <v>-5.6843418860808002E-14</v>
      </c>
      <c r="L24" s="47">
        <v>-5.6843418860808002E-14</v>
      </c>
      <c r="M24" s="47">
        <v>0</v>
      </c>
      <c r="N24" s="47">
        <v>0</v>
      </c>
      <c r="O24" s="47">
        <v>0</v>
      </c>
      <c r="P24" s="48">
        <v>-4.2632564145606001E-13</v>
      </c>
      <c r="Q24" s="71"/>
    </row>
    <row r="25" spans="1:17" ht="14.4" customHeight="1" x14ac:dyDescent="0.3">
      <c r="A25" s="17" t="s">
        <v>35</v>
      </c>
      <c r="B25" s="49">
        <v>3463.4170893518199</v>
      </c>
      <c r="C25" s="50">
        <v>288.61809077931798</v>
      </c>
      <c r="D25" s="50">
        <v>265.13549999999998</v>
      </c>
      <c r="E25" s="50">
        <v>288.12662999999998</v>
      </c>
      <c r="F25" s="50">
        <v>287.78991000000002</v>
      </c>
      <c r="G25" s="50">
        <v>285.87106</v>
      </c>
      <c r="H25" s="50">
        <v>280.1748</v>
      </c>
      <c r="I25" s="50">
        <v>226.05508</v>
      </c>
      <c r="J25" s="50">
        <v>377.18173999999999</v>
      </c>
      <c r="K25" s="50">
        <v>283.13668000000001</v>
      </c>
      <c r="L25" s="50">
        <v>280.48025999999999</v>
      </c>
      <c r="M25" s="50">
        <v>285.26589999999999</v>
      </c>
      <c r="N25" s="50">
        <v>0</v>
      </c>
      <c r="O25" s="50">
        <v>0</v>
      </c>
      <c r="P25" s="51">
        <v>2859.21756</v>
      </c>
      <c r="Q25" s="72">
        <v>0.99065777625999996</v>
      </c>
    </row>
    <row r="26" spans="1:17" ht="14.4" customHeight="1" x14ac:dyDescent="0.3">
      <c r="A26" s="15" t="s">
        <v>36</v>
      </c>
      <c r="B26" s="46">
        <v>472.64610348198801</v>
      </c>
      <c r="C26" s="47">
        <v>39.387175290164997</v>
      </c>
      <c r="D26" s="47">
        <v>34.589320000000001</v>
      </c>
      <c r="E26" s="47">
        <v>32.792200000000001</v>
      </c>
      <c r="F26" s="47">
        <v>36.041350000000001</v>
      </c>
      <c r="G26" s="47">
        <v>36.84863</v>
      </c>
      <c r="H26" s="47">
        <v>32.499490000000002</v>
      </c>
      <c r="I26" s="47">
        <v>44.144280000000002</v>
      </c>
      <c r="J26" s="47">
        <v>39.843260000000001</v>
      </c>
      <c r="K26" s="47">
        <v>39.424100000000003</v>
      </c>
      <c r="L26" s="47">
        <v>38.649479999999997</v>
      </c>
      <c r="M26" s="47">
        <v>33.71396</v>
      </c>
      <c r="N26" s="47">
        <v>0</v>
      </c>
      <c r="O26" s="47">
        <v>0</v>
      </c>
      <c r="P26" s="48">
        <v>368.54606999999999</v>
      </c>
      <c r="Q26" s="71">
        <v>0.93570068755799995</v>
      </c>
    </row>
    <row r="27" spans="1:17" ht="14.4" customHeight="1" x14ac:dyDescent="0.3">
      <c r="A27" s="18" t="s">
        <v>37</v>
      </c>
      <c r="B27" s="49">
        <v>3936.0631928338098</v>
      </c>
      <c r="C27" s="50">
        <v>328.00526606948398</v>
      </c>
      <c r="D27" s="50">
        <v>299.72482000000002</v>
      </c>
      <c r="E27" s="50">
        <v>320.91883000000001</v>
      </c>
      <c r="F27" s="50">
        <v>323.83125999999999</v>
      </c>
      <c r="G27" s="50">
        <v>322.71969000000001</v>
      </c>
      <c r="H27" s="50">
        <v>312.67428999999998</v>
      </c>
      <c r="I27" s="50">
        <v>270.19936000000001</v>
      </c>
      <c r="J27" s="50">
        <v>417.02499999999998</v>
      </c>
      <c r="K27" s="50">
        <v>322.56078000000002</v>
      </c>
      <c r="L27" s="50">
        <v>319.12974000000003</v>
      </c>
      <c r="M27" s="50">
        <v>318.97985999999997</v>
      </c>
      <c r="N27" s="50">
        <v>0</v>
      </c>
      <c r="O27" s="50">
        <v>0</v>
      </c>
      <c r="P27" s="51">
        <v>3227.7636299999999</v>
      </c>
      <c r="Q27" s="72">
        <v>0.98405847829100002</v>
      </c>
    </row>
    <row r="28" spans="1:17" ht="14.4" customHeight="1" x14ac:dyDescent="0.3">
      <c r="A28" s="16" t="s">
        <v>38</v>
      </c>
      <c r="B28" s="46">
        <v>0.96145865957300003</v>
      </c>
      <c r="C28" s="47">
        <v>8.0121554964000002E-2</v>
      </c>
      <c r="D28" s="47">
        <v>0</v>
      </c>
      <c r="E28" s="47">
        <v>0</v>
      </c>
      <c r="F28" s="47">
        <v>0</v>
      </c>
      <c r="G28" s="47">
        <v>0.57393000000000005</v>
      </c>
      <c r="H28" s="47">
        <v>0.19131000000000001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0.76524000000000003</v>
      </c>
      <c r="Q28" s="71">
        <v>0.95509878750999999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208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208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123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198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287" t="s">
        <v>43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1" s="55" customFormat="1" ht="14.4" customHeight="1" thickBot="1" x14ac:dyDescent="0.35">
      <c r="A2" s="202" t="s">
        <v>207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8" t="s">
        <v>44</v>
      </c>
      <c r="C3" s="289"/>
      <c r="D3" s="289"/>
      <c r="E3" s="289"/>
      <c r="F3" s="295" t="s">
        <v>45</v>
      </c>
      <c r="G3" s="289"/>
      <c r="H3" s="289"/>
      <c r="I3" s="289"/>
      <c r="J3" s="289"/>
      <c r="K3" s="296"/>
    </row>
    <row r="4" spans="1:11" ht="14.4" customHeight="1" x14ac:dyDescent="0.3">
      <c r="A4" s="61"/>
      <c r="B4" s="293"/>
      <c r="C4" s="294"/>
      <c r="D4" s="294"/>
      <c r="E4" s="294"/>
      <c r="F4" s="297" t="s">
        <v>203</v>
      </c>
      <c r="G4" s="299" t="s">
        <v>46</v>
      </c>
      <c r="H4" s="116" t="s">
        <v>113</v>
      </c>
      <c r="I4" s="297" t="s">
        <v>47</v>
      </c>
      <c r="J4" s="299" t="s">
        <v>180</v>
      </c>
      <c r="K4" s="300" t="s">
        <v>205</v>
      </c>
    </row>
    <row r="5" spans="1:11" ht="42" thickBot="1" x14ac:dyDescent="0.35">
      <c r="A5" s="62"/>
      <c r="B5" s="24" t="s">
        <v>199</v>
      </c>
      <c r="C5" s="25" t="s">
        <v>200</v>
      </c>
      <c r="D5" s="26" t="s">
        <v>201</v>
      </c>
      <c r="E5" s="26" t="s">
        <v>202</v>
      </c>
      <c r="F5" s="298"/>
      <c r="G5" s="298"/>
      <c r="H5" s="25" t="s">
        <v>204</v>
      </c>
      <c r="I5" s="298"/>
      <c r="J5" s="298"/>
      <c r="K5" s="301"/>
    </row>
    <row r="6" spans="1:11" ht="14.4" customHeight="1" thickBot="1" x14ac:dyDescent="0.35">
      <c r="A6" s="362" t="s">
        <v>210</v>
      </c>
      <c r="B6" s="344">
        <v>3338.2951753785601</v>
      </c>
      <c r="C6" s="344">
        <v>3579.7256400000001</v>
      </c>
      <c r="D6" s="345">
        <v>241.43046462144201</v>
      </c>
      <c r="E6" s="346">
        <v>1.07232148505</v>
      </c>
      <c r="F6" s="344">
        <v>3463.4170893518199</v>
      </c>
      <c r="G6" s="345">
        <v>2886.1809077931798</v>
      </c>
      <c r="H6" s="347">
        <v>285.26589999999999</v>
      </c>
      <c r="I6" s="344">
        <v>2859.21756</v>
      </c>
      <c r="J6" s="345">
        <v>-26.963347793183001</v>
      </c>
      <c r="K6" s="348">
        <v>0.82554814688300004</v>
      </c>
    </row>
    <row r="7" spans="1:11" ht="14.4" customHeight="1" thickBot="1" x14ac:dyDescent="0.35">
      <c r="A7" s="363" t="s">
        <v>211</v>
      </c>
      <c r="B7" s="344">
        <v>165.03438528450999</v>
      </c>
      <c r="C7" s="344">
        <v>159.03882999999999</v>
      </c>
      <c r="D7" s="345">
        <v>-5.9955552845089999</v>
      </c>
      <c r="E7" s="346">
        <v>0.96367087213799996</v>
      </c>
      <c r="F7" s="344">
        <v>152.785294993881</v>
      </c>
      <c r="G7" s="345">
        <v>127.32107916156799</v>
      </c>
      <c r="H7" s="347">
        <v>14.399179999999999</v>
      </c>
      <c r="I7" s="344">
        <v>126.17568</v>
      </c>
      <c r="J7" s="345">
        <v>-1.1453991615670001</v>
      </c>
      <c r="K7" s="348">
        <v>0.825836544053</v>
      </c>
    </row>
    <row r="8" spans="1:11" ht="14.4" customHeight="1" thickBot="1" x14ac:dyDescent="0.35">
      <c r="A8" s="364" t="s">
        <v>212</v>
      </c>
      <c r="B8" s="344">
        <v>17.260189119102002</v>
      </c>
      <c r="C8" s="344">
        <v>13.970829999999999</v>
      </c>
      <c r="D8" s="345">
        <v>-3.289359119102</v>
      </c>
      <c r="E8" s="346">
        <v>0.80942508240099997</v>
      </c>
      <c r="F8" s="344">
        <v>10.615760610106999</v>
      </c>
      <c r="G8" s="345">
        <v>8.8464671750889998</v>
      </c>
      <c r="H8" s="347">
        <v>1.89018</v>
      </c>
      <c r="I8" s="344">
        <v>9.6196800000000007</v>
      </c>
      <c r="J8" s="345">
        <v>0.77321282490999999</v>
      </c>
      <c r="K8" s="348">
        <v>0.90616964278900003</v>
      </c>
    </row>
    <row r="9" spans="1:11" ht="14.4" customHeight="1" thickBot="1" x14ac:dyDescent="0.35">
      <c r="A9" s="365" t="s">
        <v>213</v>
      </c>
      <c r="B9" s="349">
        <v>0</v>
      </c>
      <c r="C9" s="349">
        <v>0.33857999999999999</v>
      </c>
      <c r="D9" s="350">
        <v>0.33857999999999999</v>
      </c>
      <c r="E9" s="351" t="s">
        <v>214</v>
      </c>
      <c r="F9" s="349">
        <v>0.338580030566</v>
      </c>
      <c r="G9" s="350">
        <v>0.28215002547200002</v>
      </c>
      <c r="H9" s="352">
        <v>0</v>
      </c>
      <c r="I9" s="349">
        <v>0</v>
      </c>
      <c r="J9" s="350">
        <v>-0.28215002547200002</v>
      </c>
      <c r="K9" s="353">
        <v>0</v>
      </c>
    </row>
    <row r="10" spans="1:11" ht="14.4" customHeight="1" thickBot="1" x14ac:dyDescent="0.35">
      <c r="A10" s="366" t="s">
        <v>215</v>
      </c>
      <c r="B10" s="344">
        <v>0</v>
      </c>
      <c r="C10" s="344">
        <v>0.33857999999999999</v>
      </c>
      <c r="D10" s="345">
        <v>0.33857999999999999</v>
      </c>
      <c r="E10" s="354" t="s">
        <v>214</v>
      </c>
      <c r="F10" s="344">
        <v>0.338580030566</v>
      </c>
      <c r="G10" s="345">
        <v>0.28215002547200002</v>
      </c>
      <c r="H10" s="347">
        <v>0</v>
      </c>
      <c r="I10" s="344">
        <v>0</v>
      </c>
      <c r="J10" s="345">
        <v>-0.28215002547200002</v>
      </c>
      <c r="K10" s="348">
        <v>0</v>
      </c>
    </row>
    <row r="11" spans="1:11" ht="14.4" customHeight="1" thickBot="1" x14ac:dyDescent="0.35">
      <c r="A11" s="365" t="s">
        <v>216</v>
      </c>
      <c r="B11" s="349">
        <v>0</v>
      </c>
      <c r="C11" s="349">
        <v>1.01122</v>
      </c>
      <c r="D11" s="350">
        <v>1.01122</v>
      </c>
      <c r="E11" s="351" t="s">
        <v>214</v>
      </c>
      <c r="F11" s="349">
        <v>0.28936002612299999</v>
      </c>
      <c r="G11" s="350">
        <v>0.24113335510200001</v>
      </c>
      <c r="H11" s="352">
        <v>0</v>
      </c>
      <c r="I11" s="349">
        <v>0.16800000000000001</v>
      </c>
      <c r="J11" s="350">
        <v>-7.3133355102000003E-2</v>
      </c>
      <c r="K11" s="353">
        <v>0.58059159812299999</v>
      </c>
    </row>
    <row r="12" spans="1:11" ht="14.4" customHeight="1" thickBot="1" x14ac:dyDescent="0.35">
      <c r="A12" s="366" t="s">
        <v>217</v>
      </c>
      <c r="B12" s="344">
        <v>0</v>
      </c>
      <c r="C12" s="344">
        <v>0.28936000000000001</v>
      </c>
      <c r="D12" s="345">
        <v>0.28936000000000001</v>
      </c>
      <c r="E12" s="354" t="s">
        <v>214</v>
      </c>
      <c r="F12" s="344">
        <v>0.28936002612299999</v>
      </c>
      <c r="G12" s="345">
        <v>0.24113335510200001</v>
      </c>
      <c r="H12" s="347">
        <v>0</v>
      </c>
      <c r="I12" s="344">
        <v>0</v>
      </c>
      <c r="J12" s="345">
        <v>-0.24113335510200001</v>
      </c>
      <c r="K12" s="348">
        <v>0</v>
      </c>
    </row>
    <row r="13" spans="1:11" ht="14.4" customHeight="1" thickBot="1" x14ac:dyDescent="0.35">
      <c r="A13" s="366" t="s">
        <v>218</v>
      </c>
      <c r="B13" s="344">
        <v>0</v>
      </c>
      <c r="C13" s="344">
        <v>0.72185999999999995</v>
      </c>
      <c r="D13" s="345">
        <v>0.72185999999999995</v>
      </c>
      <c r="E13" s="354" t="s">
        <v>214</v>
      </c>
      <c r="F13" s="344">
        <v>0</v>
      </c>
      <c r="G13" s="345">
        <v>0</v>
      </c>
      <c r="H13" s="347">
        <v>0</v>
      </c>
      <c r="I13" s="344">
        <v>2.5999999999999999E-2</v>
      </c>
      <c r="J13" s="345">
        <v>2.5999999999999999E-2</v>
      </c>
      <c r="K13" s="355" t="s">
        <v>208</v>
      </c>
    </row>
    <row r="14" spans="1:11" ht="14.4" customHeight="1" thickBot="1" x14ac:dyDescent="0.35">
      <c r="A14" s="366" t="s">
        <v>219</v>
      </c>
      <c r="B14" s="344">
        <v>0</v>
      </c>
      <c r="C14" s="344">
        <v>0</v>
      </c>
      <c r="D14" s="345">
        <v>0</v>
      </c>
      <c r="E14" s="346">
        <v>1</v>
      </c>
      <c r="F14" s="344">
        <v>0</v>
      </c>
      <c r="G14" s="345">
        <v>0</v>
      </c>
      <c r="H14" s="347">
        <v>0</v>
      </c>
      <c r="I14" s="344">
        <v>0.14199999999999999</v>
      </c>
      <c r="J14" s="345">
        <v>0.14199999999999999</v>
      </c>
      <c r="K14" s="355" t="s">
        <v>214</v>
      </c>
    </row>
    <row r="15" spans="1:11" ht="14.4" customHeight="1" thickBot="1" x14ac:dyDescent="0.35">
      <c r="A15" s="365" t="s">
        <v>220</v>
      </c>
      <c r="B15" s="349">
        <v>13.260189245092</v>
      </c>
      <c r="C15" s="349">
        <v>9.5557800000000004</v>
      </c>
      <c r="D15" s="350">
        <v>-3.7044092450920001</v>
      </c>
      <c r="E15" s="356">
        <v>0.72063677398299997</v>
      </c>
      <c r="F15" s="349">
        <v>9.8668176663189993</v>
      </c>
      <c r="G15" s="350">
        <v>8.222348055266</v>
      </c>
      <c r="H15" s="352">
        <v>1.89018</v>
      </c>
      <c r="I15" s="349">
        <v>8.7075300000000002</v>
      </c>
      <c r="J15" s="350">
        <v>0.48518194473300003</v>
      </c>
      <c r="K15" s="353">
        <v>0.88250642653699995</v>
      </c>
    </row>
    <row r="16" spans="1:11" ht="14.4" customHeight="1" thickBot="1" x14ac:dyDescent="0.35">
      <c r="A16" s="366" t="s">
        <v>221</v>
      </c>
      <c r="B16" s="344">
        <v>0</v>
      </c>
      <c r="C16" s="344">
        <v>1.3</v>
      </c>
      <c r="D16" s="345">
        <v>1.3</v>
      </c>
      <c r="E16" s="354" t="s">
        <v>214</v>
      </c>
      <c r="F16" s="344">
        <v>1.208739430944</v>
      </c>
      <c r="G16" s="345">
        <v>1.00728285912</v>
      </c>
      <c r="H16" s="347">
        <v>0</v>
      </c>
      <c r="I16" s="344">
        <v>0</v>
      </c>
      <c r="J16" s="345">
        <v>-1.00728285912</v>
      </c>
      <c r="K16" s="348">
        <v>0</v>
      </c>
    </row>
    <row r="17" spans="1:11" ht="14.4" customHeight="1" thickBot="1" x14ac:dyDescent="0.35">
      <c r="A17" s="366" t="s">
        <v>222</v>
      </c>
      <c r="B17" s="344">
        <v>3.8952225394590001</v>
      </c>
      <c r="C17" s="344">
        <v>1.2397199999999999</v>
      </c>
      <c r="D17" s="345">
        <v>-2.6555025394589999</v>
      </c>
      <c r="E17" s="346">
        <v>0.31826679668199997</v>
      </c>
      <c r="F17" s="344">
        <v>1.2532184636679999</v>
      </c>
      <c r="G17" s="345">
        <v>1.044348719724</v>
      </c>
      <c r="H17" s="347">
        <v>0</v>
      </c>
      <c r="I17" s="344">
        <v>1.6807799999999999</v>
      </c>
      <c r="J17" s="345">
        <v>0.63643128027499996</v>
      </c>
      <c r="K17" s="348">
        <v>1.3411707924239999</v>
      </c>
    </row>
    <row r="18" spans="1:11" ht="14.4" customHeight="1" thickBot="1" x14ac:dyDescent="0.35">
      <c r="A18" s="366" t="s">
        <v>223</v>
      </c>
      <c r="B18" s="344">
        <v>5.9999998110139998</v>
      </c>
      <c r="C18" s="344">
        <v>3.5371299999999999</v>
      </c>
      <c r="D18" s="345">
        <v>-2.4628698110139999</v>
      </c>
      <c r="E18" s="346">
        <v>0.58952168523500004</v>
      </c>
      <c r="F18" s="344">
        <v>3.3807641541120002</v>
      </c>
      <c r="G18" s="345">
        <v>2.8173034617599999</v>
      </c>
      <c r="H18" s="347">
        <v>0</v>
      </c>
      <c r="I18" s="344">
        <v>3.8225199999999999</v>
      </c>
      <c r="J18" s="345">
        <v>1.0052165382389999</v>
      </c>
      <c r="K18" s="348">
        <v>1.130667454383</v>
      </c>
    </row>
    <row r="19" spans="1:11" ht="14.4" customHeight="1" thickBot="1" x14ac:dyDescent="0.35">
      <c r="A19" s="366" t="s">
        <v>224</v>
      </c>
      <c r="B19" s="344">
        <v>0.99999996850200001</v>
      </c>
      <c r="C19" s="344">
        <v>2.4467500000000002</v>
      </c>
      <c r="D19" s="345">
        <v>1.4467500314970001</v>
      </c>
      <c r="E19" s="346">
        <v>2.446750077066</v>
      </c>
      <c r="F19" s="344">
        <v>2.6932863846699999</v>
      </c>
      <c r="G19" s="345">
        <v>2.2444053205590002</v>
      </c>
      <c r="H19" s="347">
        <v>1.6990000000000001</v>
      </c>
      <c r="I19" s="344">
        <v>1.6990000000000001</v>
      </c>
      <c r="J19" s="345">
        <v>-0.54540532055900004</v>
      </c>
      <c r="K19" s="348">
        <v>0.63082782791600001</v>
      </c>
    </row>
    <row r="20" spans="1:11" ht="14.4" customHeight="1" thickBot="1" x14ac:dyDescent="0.35">
      <c r="A20" s="366" t="s">
        <v>225</v>
      </c>
      <c r="B20" s="344">
        <v>1.364966957614</v>
      </c>
      <c r="C20" s="344">
        <v>0.97409999999999997</v>
      </c>
      <c r="D20" s="345">
        <v>-0.39086695761399998</v>
      </c>
      <c r="E20" s="346">
        <v>0.71364364870899999</v>
      </c>
      <c r="F20" s="344">
        <v>1.284028234082</v>
      </c>
      <c r="G20" s="345">
        <v>1.0700235284020001</v>
      </c>
      <c r="H20" s="347">
        <v>0.19117999999999999</v>
      </c>
      <c r="I20" s="344">
        <v>1.0381800000000001</v>
      </c>
      <c r="J20" s="345">
        <v>-3.1843528401999999E-2</v>
      </c>
      <c r="K20" s="348">
        <v>0.80853362289300001</v>
      </c>
    </row>
    <row r="21" spans="1:11" ht="14.4" customHeight="1" thickBot="1" x14ac:dyDescent="0.35">
      <c r="A21" s="366" t="s">
        <v>226</v>
      </c>
      <c r="B21" s="344">
        <v>0.99999996850200001</v>
      </c>
      <c r="C21" s="344">
        <v>5.808E-2</v>
      </c>
      <c r="D21" s="345">
        <v>-0.94191996850199999</v>
      </c>
      <c r="E21" s="346">
        <v>5.8080001829E-2</v>
      </c>
      <c r="F21" s="344">
        <v>4.6780998841000003E-2</v>
      </c>
      <c r="G21" s="345">
        <v>3.8984165699999997E-2</v>
      </c>
      <c r="H21" s="347">
        <v>0</v>
      </c>
      <c r="I21" s="344">
        <v>0.46705000000000002</v>
      </c>
      <c r="J21" s="345">
        <v>0.42806583429900003</v>
      </c>
      <c r="K21" s="348">
        <v>0</v>
      </c>
    </row>
    <row r="22" spans="1:11" ht="14.4" customHeight="1" thickBot="1" x14ac:dyDescent="0.35">
      <c r="A22" s="365" t="s">
        <v>227</v>
      </c>
      <c r="B22" s="349">
        <v>0.99999996850200001</v>
      </c>
      <c r="C22" s="349">
        <v>0.1042</v>
      </c>
      <c r="D22" s="350">
        <v>-0.89579996850200005</v>
      </c>
      <c r="E22" s="356">
        <v>0.10420000328200001</v>
      </c>
      <c r="F22" s="349">
        <v>0.12100288709699999</v>
      </c>
      <c r="G22" s="350">
        <v>0.100835739247</v>
      </c>
      <c r="H22" s="352">
        <v>0</v>
      </c>
      <c r="I22" s="349">
        <v>0</v>
      </c>
      <c r="J22" s="350">
        <v>-0.100835739247</v>
      </c>
      <c r="K22" s="353">
        <v>0</v>
      </c>
    </row>
    <row r="23" spans="1:11" ht="14.4" customHeight="1" thickBot="1" x14ac:dyDescent="0.35">
      <c r="A23" s="366" t="s">
        <v>228</v>
      </c>
      <c r="B23" s="344">
        <v>0.99999996850200001</v>
      </c>
      <c r="C23" s="344">
        <v>0.1042</v>
      </c>
      <c r="D23" s="345">
        <v>-0.89579996850200005</v>
      </c>
      <c r="E23" s="346">
        <v>0.10420000328200001</v>
      </c>
      <c r="F23" s="344">
        <v>0.12100288709699999</v>
      </c>
      <c r="G23" s="345">
        <v>0.100835739247</v>
      </c>
      <c r="H23" s="347">
        <v>0</v>
      </c>
      <c r="I23" s="344">
        <v>0</v>
      </c>
      <c r="J23" s="345">
        <v>-0.100835739247</v>
      </c>
      <c r="K23" s="348">
        <v>0</v>
      </c>
    </row>
    <row r="24" spans="1:11" ht="14.4" customHeight="1" thickBot="1" x14ac:dyDescent="0.35">
      <c r="A24" s="365" t="s">
        <v>229</v>
      </c>
      <c r="B24" s="349">
        <v>2.9999999055069999</v>
      </c>
      <c r="C24" s="349">
        <v>2.9610500000000002</v>
      </c>
      <c r="D24" s="350">
        <v>-3.8949905506999997E-2</v>
      </c>
      <c r="E24" s="356">
        <v>0.98701669775500001</v>
      </c>
      <c r="F24" s="349">
        <v>0</v>
      </c>
      <c r="G24" s="350">
        <v>0</v>
      </c>
      <c r="H24" s="352">
        <v>0</v>
      </c>
      <c r="I24" s="349">
        <v>0.74414999999999998</v>
      </c>
      <c r="J24" s="350">
        <v>0.74414999999999998</v>
      </c>
      <c r="K24" s="357" t="s">
        <v>208</v>
      </c>
    </row>
    <row r="25" spans="1:11" ht="14.4" customHeight="1" thickBot="1" x14ac:dyDescent="0.35">
      <c r="A25" s="366" t="s">
        <v>230</v>
      </c>
      <c r="B25" s="344">
        <v>2.9999999055069999</v>
      </c>
      <c r="C25" s="344">
        <v>2.9610500000000002</v>
      </c>
      <c r="D25" s="345">
        <v>-3.8949905506999997E-2</v>
      </c>
      <c r="E25" s="346">
        <v>0.98701669775500001</v>
      </c>
      <c r="F25" s="344">
        <v>0</v>
      </c>
      <c r="G25" s="345">
        <v>0</v>
      </c>
      <c r="H25" s="347">
        <v>0</v>
      </c>
      <c r="I25" s="344">
        <v>0.74414999999999998</v>
      </c>
      <c r="J25" s="345">
        <v>0.74414999999999998</v>
      </c>
      <c r="K25" s="355" t="s">
        <v>208</v>
      </c>
    </row>
    <row r="26" spans="1:11" ht="14.4" customHeight="1" thickBot="1" x14ac:dyDescent="0.35">
      <c r="A26" s="364" t="s">
        <v>24</v>
      </c>
      <c r="B26" s="344">
        <v>147.77419616540701</v>
      </c>
      <c r="C26" s="344">
        <v>145.06800000000001</v>
      </c>
      <c r="D26" s="345">
        <v>-2.7061961654069999</v>
      </c>
      <c r="E26" s="346">
        <v>0.98168695052499999</v>
      </c>
      <c r="F26" s="344">
        <v>142.16953438377399</v>
      </c>
      <c r="G26" s="345">
        <v>118.474611986478</v>
      </c>
      <c r="H26" s="347">
        <v>12.509</v>
      </c>
      <c r="I26" s="344">
        <v>116.556</v>
      </c>
      <c r="J26" s="345">
        <v>-1.918611986478</v>
      </c>
      <c r="K26" s="348">
        <v>0.81983809333799995</v>
      </c>
    </row>
    <row r="27" spans="1:11" ht="14.4" customHeight="1" thickBot="1" x14ac:dyDescent="0.35">
      <c r="A27" s="365" t="s">
        <v>231</v>
      </c>
      <c r="B27" s="349">
        <v>147.77419616540701</v>
      </c>
      <c r="C27" s="349">
        <v>145.06800000000001</v>
      </c>
      <c r="D27" s="350">
        <v>-2.7061961654069999</v>
      </c>
      <c r="E27" s="356">
        <v>0.98168695052499999</v>
      </c>
      <c r="F27" s="349">
        <v>142.16953438377399</v>
      </c>
      <c r="G27" s="350">
        <v>118.474611986478</v>
      </c>
      <c r="H27" s="352">
        <v>12.509</v>
      </c>
      <c r="I27" s="349">
        <v>116.556</v>
      </c>
      <c r="J27" s="350">
        <v>-1.918611986478</v>
      </c>
      <c r="K27" s="353">
        <v>0.81983809333799995</v>
      </c>
    </row>
    <row r="28" spans="1:11" ht="14.4" customHeight="1" thickBot="1" x14ac:dyDescent="0.35">
      <c r="A28" s="366" t="s">
        <v>232</v>
      </c>
      <c r="B28" s="344">
        <v>26.774199976613001</v>
      </c>
      <c r="C28" s="344">
        <v>26.776</v>
      </c>
      <c r="D28" s="345">
        <v>1.800023386E-3</v>
      </c>
      <c r="E28" s="346">
        <v>1.0000672297719999</v>
      </c>
      <c r="F28" s="344">
        <v>26.417290932158998</v>
      </c>
      <c r="G28" s="345">
        <v>22.014409110132998</v>
      </c>
      <c r="H28" s="347">
        <v>1.9690000000000001</v>
      </c>
      <c r="I28" s="344">
        <v>20.044</v>
      </c>
      <c r="J28" s="345">
        <v>-1.9704091101329999</v>
      </c>
      <c r="K28" s="348">
        <v>0.75874547664500003</v>
      </c>
    </row>
    <row r="29" spans="1:11" ht="14.4" customHeight="1" thickBot="1" x14ac:dyDescent="0.35">
      <c r="A29" s="366" t="s">
        <v>233</v>
      </c>
      <c r="B29" s="344">
        <v>59.999998110145</v>
      </c>
      <c r="C29" s="344">
        <v>53.572000000000003</v>
      </c>
      <c r="D29" s="345">
        <v>-6.4279981101450003</v>
      </c>
      <c r="E29" s="346">
        <v>0.89286669478900005</v>
      </c>
      <c r="F29" s="344">
        <v>51.881250560989997</v>
      </c>
      <c r="G29" s="345">
        <v>43.234375467492001</v>
      </c>
      <c r="H29" s="347">
        <v>4.5190000000000001</v>
      </c>
      <c r="I29" s="344">
        <v>46.798000000000002</v>
      </c>
      <c r="J29" s="345">
        <v>3.5636245325079998</v>
      </c>
      <c r="K29" s="348">
        <v>0.90202143344600005</v>
      </c>
    </row>
    <row r="30" spans="1:11" ht="14.4" customHeight="1" thickBot="1" x14ac:dyDescent="0.35">
      <c r="A30" s="366" t="s">
        <v>234</v>
      </c>
      <c r="B30" s="344">
        <v>60.999998078647998</v>
      </c>
      <c r="C30" s="344">
        <v>64.72</v>
      </c>
      <c r="D30" s="345">
        <v>3.7200019213509998</v>
      </c>
      <c r="E30" s="346">
        <v>1.0609836399749999</v>
      </c>
      <c r="F30" s="344">
        <v>63.870992890624002</v>
      </c>
      <c r="G30" s="345">
        <v>53.225827408853</v>
      </c>
      <c r="H30" s="347">
        <v>6.0209999999999999</v>
      </c>
      <c r="I30" s="344">
        <v>49.713999999999999</v>
      </c>
      <c r="J30" s="345">
        <v>-3.5118274088530002</v>
      </c>
      <c r="K30" s="348">
        <v>0.77835019858099996</v>
      </c>
    </row>
    <row r="31" spans="1:11" ht="14.4" customHeight="1" thickBot="1" x14ac:dyDescent="0.35">
      <c r="A31" s="367" t="s">
        <v>235</v>
      </c>
      <c r="B31" s="349">
        <v>41.260925698005998</v>
      </c>
      <c r="C31" s="349">
        <v>30.501090000000001</v>
      </c>
      <c r="D31" s="350">
        <v>-10.759835698006</v>
      </c>
      <c r="E31" s="356">
        <v>0.73922456861999997</v>
      </c>
      <c r="F31" s="349">
        <v>31.631453951876999</v>
      </c>
      <c r="G31" s="350">
        <v>26.359544959897001</v>
      </c>
      <c r="H31" s="352">
        <v>1.8423799999999999</v>
      </c>
      <c r="I31" s="349">
        <v>27.226680000000002</v>
      </c>
      <c r="J31" s="350">
        <v>0.86713504010200004</v>
      </c>
      <c r="K31" s="353">
        <v>0.86074702861899999</v>
      </c>
    </row>
    <row r="32" spans="1:11" ht="14.4" customHeight="1" thickBot="1" x14ac:dyDescent="0.35">
      <c r="A32" s="364" t="s">
        <v>27</v>
      </c>
      <c r="B32" s="344">
        <v>13.559512816128001</v>
      </c>
      <c r="C32" s="344">
        <v>3.1000200000000002</v>
      </c>
      <c r="D32" s="345">
        <v>-10.459492816128</v>
      </c>
      <c r="E32" s="346">
        <v>0.228623258227</v>
      </c>
      <c r="F32" s="344">
        <v>3.5590760194079998</v>
      </c>
      <c r="G32" s="345">
        <v>2.96589668284</v>
      </c>
      <c r="H32" s="347">
        <v>0</v>
      </c>
      <c r="I32" s="344">
        <v>2.4681899999999999</v>
      </c>
      <c r="J32" s="345">
        <v>-0.49770668284000003</v>
      </c>
      <c r="K32" s="348">
        <v>0.69349179015499995</v>
      </c>
    </row>
    <row r="33" spans="1:11" ht="14.4" customHeight="1" thickBot="1" x14ac:dyDescent="0.35">
      <c r="A33" s="368" t="s">
        <v>236</v>
      </c>
      <c r="B33" s="344">
        <v>13.559512816128001</v>
      </c>
      <c r="C33" s="344">
        <v>3.1000200000000002</v>
      </c>
      <c r="D33" s="345">
        <v>-10.459492816128</v>
      </c>
      <c r="E33" s="346">
        <v>0.228623258227</v>
      </c>
      <c r="F33" s="344">
        <v>3.5590760194079998</v>
      </c>
      <c r="G33" s="345">
        <v>2.96589668284</v>
      </c>
      <c r="H33" s="347">
        <v>0</v>
      </c>
      <c r="I33" s="344">
        <v>2.4681899999999999</v>
      </c>
      <c r="J33" s="345">
        <v>-0.49770668284000003</v>
      </c>
      <c r="K33" s="348">
        <v>0.69349179015499995</v>
      </c>
    </row>
    <row r="34" spans="1:11" ht="14.4" customHeight="1" thickBot="1" x14ac:dyDescent="0.35">
      <c r="A34" s="366" t="s">
        <v>237</v>
      </c>
      <c r="B34" s="344">
        <v>0</v>
      </c>
      <c r="C34" s="344">
        <v>5.5511151231257797E-16</v>
      </c>
      <c r="D34" s="345">
        <v>5.5511151231257797E-16</v>
      </c>
      <c r="E34" s="346">
        <v>0</v>
      </c>
      <c r="F34" s="344">
        <v>0</v>
      </c>
      <c r="G34" s="345">
        <v>0</v>
      </c>
      <c r="H34" s="347">
        <v>0</v>
      </c>
      <c r="I34" s="344">
        <v>0.13683000000000001</v>
      </c>
      <c r="J34" s="345">
        <v>0.13683000000000001</v>
      </c>
      <c r="K34" s="355" t="s">
        <v>208</v>
      </c>
    </row>
    <row r="35" spans="1:11" ht="14.4" customHeight="1" thickBot="1" x14ac:dyDescent="0.35">
      <c r="A35" s="366" t="s">
        <v>238</v>
      </c>
      <c r="B35" s="344">
        <v>11.999999622029</v>
      </c>
      <c r="C35" s="344">
        <v>2.1901000000000002</v>
      </c>
      <c r="D35" s="345">
        <v>-9.8098996220290005</v>
      </c>
      <c r="E35" s="346">
        <v>0.182508339081</v>
      </c>
      <c r="F35" s="344">
        <v>2.2508507564700002</v>
      </c>
      <c r="G35" s="345">
        <v>1.875708963725</v>
      </c>
      <c r="H35" s="347">
        <v>0</v>
      </c>
      <c r="I35" s="344">
        <v>0</v>
      </c>
      <c r="J35" s="345">
        <v>-1.875708963725</v>
      </c>
      <c r="K35" s="348">
        <v>0</v>
      </c>
    </row>
    <row r="36" spans="1:11" ht="14.4" customHeight="1" thickBot="1" x14ac:dyDescent="0.35">
      <c r="A36" s="366" t="s">
        <v>239</v>
      </c>
      <c r="B36" s="344">
        <v>1.5595131940989999</v>
      </c>
      <c r="C36" s="344">
        <v>0.90991999999899997</v>
      </c>
      <c r="D36" s="345">
        <v>-0.64959319409899996</v>
      </c>
      <c r="E36" s="346">
        <v>0.58346412421600002</v>
      </c>
      <c r="F36" s="344">
        <v>1.308225262938</v>
      </c>
      <c r="G36" s="345">
        <v>1.090187719115</v>
      </c>
      <c r="H36" s="347">
        <v>0</v>
      </c>
      <c r="I36" s="344">
        <v>2.3313600000000001</v>
      </c>
      <c r="J36" s="345">
        <v>1.241172280884</v>
      </c>
      <c r="K36" s="348">
        <v>1.782078412675</v>
      </c>
    </row>
    <row r="37" spans="1:11" ht="14.4" customHeight="1" thickBot="1" x14ac:dyDescent="0.35">
      <c r="A37" s="369" t="s">
        <v>28</v>
      </c>
      <c r="B37" s="349">
        <v>0</v>
      </c>
      <c r="C37" s="349">
        <v>4.8620000000000001</v>
      </c>
      <c r="D37" s="350">
        <v>4.8620000000000001</v>
      </c>
      <c r="E37" s="351" t="s">
        <v>208</v>
      </c>
      <c r="F37" s="349">
        <v>0</v>
      </c>
      <c r="G37" s="350">
        <v>0</v>
      </c>
      <c r="H37" s="352">
        <v>0</v>
      </c>
      <c r="I37" s="349">
        <v>0</v>
      </c>
      <c r="J37" s="350">
        <v>0</v>
      </c>
      <c r="K37" s="357" t="s">
        <v>208</v>
      </c>
    </row>
    <row r="38" spans="1:11" ht="14.4" customHeight="1" thickBot="1" x14ac:dyDescent="0.35">
      <c r="A38" s="365" t="s">
        <v>240</v>
      </c>
      <c r="B38" s="349">
        <v>0</v>
      </c>
      <c r="C38" s="349">
        <v>4.8620000000000001</v>
      </c>
      <c r="D38" s="350">
        <v>4.8620000000000001</v>
      </c>
      <c r="E38" s="351" t="s">
        <v>208</v>
      </c>
      <c r="F38" s="349">
        <v>0</v>
      </c>
      <c r="G38" s="350">
        <v>0</v>
      </c>
      <c r="H38" s="352">
        <v>0</v>
      </c>
      <c r="I38" s="349">
        <v>0</v>
      </c>
      <c r="J38" s="350">
        <v>0</v>
      </c>
      <c r="K38" s="357" t="s">
        <v>208</v>
      </c>
    </row>
    <row r="39" spans="1:11" ht="14.4" customHeight="1" thickBot="1" x14ac:dyDescent="0.35">
      <c r="A39" s="366" t="s">
        <v>241</v>
      </c>
      <c r="B39" s="344">
        <v>0</v>
      </c>
      <c r="C39" s="344">
        <v>4.8620000000000001</v>
      </c>
      <c r="D39" s="345">
        <v>4.8620000000000001</v>
      </c>
      <c r="E39" s="354" t="s">
        <v>208</v>
      </c>
      <c r="F39" s="344">
        <v>0</v>
      </c>
      <c r="G39" s="345">
        <v>0</v>
      </c>
      <c r="H39" s="347">
        <v>0</v>
      </c>
      <c r="I39" s="344">
        <v>0</v>
      </c>
      <c r="J39" s="345">
        <v>0</v>
      </c>
      <c r="K39" s="355" t="s">
        <v>208</v>
      </c>
    </row>
    <row r="40" spans="1:11" ht="14.4" customHeight="1" thickBot="1" x14ac:dyDescent="0.35">
      <c r="A40" s="364" t="s">
        <v>29</v>
      </c>
      <c r="B40" s="344">
        <v>27.701412881877999</v>
      </c>
      <c r="C40" s="344">
        <v>22.539069999999999</v>
      </c>
      <c r="D40" s="345">
        <v>-5.1623428818769996</v>
      </c>
      <c r="E40" s="346">
        <v>0.81364333639200004</v>
      </c>
      <c r="F40" s="344">
        <v>28.072377932468001</v>
      </c>
      <c r="G40" s="345">
        <v>23.393648277057</v>
      </c>
      <c r="H40" s="347">
        <v>1.8423799999999999</v>
      </c>
      <c r="I40" s="344">
        <v>24.758489999999998</v>
      </c>
      <c r="J40" s="345">
        <v>1.364841722942</v>
      </c>
      <c r="K40" s="348">
        <v>0.88195200490500003</v>
      </c>
    </row>
    <row r="41" spans="1:11" ht="14.4" customHeight="1" thickBot="1" x14ac:dyDescent="0.35">
      <c r="A41" s="365" t="s">
        <v>242</v>
      </c>
      <c r="B41" s="349">
        <v>0.10588701725000001</v>
      </c>
      <c r="C41" s="349">
        <v>0.27300000000000002</v>
      </c>
      <c r="D41" s="350">
        <v>0.16711298274899999</v>
      </c>
      <c r="E41" s="356">
        <v>2.5782197580939998</v>
      </c>
      <c r="F41" s="349">
        <v>0.125354203198</v>
      </c>
      <c r="G41" s="350">
        <v>0.104461835998</v>
      </c>
      <c r="H41" s="352">
        <v>0</v>
      </c>
      <c r="I41" s="349">
        <v>0</v>
      </c>
      <c r="J41" s="350">
        <v>-0.104461835998</v>
      </c>
      <c r="K41" s="353">
        <v>0</v>
      </c>
    </row>
    <row r="42" spans="1:11" ht="14.4" customHeight="1" thickBot="1" x14ac:dyDescent="0.35">
      <c r="A42" s="366" t="s">
        <v>243</v>
      </c>
      <c r="B42" s="344">
        <v>0.10588701725000001</v>
      </c>
      <c r="C42" s="344">
        <v>0.27300000000000002</v>
      </c>
      <c r="D42" s="345">
        <v>0.16711298274899999</v>
      </c>
      <c r="E42" s="346">
        <v>2.5782197580939998</v>
      </c>
      <c r="F42" s="344">
        <v>0.125354203198</v>
      </c>
      <c r="G42" s="345">
        <v>0.104461835998</v>
      </c>
      <c r="H42" s="347">
        <v>0</v>
      </c>
      <c r="I42" s="344">
        <v>0</v>
      </c>
      <c r="J42" s="345">
        <v>-0.104461835998</v>
      </c>
      <c r="K42" s="348">
        <v>0</v>
      </c>
    </row>
    <row r="43" spans="1:11" ht="14.4" customHeight="1" thickBot="1" x14ac:dyDescent="0.35">
      <c r="A43" s="365" t="s">
        <v>244</v>
      </c>
      <c r="B43" s="349">
        <v>7.0273589625220003</v>
      </c>
      <c r="C43" s="349">
        <v>1.28616</v>
      </c>
      <c r="D43" s="350">
        <v>-5.7411989625219997</v>
      </c>
      <c r="E43" s="356">
        <v>0.18302181614099999</v>
      </c>
      <c r="F43" s="349">
        <v>1.338398807645</v>
      </c>
      <c r="G43" s="350">
        <v>1.115332339704</v>
      </c>
      <c r="H43" s="352">
        <v>0.35431000000000001</v>
      </c>
      <c r="I43" s="349">
        <v>3.80063</v>
      </c>
      <c r="J43" s="350">
        <v>2.6852976602949998</v>
      </c>
      <c r="K43" s="353">
        <v>2.8396842393230002</v>
      </c>
    </row>
    <row r="44" spans="1:11" ht="14.4" customHeight="1" thickBot="1" x14ac:dyDescent="0.35">
      <c r="A44" s="366" t="s">
        <v>245</v>
      </c>
      <c r="B44" s="344">
        <v>0.22710996989500001</v>
      </c>
      <c r="C44" s="344">
        <v>0.1273</v>
      </c>
      <c r="D44" s="345">
        <v>-9.9809969895000003E-2</v>
      </c>
      <c r="E44" s="346">
        <v>0.56052140757299995</v>
      </c>
      <c r="F44" s="344">
        <v>6.3936850732000006E-2</v>
      </c>
      <c r="G44" s="345">
        <v>5.3280708943000001E-2</v>
      </c>
      <c r="H44" s="347">
        <v>0</v>
      </c>
      <c r="I44" s="344">
        <v>6.6500000000000004E-2</v>
      </c>
      <c r="J44" s="345">
        <v>1.3219291056000001E-2</v>
      </c>
      <c r="K44" s="348">
        <v>1.0400887631810001</v>
      </c>
    </row>
    <row r="45" spans="1:11" ht="14.4" customHeight="1" thickBot="1" x14ac:dyDescent="0.35">
      <c r="A45" s="366" t="s">
        <v>246</v>
      </c>
      <c r="B45" s="344">
        <v>6.8002489926259999</v>
      </c>
      <c r="C45" s="344">
        <v>1.15886</v>
      </c>
      <c r="D45" s="345">
        <v>-5.6413889926260001</v>
      </c>
      <c r="E45" s="346">
        <v>0.170414348247</v>
      </c>
      <c r="F45" s="344">
        <v>1.274461956913</v>
      </c>
      <c r="G45" s="345">
        <v>1.0620516307600001</v>
      </c>
      <c r="H45" s="347">
        <v>0.35431000000000001</v>
      </c>
      <c r="I45" s="344">
        <v>3.7341299999999999</v>
      </c>
      <c r="J45" s="345">
        <v>2.6720783692390002</v>
      </c>
      <c r="K45" s="348">
        <v>2.9299658414629999</v>
      </c>
    </row>
    <row r="46" spans="1:11" ht="14.4" customHeight="1" thickBot="1" x14ac:dyDescent="0.35">
      <c r="A46" s="365" t="s">
        <v>247</v>
      </c>
      <c r="B46" s="349">
        <v>3.9999998740090001</v>
      </c>
      <c r="C46" s="349">
        <v>3.78</v>
      </c>
      <c r="D46" s="350">
        <v>-0.21999987400900001</v>
      </c>
      <c r="E46" s="356">
        <v>0.94500002976499997</v>
      </c>
      <c r="F46" s="349">
        <v>3.9999936338570001</v>
      </c>
      <c r="G46" s="350">
        <v>3.3333280282139999</v>
      </c>
      <c r="H46" s="352">
        <v>0</v>
      </c>
      <c r="I46" s="349">
        <v>2.835</v>
      </c>
      <c r="J46" s="350">
        <v>-0.49832802821400002</v>
      </c>
      <c r="K46" s="353">
        <v>0.70875112800200002</v>
      </c>
    </row>
    <row r="47" spans="1:11" ht="14.4" customHeight="1" thickBot="1" x14ac:dyDescent="0.35">
      <c r="A47" s="366" t="s">
        <v>248</v>
      </c>
      <c r="B47" s="344">
        <v>3.9999998740090001</v>
      </c>
      <c r="C47" s="344">
        <v>3.78</v>
      </c>
      <c r="D47" s="345">
        <v>-0.21999987400900001</v>
      </c>
      <c r="E47" s="346">
        <v>0.94500002976499997</v>
      </c>
      <c r="F47" s="344">
        <v>3.9999936338570001</v>
      </c>
      <c r="G47" s="345">
        <v>3.3333280282139999</v>
      </c>
      <c r="H47" s="347">
        <v>0</v>
      </c>
      <c r="I47" s="344">
        <v>2.835</v>
      </c>
      <c r="J47" s="345">
        <v>-0.49832802821400002</v>
      </c>
      <c r="K47" s="348">
        <v>0.70875112800200002</v>
      </c>
    </row>
    <row r="48" spans="1:11" ht="14.4" customHeight="1" thickBot="1" x14ac:dyDescent="0.35">
      <c r="A48" s="365" t="s">
        <v>249</v>
      </c>
      <c r="B48" s="349">
        <v>16.568167028095999</v>
      </c>
      <c r="C48" s="349">
        <v>17.199909999999999</v>
      </c>
      <c r="D48" s="350">
        <v>0.63174297190299999</v>
      </c>
      <c r="E48" s="356">
        <v>1.0381299253459999</v>
      </c>
      <c r="F48" s="349">
        <v>17.608639245443001</v>
      </c>
      <c r="G48" s="350">
        <v>14.673866037869001</v>
      </c>
      <c r="H48" s="352">
        <v>1.48807</v>
      </c>
      <c r="I48" s="349">
        <v>14.882860000000001</v>
      </c>
      <c r="J48" s="350">
        <v>0.20899396212999999</v>
      </c>
      <c r="K48" s="353">
        <v>0.84520216426399997</v>
      </c>
    </row>
    <row r="49" spans="1:11" ht="14.4" customHeight="1" thickBot="1" x14ac:dyDescent="0.35">
      <c r="A49" s="366" t="s">
        <v>250</v>
      </c>
      <c r="B49" s="344">
        <v>16.568167028095999</v>
      </c>
      <c r="C49" s="344">
        <v>17.199909999999999</v>
      </c>
      <c r="D49" s="345">
        <v>0.63174297190299999</v>
      </c>
      <c r="E49" s="346">
        <v>1.0381299253459999</v>
      </c>
      <c r="F49" s="344">
        <v>17.608639245443001</v>
      </c>
      <c r="G49" s="345">
        <v>14.673866037869001</v>
      </c>
      <c r="H49" s="347">
        <v>1.48807</v>
      </c>
      <c r="I49" s="344">
        <v>14.882860000000001</v>
      </c>
      <c r="J49" s="345">
        <v>0.20899396212999999</v>
      </c>
      <c r="K49" s="348">
        <v>0.84520216426399997</v>
      </c>
    </row>
    <row r="50" spans="1:11" ht="14.4" customHeight="1" thickBot="1" x14ac:dyDescent="0.35">
      <c r="A50" s="365" t="s">
        <v>251</v>
      </c>
      <c r="B50" s="349">
        <v>0</v>
      </c>
      <c r="C50" s="349">
        <v>0</v>
      </c>
      <c r="D50" s="350">
        <v>0</v>
      </c>
      <c r="E50" s="351" t="s">
        <v>208</v>
      </c>
      <c r="F50" s="349">
        <v>4.9999920423219999</v>
      </c>
      <c r="G50" s="350">
        <v>4.1666600352680003</v>
      </c>
      <c r="H50" s="352">
        <v>0</v>
      </c>
      <c r="I50" s="349">
        <v>3.24</v>
      </c>
      <c r="J50" s="350">
        <v>-0.926660035268</v>
      </c>
      <c r="K50" s="353">
        <v>0.64800103131599995</v>
      </c>
    </row>
    <row r="51" spans="1:11" ht="14.4" customHeight="1" thickBot="1" x14ac:dyDescent="0.35">
      <c r="A51" s="366" t="s">
        <v>252</v>
      </c>
      <c r="B51" s="344">
        <v>0</v>
      </c>
      <c r="C51" s="344">
        <v>0</v>
      </c>
      <c r="D51" s="345">
        <v>0</v>
      </c>
      <c r="E51" s="354" t="s">
        <v>208</v>
      </c>
      <c r="F51" s="344">
        <v>4.9999920423219999</v>
      </c>
      <c r="G51" s="345">
        <v>4.1666600352680003</v>
      </c>
      <c r="H51" s="347">
        <v>0</v>
      </c>
      <c r="I51" s="344">
        <v>3.24</v>
      </c>
      <c r="J51" s="345">
        <v>-0.926660035268</v>
      </c>
      <c r="K51" s="348">
        <v>0.64800103131599995</v>
      </c>
    </row>
    <row r="52" spans="1:11" ht="14.4" customHeight="1" thickBot="1" x14ac:dyDescent="0.35">
      <c r="A52" s="363" t="s">
        <v>30</v>
      </c>
      <c r="B52" s="344">
        <v>3111.99990197954</v>
      </c>
      <c r="C52" s="344">
        <v>3342.1520700000001</v>
      </c>
      <c r="D52" s="345">
        <v>230.15216802045799</v>
      </c>
      <c r="E52" s="346">
        <v>1.073956354521</v>
      </c>
      <c r="F52" s="344">
        <v>3259.0002942208698</v>
      </c>
      <c r="G52" s="345">
        <v>2715.8335785173899</v>
      </c>
      <c r="H52" s="347">
        <v>267.37734</v>
      </c>
      <c r="I52" s="344">
        <v>2689.3991999999998</v>
      </c>
      <c r="J52" s="345">
        <v>-26.434378517390002</v>
      </c>
      <c r="K52" s="348">
        <v>0.82522214090199997</v>
      </c>
    </row>
    <row r="53" spans="1:11" ht="14.4" customHeight="1" thickBot="1" x14ac:dyDescent="0.35">
      <c r="A53" s="369" t="s">
        <v>253</v>
      </c>
      <c r="B53" s="349">
        <v>2306.99992733509</v>
      </c>
      <c r="C53" s="349">
        <v>2479</v>
      </c>
      <c r="D53" s="350">
        <v>172.000072664909</v>
      </c>
      <c r="E53" s="356">
        <v>1.0745557338889999</v>
      </c>
      <c r="F53" s="349">
        <v>2407.0002173027401</v>
      </c>
      <c r="G53" s="350">
        <v>2005.83351441895</v>
      </c>
      <c r="H53" s="352">
        <v>197.327</v>
      </c>
      <c r="I53" s="349">
        <v>1988.223</v>
      </c>
      <c r="J53" s="350">
        <v>-17.61051441895</v>
      </c>
      <c r="K53" s="353">
        <v>0.82601695907899997</v>
      </c>
    </row>
    <row r="54" spans="1:11" ht="14.4" customHeight="1" thickBot="1" x14ac:dyDescent="0.35">
      <c r="A54" s="365" t="s">
        <v>254</v>
      </c>
      <c r="B54" s="349">
        <v>2299.9999275555701</v>
      </c>
      <c r="C54" s="349">
        <v>2465.7689999999998</v>
      </c>
      <c r="D54" s="350">
        <v>165.769072444426</v>
      </c>
      <c r="E54" s="356">
        <v>1.0720735120280001</v>
      </c>
      <c r="F54" s="349">
        <v>2400.00021667078</v>
      </c>
      <c r="G54" s="350">
        <v>2000.00018055899</v>
      </c>
      <c r="H54" s="352">
        <v>197.327</v>
      </c>
      <c r="I54" s="349">
        <v>1974.529</v>
      </c>
      <c r="J54" s="350">
        <v>-25.471180558985999</v>
      </c>
      <c r="K54" s="353">
        <v>0.822720342391</v>
      </c>
    </row>
    <row r="55" spans="1:11" ht="14.4" customHeight="1" thickBot="1" x14ac:dyDescent="0.35">
      <c r="A55" s="366" t="s">
        <v>255</v>
      </c>
      <c r="B55" s="344">
        <v>2299.9999275555701</v>
      </c>
      <c r="C55" s="344">
        <v>2465.7689999999998</v>
      </c>
      <c r="D55" s="345">
        <v>165.769072444426</v>
      </c>
      <c r="E55" s="346">
        <v>1.0720735120280001</v>
      </c>
      <c r="F55" s="344">
        <v>2400.00021667078</v>
      </c>
      <c r="G55" s="345">
        <v>2000.00018055899</v>
      </c>
      <c r="H55" s="347">
        <v>197.327</v>
      </c>
      <c r="I55" s="344">
        <v>1974.529</v>
      </c>
      <c r="J55" s="345">
        <v>-25.471180558985999</v>
      </c>
      <c r="K55" s="348">
        <v>0.822720342391</v>
      </c>
    </row>
    <row r="56" spans="1:11" ht="14.4" customHeight="1" thickBot="1" x14ac:dyDescent="0.35">
      <c r="A56" s="365" t="s">
        <v>256</v>
      </c>
      <c r="B56" s="349">
        <v>6.9999997795160001</v>
      </c>
      <c r="C56" s="349">
        <v>13.231</v>
      </c>
      <c r="D56" s="350">
        <v>6.2310002204829997</v>
      </c>
      <c r="E56" s="356">
        <v>1.8901429166770001</v>
      </c>
      <c r="F56" s="349">
        <v>7.0000006319560004</v>
      </c>
      <c r="G56" s="350">
        <v>5.833333859963</v>
      </c>
      <c r="H56" s="352">
        <v>0</v>
      </c>
      <c r="I56" s="349">
        <v>13.694000000000001</v>
      </c>
      <c r="J56" s="350">
        <v>7.8606661400359998</v>
      </c>
      <c r="K56" s="353">
        <v>1.956285537673</v>
      </c>
    </row>
    <row r="57" spans="1:11" ht="14.4" customHeight="1" thickBot="1" x14ac:dyDescent="0.35">
      <c r="A57" s="366" t="s">
        <v>257</v>
      </c>
      <c r="B57" s="344">
        <v>6.9999997795160001</v>
      </c>
      <c r="C57" s="344">
        <v>13.231</v>
      </c>
      <c r="D57" s="345">
        <v>6.2310002204829997</v>
      </c>
      <c r="E57" s="346">
        <v>1.8901429166770001</v>
      </c>
      <c r="F57" s="344">
        <v>7.0000006319560004</v>
      </c>
      <c r="G57" s="345">
        <v>5.833333859963</v>
      </c>
      <c r="H57" s="347">
        <v>0</v>
      </c>
      <c r="I57" s="344">
        <v>13.694000000000001</v>
      </c>
      <c r="J57" s="345">
        <v>7.8606661400359998</v>
      </c>
      <c r="K57" s="348">
        <v>1.956285537673</v>
      </c>
    </row>
    <row r="58" spans="1:11" ht="14.4" customHeight="1" thickBot="1" x14ac:dyDescent="0.35">
      <c r="A58" s="364" t="s">
        <v>258</v>
      </c>
      <c r="B58" s="344">
        <v>781.99997536889498</v>
      </c>
      <c r="C58" s="344">
        <v>838.36306999999999</v>
      </c>
      <c r="D58" s="345">
        <v>56.363094631103998</v>
      </c>
      <c r="E58" s="346">
        <v>1.072075570852</v>
      </c>
      <c r="F58" s="344">
        <v>816.00007366806699</v>
      </c>
      <c r="G58" s="345">
        <v>680.00006139005598</v>
      </c>
      <c r="H58" s="347">
        <v>67.090919999999997</v>
      </c>
      <c r="I58" s="344">
        <v>671.34870000000001</v>
      </c>
      <c r="J58" s="345">
        <v>-8.6513613900549995</v>
      </c>
      <c r="K58" s="348">
        <v>0.82273117572400001</v>
      </c>
    </row>
    <row r="59" spans="1:11" ht="14.4" customHeight="1" thickBot="1" x14ac:dyDescent="0.35">
      <c r="A59" s="365" t="s">
        <v>259</v>
      </c>
      <c r="B59" s="349">
        <v>206.99999348000199</v>
      </c>
      <c r="C59" s="349">
        <v>221.92080999999999</v>
      </c>
      <c r="D59" s="350">
        <v>14.920816519998001</v>
      </c>
      <c r="E59" s="356">
        <v>1.072081241497</v>
      </c>
      <c r="F59" s="349">
        <v>216.000019500371</v>
      </c>
      <c r="G59" s="350">
        <v>180.00001625030899</v>
      </c>
      <c r="H59" s="352">
        <v>17.759170000000001</v>
      </c>
      <c r="I59" s="349">
        <v>177.71644000000001</v>
      </c>
      <c r="J59" s="350">
        <v>-2.2835762503080002</v>
      </c>
      <c r="K59" s="353">
        <v>0.82276122201699997</v>
      </c>
    </row>
    <row r="60" spans="1:11" ht="14.4" customHeight="1" thickBot="1" x14ac:dyDescent="0.35">
      <c r="A60" s="366" t="s">
        <v>260</v>
      </c>
      <c r="B60" s="344">
        <v>206.99999348000199</v>
      </c>
      <c r="C60" s="344">
        <v>221.92080999999999</v>
      </c>
      <c r="D60" s="345">
        <v>14.920816519998001</v>
      </c>
      <c r="E60" s="346">
        <v>1.072081241497</v>
      </c>
      <c r="F60" s="344">
        <v>216.000019500371</v>
      </c>
      <c r="G60" s="345">
        <v>180.00001625030899</v>
      </c>
      <c r="H60" s="347">
        <v>17.759170000000001</v>
      </c>
      <c r="I60" s="344">
        <v>177.71644000000001</v>
      </c>
      <c r="J60" s="345">
        <v>-2.2835762503080002</v>
      </c>
      <c r="K60" s="348">
        <v>0.82276122201699997</v>
      </c>
    </row>
    <row r="61" spans="1:11" ht="14.4" customHeight="1" thickBot="1" x14ac:dyDescent="0.35">
      <c r="A61" s="365" t="s">
        <v>261</v>
      </c>
      <c r="B61" s="349">
        <v>574.99998188889401</v>
      </c>
      <c r="C61" s="349">
        <v>616.44226000000003</v>
      </c>
      <c r="D61" s="350">
        <v>41.442278111105999</v>
      </c>
      <c r="E61" s="356">
        <v>1.072073529419</v>
      </c>
      <c r="F61" s="349">
        <v>600.00005416769602</v>
      </c>
      <c r="G61" s="350">
        <v>500.00004513974699</v>
      </c>
      <c r="H61" s="352">
        <v>49.33175</v>
      </c>
      <c r="I61" s="349">
        <v>493.63225999999997</v>
      </c>
      <c r="J61" s="350">
        <v>-6.3677851397460001</v>
      </c>
      <c r="K61" s="353">
        <v>0.82272035905800001</v>
      </c>
    </row>
    <row r="62" spans="1:11" ht="14.4" customHeight="1" thickBot="1" x14ac:dyDescent="0.35">
      <c r="A62" s="366" t="s">
        <v>262</v>
      </c>
      <c r="B62" s="344">
        <v>574.99998188889401</v>
      </c>
      <c r="C62" s="344">
        <v>616.44226000000003</v>
      </c>
      <c r="D62" s="345">
        <v>41.442278111105999</v>
      </c>
      <c r="E62" s="346">
        <v>1.072073529419</v>
      </c>
      <c r="F62" s="344">
        <v>600.00005416769602</v>
      </c>
      <c r="G62" s="345">
        <v>500.00004513974699</v>
      </c>
      <c r="H62" s="347">
        <v>49.33175</v>
      </c>
      <c r="I62" s="344">
        <v>493.63225999999997</v>
      </c>
      <c r="J62" s="345">
        <v>-6.3677851397460001</v>
      </c>
      <c r="K62" s="348">
        <v>0.82272035905800001</v>
      </c>
    </row>
    <row r="63" spans="1:11" ht="14.4" customHeight="1" thickBot="1" x14ac:dyDescent="0.35">
      <c r="A63" s="364" t="s">
        <v>263</v>
      </c>
      <c r="B63" s="344">
        <v>22.999999275554998</v>
      </c>
      <c r="C63" s="344">
        <v>24.789000000000001</v>
      </c>
      <c r="D63" s="345">
        <v>1.789000724444</v>
      </c>
      <c r="E63" s="346">
        <v>1.0777826426429999</v>
      </c>
      <c r="F63" s="344">
        <v>36.000003250060999</v>
      </c>
      <c r="G63" s="345">
        <v>30.000002708383999</v>
      </c>
      <c r="H63" s="347">
        <v>2.9594200000000002</v>
      </c>
      <c r="I63" s="344">
        <v>29.827500000000001</v>
      </c>
      <c r="J63" s="345">
        <v>-0.172502708384</v>
      </c>
      <c r="K63" s="348">
        <v>0.82854159186599996</v>
      </c>
    </row>
    <row r="64" spans="1:11" ht="14.4" customHeight="1" thickBot="1" x14ac:dyDescent="0.35">
      <c r="A64" s="365" t="s">
        <v>264</v>
      </c>
      <c r="B64" s="349">
        <v>22.999999275554998</v>
      </c>
      <c r="C64" s="349">
        <v>24.789000000000001</v>
      </c>
      <c r="D64" s="350">
        <v>1.789000724444</v>
      </c>
      <c r="E64" s="356">
        <v>1.0777826426429999</v>
      </c>
      <c r="F64" s="349">
        <v>36.000003250060999</v>
      </c>
      <c r="G64" s="350">
        <v>30.000002708383999</v>
      </c>
      <c r="H64" s="352">
        <v>2.9594200000000002</v>
      </c>
      <c r="I64" s="349">
        <v>29.827500000000001</v>
      </c>
      <c r="J64" s="350">
        <v>-0.172502708384</v>
      </c>
      <c r="K64" s="353">
        <v>0.82854159186599996</v>
      </c>
    </row>
    <row r="65" spans="1:11" ht="14.4" customHeight="1" thickBot="1" x14ac:dyDescent="0.35">
      <c r="A65" s="366" t="s">
        <v>265</v>
      </c>
      <c r="B65" s="344">
        <v>22.999999275554998</v>
      </c>
      <c r="C65" s="344">
        <v>24.789000000000001</v>
      </c>
      <c r="D65" s="345">
        <v>1.789000724444</v>
      </c>
      <c r="E65" s="346">
        <v>1.0777826426429999</v>
      </c>
      <c r="F65" s="344">
        <v>36.000003250060999</v>
      </c>
      <c r="G65" s="345">
        <v>30.000002708383999</v>
      </c>
      <c r="H65" s="347">
        <v>2.9594200000000002</v>
      </c>
      <c r="I65" s="344">
        <v>29.827500000000001</v>
      </c>
      <c r="J65" s="345">
        <v>-0.172502708384</v>
      </c>
      <c r="K65" s="348">
        <v>0.82854159186599996</v>
      </c>
    </row>
    <row r="66" spans="1:11" ht="14.4" customHeight="1" thickBot="1" x14ac:dyDescent="0.35">
      <c r="A66" s="363" t="s">
        <v>266</v>
      </c>
      <c r="B66" s="344">
        <v>0</v>
      </c>
      <c r="C66" s="344">
        <v>15.359249999999999</v>
      </c>
      <c r="D66" s="345">
        <v>15.359249999999999</v>
      </c>
      <c r="E66" s="354" t="s">
        <v>208</v>
      </c>
      <c r="F66" s="344">
        <v>0</v>
      </c>
      <c r="G66" s="345">
        <v>0</v>
      </c>
      <c r="H66" s="347">
        <v>0</v>
      </c>
      <c r="I66" s="344">
        <v>0</v>
      </c>
      <c r="J66" s="345">
        <v>0</v>
      </c>
      <c r="K66" s="355" t="s">
        <v>208</v>
      </c>
    </row>
    <row r="67" spans="1:11" ht="14.4" customHeight="1" thickBot="1" x14ac:dyDescent="0.35">
      <c r="A67" s="364" t="s">
        <v>267</v>
      </c>
      <c r="B67" s="344">
        <v>0</v>
      </c>
      <c r="C67" s="344">
        <v>15.359249999999999</v>
      </c>
      <c r="D67" s="345">
        <v>15.359249999999999</v>
      </c>
      <c r="E67" s="354" t="s">
        <v>208</v>
      </c>
      <c r="F67" s="344">
        <v>0</v>
      </c>
      <c r="G67" s="345">
        <v>0</v>
      </c>
      <c r="H67" s="347">
        <v>0</v>
      </c>
      <c r="I67" s="344">
        <v>0</v>
      </c>
      <c r="J67" s="345">
        <v>0</v>
      </c>
      <c r="K67" s="355" t="s">
        <v>208</v>
      </c>
    </row>
    <row r="68" spans="1:11" ht="14.4" customHeight="1" thickBot="1" x14ac:dyDescent="0.35">
      <c r="A68" s="365" t="s">
        <v>268</v>
      </c>
      <c r="B68" s="349">
        <v>0</v>
      </c>
      <c r="C68" s="349">
        <v>3.3592499999999998</v>
      </c>
      <c r="D68" s="350">
        <v>3.3592499999999998</v>
      </c>
      <c r="E68" s="351" t="s">
        <v>214</v>
      </c>
      <c r="F68" s="349">
        <v>0</v>
      </c>
      <c r="G68" s="350">
        <v>0</v>
      </c>
      <c r="H68" s="352">
        <v>0</v>
      </c>
      <c r="I68" s="349">
        <v>0</v>
      </c>
      <c r="J68" s="350">
        <v>0</v>
      </c>
      <c r="K68" s="357" t="s">
        <v>208</v>
      </c>
    </row>
    <row r="69" spans="1:11" ht="14.4" customHeight="1" thickBot="1" x14ac:dyDescent="0.35">
      <c r="A69" s="366" t="s">
        <v>269</v>
      </c>
      <c r="B69" s="344">
        <v>0</v>
      </c>
      <c r="C69" s="344">
        <v>1.1092500000000001</v>
      </c>
      <c r="D69" s="345">
        <v>1.1092500000000001</v>
      </c>
      <c r="E69" s="354" t="s">
        <v>214</v>
      </c>
      <c r="F69" s="344">
        <v>0</v>
      </c>
      <c r="G69" s="345">
        <v>0</v>
      </c>
      <c r="H69" s="347">
        <v>0</v>
      </c>
      <c r="I69" s="344">
        <v>0</v>
      </c>
      <c r="J69" s="345">
        <v>0</v>
      </c>
      <c r="K69" s="355" t="s">
        <v>208</v>
      </c>
    </row>
    <row r="70" spans="1:11" ht="14.4" customHeight="1" thickBot="1" x14ac:dyDescent="0.35">
      <c r="A70" s="366" t="s">
        <v>270</v>
      </c>
      <c r="B70" s="344">
        <v>0</v>
      </c>
      <c r="C70" s="344">
        <v>2.25</v>
      </c>
      <c r="D70" s="345">
        <v>2.25</v>
      </c>
      <c r="E70" s="354" t="s">
        <v>214</v>
      </c>
      <c r="F70" s="344">
        <v>0</v>
      </c>
      <c r="G70" s="345">
        <v>0</v>
      </c>
      <c r="H70" s="347">
        <v>0</v>
      </c>
      <c r="I70" s="344">
        <v>0</v>
      </c>
      <c r="J70" s="345">
        <v>0</v>
      </c>
      <c r="K70" s="355" t="s">
        <v>208</v>
      </c>
    </row>
    <row r="71" spans="1:11" ht="14.4" customHeight="1" thickBot="1" x14ac:dyDescent="0.35">
      <c r="A71" s="368" t="s">
        <v>271</v>
      </c>
      <c r="B71" s="344">
        <v>0</v>
      </c>
      <c r="C71" s="344">
        <v>12</v>
      </c>
      <c r="D71" s="345">
        <v>12</v>
      </c>
      <c r="E71" s="354" t="s">
        <v>208</v>
      </c>
      <c r="F71" s="344">
        <v>0</v>
      </c>
      <c r="G71" s="345">
        <v>0</v>
      </c>
      <c r="H71" s="347">
        <v>0</v>
      </c>
      <c r="I71" s="344">
        <v>0</v>
      </c>
      <c r="J71" s="345">
        <v>0</v>
      </c>
      <c r="K71" s="355" t="s">
        <v>208</v>
      </c>
    </row>
    <row r="72" spans="1:11" ht="14.4" customHeight="1" thickBot="1" x14ac:dyDescent="0.35">
      <c r="A72" s="366" t="s">
        <v>272</v>
      </c>
      <c r="B72" s="344">
        <v>0</v>
      </c>
      <c r="C72" s="344">
        <v>12</v>
      </c>
      <c r="D72" s="345">
        <v>12</v>
      </c>
      <c r="E72" s="354" t="s">
        <v>208</v>
      </c>
      <c r="F72" s="344">
        <v>0</v>
      </c>
      <c r="G72" s="345">
        <v>0</v>
      </c>
      <c r="H72" s="347">
        <v>0</v>
      </c>
      <c r="I72" s="344">
        <v>0</v>
      </c>
      <c r="J72" s="345">
        <v>0</v>
      </c>
      <c r="K72" s="355" t="s">
        <v>208</v>
      </c>
    </row>
    <row r="73" spans="1:11" ht="14.4" customHeight="1" thickBot="1" x14ac:dyDescent="0.35">
      <c r="A73" s="363" t="s">
        <v>273</v>
      </c>
      <c r="B73" s="344">
        <v>19.999962416498999</v>
      </c>
      <c r="C73" s="344">
        <v>32.674399999999999</v>
      </c>
      <c r="D73" s="345">
        <v>12.6744375835</v>
      </c>
      <c r="E73" s="346">
        <v>1.6337230700509999</v>
      </c>
      <c r="F73" s="344">
        <v>20.000046185193</v>
      </c>
      <c r="G73" s="345">
        <v>16.666705154327001</v>
      </c>
      <c r="H73" s="347">
        <v>1.647</v>
      </c>
      <c r="I73" s="344">
        <v>16.416</v>
      </c>
      <c r="J73" s="345">
        <v>-0.25070515432700002</v>
      </c>
      <c r="K73" s="348">
        <v>0.82079810456400004</v>
      </c>
    </row>
    <row r="74" spans="1:11" ht="14.4" customHeight="1" thickBot="1" x14ac:dyDescent="0.35">
      <c r="A74" s="364" t="s">
        <v>274</v>
      </c>
      <c r="B74" s="344">
        <v>19.999962416498999</v>
      </c>
      <c r="C74" s="344">
        <v>19.681000000000001</v>
      </c>
      <c r="D74" s="345">
        <v>-0.31896241649899998</v>
      </c>
      <c r="E74" s="346">
        <v>0.984051849205</v>
      </c>
      <c r="F74" s="344">
        <v>20.000046185193</v>
      </c>
      <c r="G74" s="345">
        <v>16.666705154327001</v>
      </c>
      <c r="H74" s="347">
        <v>1.647</v>
      </c>
      <c r="I74" s="344">
        <v>16.416</v>
      </c>
      <c r="J74" s="345">
        <v>-0.25070515432700002</v>
      </c>
      <c r="K74" s="348">
        <v>0.82079810456400004</v>
      </c>
    </row>
    <row r="75" spans="1:11" ht="14.4" customHeight="1" thickBot="1" x14ac:dyDescent="0.35">
      <c r="A75" s="365" t="s">
        <v>275</v>
      </c>
      <c r="B75" s="349">
        <v>19.999962416498999</v>
      </c>
      <c r="C75" s="349">
        <v>19.681000000000001</v>
      </c>
      <c r="D75" s="350">
        <v>-0.31896241649899998</v>
      </c>
      <c r="E75" s="356">
        <v>0.984051849205</v>
      </c>
      <c r="F75" s="349">
        <v>20.000046185193</v>
      </c>
      <c r="G75" s="350">
        <v>16.666705154327001</v>
      </c>
      <c r="H75" s="352">
        <v>1.647</v>
      </c>
      <c r="I75" s="349">
        <v>16.416</v>
      </c>
      <c r="J75" s="350">
        <v>-0.25070515432700002</v>
      </c>
      <c r="K75" s="353">
        <v>0.82079810456400004</v>
      </c>
    </row>
    <row r="76" spans="1:11" ht="14.4" customHeight="1" thickBot="1" x14ac:dyDescent="0.35">
      <c r="A76" s="366" t="s">
        <v>276</v>
      </c>
      <c r="B76" s="344">
        <v>16.99999946454</v>
      </c>
      <c r="C76" s="344">
        <v>17.077000000000002</v>
      </c>
      <c r="D76" s="345">
        <v>7.7000535459E-2</v>
      </c>
      <c r="E76" s="346">
        <v>1.004529443404</v>
      </c>
      <c r="F76" s="344">
        <v>17.000039257413999</v>
      </c>
      <c r="G76" s="345">
        <v>14.166699381178001</v>
      </c>
      <c r="H76" s="347">
        <v>1.43</v>
      </c>
      <c r="I76" s="344">
        <v>14.246</v>
      </c>
      <c r="J76" s="345">
        <v>7.9300618820999993E-2</v>
      </c>
      <c r="K76" s="348">
        <v>0.83799806484399997</v>
      </c>
    </row>
    <row r="77" spans="1:11" ht="14.4" customHeight="1" thickBot="1" x14ac:dyDescent="0.35">
      <c r="A77" s="366" t="s">
        <v>277</v>
      </c>
      <c r="B77" s="344">
        <v>2.999962951958</v>
      </c>
      <c r="C77" s="344">
        <v>2.6040000000000001</v>
      </c>
      <c r="D77" s="345">
        <v>-0.39596295195800002</v>
      </c>
      <c r="E77" s="346">
        <v>0.86801071936499996</v>
      </c>
      <c r="F77" s="344">
        <v>3.0000069277780002</v>
      </c>
      <c r="G77" s="345">
        <v>2.5000057731490002</v>
      </c>
      <c r="H77" s="347">
        <v>0.217</v>
      </c>
      <c r="I77" s="344">
        <v>2.17</v>
      </c>
      <c r="J77" s="345">
        <v>-0.33000577314899998</v>
      </c>
      <c r="K77" s="348">
        <v>0.72333166297200002</v>
      </c>
    </row>
    <row r="78" spans="1:11" ht="14.4" customHeight="1" thickBot="1" x14ac:dyDescent="0.35">
      <c r="A78" s="364" t="s">
        <v>278</v>
      </c>
      <c r="B78" s="344">
        <v>0</v>
      </c>
      <c r="C78" s="344">
        <v>12.993399999999999</v>
      </c>
      <c r="D78" s="345">
        <v>12.993399999999999</v>
      </c>
      <c r="E78" s="354" t="s">
        <v>208</v>
      </c>
      <c r="F78" s="344">
        <v>0</v>
      </c>
      <c r="G78" s="345">
        <v>0</v>
      </c>
      <c r="H78" s="347">
        <v>0</v>
      </c>
      <c r="I78" s="344">
        <v>0</v>
      </c>
      <c r="J78" s="345">
        <v>0</v>
      </c>
      <c r="K78" s="355" t="s">
        <v>208</v>
      </c>
    </row>
    <row r="79" spans="1:11" ht="14.4" customHeight="1" thickBot="1" x14ac:dyDescent="0.35">
      <c r="A79" s="365" t="s">
        <v>279</v>
      </c>
      <c r="B79" s="349">
        <v>0</v>
      </c>
      <c r="C79" s="349">
        <v>12.993399999999999</v>
      </c>
      <c r="D79" s="350">
        <v>12.993399999999999</v>
      </c>
      <c r="E79" s="351" t="s">
        <v>214</v>
      </c>
      <c r="F79" s="349">
        <v>0</v>
      </c>
      <c r="G79" s="350">
        <v>0</v>
      </c>
      <c r="H79" s="352">
        <v>0</v>
      </c>
      <c r="I79" s="349">
        <v>0</v>
      </c>
      <c r="J79" s="350">
        <v>0</v>
      </c>
      <c r="K79" s="357" t="s">
        <v>208</v>
      </c>
    </row>
    <row r="80" spans="1:11" ht="14.4" customHeight="1" thickBot="1" x14ac:dyDescent="0.35">
      <c r="A80" s="366" t="s">
        <v>280</v>
      </c>
      <c r="B80" s="344">
        <v>0</v>
      </c>
      <c r="C80" s="344">
        <v>12.993399999999999</v>
      </c>
      <c r="D80" s="345">
        <v>12.993399999999999</v>
      </c>
      <c r="E80" s="354" t="s">
        <v>214</v>
      </c>
      <c r="F80" s="344">
        <v>0</v>
      </c>
      <c r="G80" s="345">
        <v>0</v>
      </c>
      <c r="H80" s="347">
        <v>0</v>
      </c>
      <c r="I80" s="344">
        <v>0</v>
      </c>
      <c r="J80" s="345">
        <v>0</v>
      </c>
      <c r="K80" s="355" t="s">
        <v>208</v>
      </c>
    </row>
    <row r="81" spans="1:11" ht="14.4" customHeight="1" thickBot="1" x14ac:dyDescent="0.35">
      <c r="A81" s="362" t="s">
        <v>281</v>
      </c>
      <c r="B81" s="344">
        <v>1875.56638655706</v>
      </c>
      <c r="C81" s="344">
        <v>2228.2720199999999</v>
      </c>
      <c r="D81" s="345">
        <v>352.70563344293998</v>
      </c>
      <c r="E81" s="346">
        <v>1.188052865508</v>
      </c>
      <c r="F81" s="344">
        <v>2339.7759372309401</v>
      </c>
      <c r="G81" s="345">
        <v>1949.81328102578</v>
      </c>
      <c r="H81" s="347">
        <v>65.991820000000004</v>
      </c>
      <c r="I81" s="344">
        <v>1763.5546999999999</v>
      </c>
      <c r="J81" s="345">
        <v>-186.25858102578201</v>
      </c>
      <c r="K81" s="348">
        <v>0.75372802666100003</v>
      </c>
    </row>
    <row r="82" spans="1:11" ht="14.4" customHeight="1" thickBot="1" x14ac:dyDescent="0.35">
      <c r="A82" s="363" t="s">
        <v>282</v>
      </c>
      <c r="B82" s="344">
        <v>1861.56638655706</v>
      </c>
      <c r="C82" s="344">
        <v>2221.0406200000002</v>
      </c>
      <c r="D82" s="345">
        <v>359.47423344293998</v>
      </c>
      <c r="E82" s="346">
        <v>1.1931030964230001</v>
      </c>
      <c r="F82" s="344">
        <v>2333.9616925863502</v>
      </c>
      <c r="G82" s="345">
        <v>1944.9680771552901</v>
      </c>
      <c r="H82" s="347">
        <v>65.991820000000004</v>
      </c>
      <c r="I82" s="344">
        <v>1758.0588499999999</v>
      </c>
      <c r="J82" s="345">
        <v>-186.909227155292</v>
      </c>
      <c r="K82" s="348">
        <v>0.75325094477099996</v>
      </c>
    </row>
    <row r="83" spans="1:11" ht="14.4" customHeight="1" thickBot="1" x14ac:dyDescent="0.35">
      <c r="A83" s="364" t="s">
        <v>283</v>
      </c>
      <c r="B83" s="344">
        <v>1861.56638655706</v>
      </c>
      <c r="C83" s="344">
        <v>2221.0406200000002</v>
      </c>
      <c r="D83" s="345">
        <v>359.47423344293998</v>
      </c>
      <c r="E83" s="346">
        <v>1.1931030964230001</v>
      </c>
      <c r="F83" s="344">
        <v>2333.9616925863502</v>
      </c>
      <c r="G83" s="345">
        <v>1944.9680771552901</v>
      </c>
      <c r="H83" s="347">
        <v>65.991820000000004</v>
      </c>
      <c r="I83" s="344">
        <v>1758.0588499999999</v>
      </c>
      <c r="J83" s="345">
        <v>-186.909227155292</v>
      </c>
      <c r="K83" s="348">
        <v>0.75325094477099996</v>
      </c>
    </row>
    <row r="84" spans="1:11" ht="14.4" customHeight="1" thickBot="1" x14ac:dyDescent="0.35">
      <c r="A84" s="365" t="s">
        <v>284</v>
      </c>
      <c r="B84" s="349">
        <v>0</v>
      </c>
      <c r="C84" s="349">
        <v>0.98524</v>
      </c>
      <c r="D84" s="350">
        <v>0.98524</v>
      </c>
      <c r="E84" s="351" t="s">
        <v>214</v>
      </c>
      <c r="F84" s="349">
        <v>0.96145865957300003</v>
      </c>
      <c r="G84" s="350">
        <v>0.80121554964399999</v>
      </c>
      <c r="H84" s="352">
        <v>0</v>
      </c>
      <c r="I84" s="349">
        <v>0.76524000000000003</v>
      </c>
      <c r="J84" s="350">
        <v>-3.5975549644000002E-2</v>
      </c>
      <c r="K84" s="353">
        <v>0.79591565625899996</v>
      </c>
    </row>
    <row r="85" spans="1:11" ht="14.4" customHeight="1" thickBot="1" x14ac:dyDescent="0.35">
      <c r="A85" s="366" t="s">
        <v>285</v>
      </c>
      <c r="B85" s="344">
        <v>0</v>
      </c>
      <c r="C85" s="344">
        <v>0.98524</v>
      </c>
      <c r="D85" s="345">
        <v>0.98524</v>
      </c>
      <c r="E85" s="354" t="s">
        <v>214</v>
      </c>
      <c r="F85" s="344">
        <v>0.96145865957300003</v>
      </c>
      <c r="G85" s="345">
        <v>0.80121554964399999</v>
      </c>
      <c r="H85" s="347">
        <v>0</v>
      </c>
      <c r="I85" s="344">
        <v>0.76524000000000003</v>
      </c>
      <c r="J85" s="345">
        <v>-3.5975549644000002E-2</v>
      </c>
      <c r="K85" s="348">
        <v>0.79591565625899996</v>
      </c>
    </row>
    <row r="86" spans="1:11" ht="14.4" customHeight="1" thickBot="1" x14ac:dyDescent="0.35">
      <c r="A86" s="365" t="s">
        <v>286</v>
      </c>
      <c r="B86" s="349">
        <v>1.5663865565740001</v>
      </c>
      <c r="C86" s="349">
        <v>6.734</v>
      </c>
      <c r="D86" s="350">
        <v>5.1676134434250001</v>
      </c>
      <c r="E86" s="356">
        <v>4.2990665182469998</v>
      </c>
      <c r="F86" s="349">
        <v>7.0000007018800003</v>
      </c>
      <c r="G86" s="350">
        <v>5.8333339182330004</v>
      </c>
      <c r="H86" s="352">
        <v>0</v>
      </c>
      <c r="I86" s="349">
        <v>9.1344600000000007</v>
      </c>
      <c r="J86" s="350">
        <v>3.3011260817660002</v>
      </c>
      <c r="K86" s="353">
        <v>1.3049227263000001</v>
      </c>
    </row>
    <row r="87" spans="1:11" ht="14.4" customHeight="1" thickBot="1" x14ac:dyDescent="0.35">
      <c r="A87" s="366" t="s">
        <v>287</v>
      </c>
      <c r="B87" s="344">
        <v>1.5663865565740001</v>
      </c>
      <c r="C87" s="344">
        <v>6.734</v>
      </c>
      <c r="D87" s="345">
        <v>5.1676134434250001</v>
      </c>
      <c r="E87" s="346">
        <v>4.2990665182469998</v>
      </c>
      <c r="F87" s="344">
        <v>7.0000007018800003</v>
      </c>
      <c r="G87" s="345">
        <v>5.8333339182330004</v>
      </c>
      <c r="H87" s="347">
        <v>0</v>
      </c>
      <c r="I87" s="344">
        <v>9.1344600000000007</v>
      </c>
      <c r="J87" s="345">
        <v>3.3011260817660002</v>
      </c>
      <c r="K87" s="348">
        <v>1.3049227263000001</v>
      </c>
    </row>
    <row r="88" spans="1:11" ht="14.4" customHeight="1" thickBot="1" x14ac:dyDescent="0.35">
      <c r="A88" s="365" t="s">
        <v>288</v>
      </c>
      <c r="B88" s="349">
        <v>1860.00000000049</v>
      </c>
      <c r="C88" s="349">
        <v>2078.0689200000002</v>
      </c>
      <c r="D88" s="350">
        <v>218.06891999951401</v>
      </c>
      <c r="E88" s="356">
        <v>1.117241354838</v>
      </c>
      <c r="F88" s="349">
        <v>2326.0002332249001</v>
      </c>
      <c r="G88" s="350">
        <v>1938.33352768741</v>
      </c>
      <c r="H88" s="352">
        <v>65.991820000000004</v>
      </c>
      <c r="I88" s="349">
        <v>1630.4359099999999</v>
      </c>
      <c r="J88" s="350">
        <v>-307.89761768741403</v>
      </c>
      <c r="K88" s="353">
        <v>0.70096119798699996</v>
      </c>
    </row>
    <row r="89" spans="1:11" ht="14.4" customHeight="1" thickBot="1" x14ac:dyDescent="0.35">
      <c r="A89" s="366" t="s">
        <v>289</v>
      </c>
      <c r="B89" s="344">
        <v>686.00000000017906</v>
      </c>
      <c r="C89" s="344">
        <v>816.63999000000001</v>
      </c>
      <c r="D89" s="345">
        <v>130.63998999982101</v>
      </c>
      <c r="E89" s="346">
        <v>1.1904373032060001</v>
      </c>
      <c r="F89" s="344">
        <v>1000.00010026866</v>
      </c>
      <c r="G89" s="345">
        <v>833.33341689054805</v>
      </c>
      <c r="H89" s="347">
        <v>43.071980000000003</v>
      </c>
      <c r="I89" s="344">
        <v>656.54391999999996</v>
      </c>
      <c r="J89" s="345">
        <v>-176.78949689054801</v>
      </c>
      <c r="K89" s="348">
        <v>0.65654385416899996</v>
      </c>
    </row>
    <row r="90" spans="1:11" ht="14.4" customHeight="1" thickBot="1" x14ac:dyDescent="0.35">
      <c r="A90" s="366" t="s">
        <v>290</v>
      </c>
      <c r="B90" s="344">
        <v>1174.0000000003099</v>
      </c>
      <c r="C90" s="344">
        <v>1261.42893</v>
      </c>
      <c r="D90" s="345">
        <v>87.428929999692997</v>
      </c>
      <c r="E90" s="346">
        <v>1.0744709795559999</v>
      </c>
      <c r="F90" s="344">
        <v>1326.0001329562399</v>
      </c>
      <c r="G90" s="345">
        <v>1105.0001107968701</v>
      </c>
      <c r="H90" s="347">
        <v>22.919840000000001</v>
      </c>
      <c r="I90" s="344">
        <v>973.89198999999996</v>
      </c>
      <c r="J90" s="345">
        <v>-131.10812079686599</v>
      </c>
      <c r="K90" s="348">
        <v>0.73445844068499999</v>
      </c>
    </row>
    <row r="91" spans="1:11" ht="14.4" customHeight="1" thickBot="1" x14ac:dyDescent="0.35">
      <c r="A91" s="365" t="s">
        <v>291</v>
      </c>
      <c r="B91" s="349">
        <v>0</v>
      </c>
      <c r="C91" s="349">
        <v>135.25246000000001</v>
      </c>
      <c r="D91" s="350">
        <v>135.25246000000001</v>
      </c>
      <c r="E91" s="351" t="s">
        <v>208</v>
      </c>
      <c r="F91" s="349">
        <v>0</v>
      </c>
      <c r="G91" s="350">
        <v>0</v>
      </c>
      <c r="H91" s="352">
        <v>0</v>
      </c>
      <c r="I91" s="349">
        <v>117.72324</v>
      </c>
      <c r="J91" s="350">
        <v>117.72324</v>
      </c>
      <c r="K91" s="357" t="s">
        <v>208</v>
      </c>
    </row>
    <row r="92" spans="1:11" ht="14.4" customHeight="1" thickBot="1" x14ac:dyDescent="0.35">
      <c r="A92" s="366" t="s">
        <v>292</v>
      </c>
      <c r="B92" s="344">
        <v>0</v>
      </c>
      <c r="C92" s="344">
        <v>21.508310000000002</v>
      </c>
      <c r="D92" s="345">
        <v>21.508310000000002</v>
      </c>
      <c r="E92" s="354" t="s">
        <v>208</v>
      </c>
      <c r="F92" s="344">
        <v>0</v>
      </c>
      <c r="G92" s="345">
        <v>0</v>
      </c>
      <c r="H92" s="347">
        <v>0</v>
      </c>
      <c r="I92" s="344">
        <v>15.700760000000001</v>
      </c>
      <c r="J92" s="345">
        <v>15.700760000000001</v>
      </c>
      <c r="K92" s="355" t="s">
        <v>208</v>
      </c>
    </row>
    <row r="93" spans="1:11" ht="14.4" customHeight="1" thickBot="1" x14ac:dyDescent="0.35">
      <c r="A93" s="366" t="s">
        <v>293</v>
      </c>
      <c r="B93" s="344">
        <v>0</v>
      </c>
      <c r="C93" s="344">
        <v>113.74415</v>
      </c>
      <c r="D93" s="345">
        <v>113.74415</v>
      </c>
      <c r="E93" s="354" t="s">
        <v>208</v>
      </c>
      <c r="F93" s="344">
        <v>0</v>
      </c>
      <c r="G93" s="345">
        <v>0</v>
      </c>
      <c r="H93" s="347">
        <v>0</v>
      </c>
      <c r="I93" s="344">
        <v>102.02248</v>
      </c>
      <c r="J93" s="345">
        <v>102.02248</v>
      </c>
      <c r="K93" s="355" t="s">
        <v>208</v>
      </c>
    </row>
    <row r="94" spans="1:11" ht="14.4" customHeight="1" thickBot="1" x14ac:dyDescent="0.35">
      <c r="A94" s="363" t="s">
        <v>294</v>
      </c>
      <c r="B94" s="344">
        <v>14</v>
      </c>
      <c r="C94" s="344">
        <v>7.2313999999999998</v>
      </c>
      <c r="D94" s="345">
        <v>-6.7686000000000002</v>
      </c>
      <c r="E94" s="346">
        <v>0.51652857142800002</v>
      </c>
      <c r="F94" s="344">
        <v>5.8142446445880003</v>
      </c>
      <c r="G94" s="345">
        <v>4.8452038704899998</v>
      </c>
      <c r="H94" s="347">
        <v>0</v>
      </c>
      <c r="I94" s="344">
        <v>5.4958499999999999</v>
      </c>
      <c r="J94" s="345">
        <v>0.65064612950900003</v>
      </c>
      <c r="K94" s="348">
        <v>0.94523886350599995</v>
      </c>
    </row>
    <row r="95" spans="1:11" ht="14.4" customHeight="1" thickBot="1" x14ac:dyDescent="0.35">
      <c r="A95" s="369" t="s">
        <v>295</v>
      </c>
      <c r="B95" s="349">
        <v>14</v>
      </c>
      <c r="C95" s="349">
        <v>7.2313999999999998</v>
      </c>
      <c r="D95" s="350">
        <v>-6.7686000000000002</v>
      </c>
      <c r="E95" s="356">
        <v>0.51652857142800002</v>
      </c>
      <c r="F95" s="349">
        <v>5.8142446445880003</v>
      </c>
      <c r="G95" s="350">
        <v>4.8452038704899998</v>
      </c>
      <c r="H95" s="352">
        <v>0</v>
      </c>
      <c r="I95" s="349">
        <v>5.4958499999999999</v>
      </c>
      <c r="J95" s="350">
        <v>0.65064612950900003</v>
      </c>
      <c r="K95" s="353">
        <v>0.94523886350599995</v>
      </c>
    </row>
    <row r="96" spans="1:11" ht="14.4" customHeight="1" thickBot="1" x14ac:dyDescent="0.35">
      <c r="A96" s="365" t="s">
        <v>296</v>
      </c>
      <c r="B96" s="349">
        <v>0</v>
      </c>
      <c r="C96" s="349">
        <v>-1E-4</v>
      </c>
      <c r="D96" s="350">
        <v>-1E-4</v>
      </c>
      <c r="E96" s="351" t="s">
        <v>208</v>
      </c>
      <c r="F96" s="349">
        <v>0</v>
      </c>
      <c r="G96" s="350">
        <v>0</v>
      </c>
      <c r="H96" s="352">
        <v>0</v>
      </c>
      <c r="I96" s="349">
        <v>-9.0000000000000006E-5</v>
      </c>
      <c r="J96" s="350">
        <v>-9.0000000000000006E-5</v>
      </c>
      <c r="K96" s="357" t="s">
        <v>208</v>
      </c>
    </row>
    <row r="97" spans="1:11" ht="14.4" customHeight="1" thickBot="1" x14ac:dyDescent="0.35">
      <c r="A97" s="366" t="s">
        <v>297</v>
      </c>
      <c r="B97" s="344">
        <v>0</v>
      </c>
      <c r="C97" s="344">
        <v>-1E-4</v>
      </c>
      <c r="D97" s="345">
        <v>-1E-4</v>
      </c>
      <c r="E97" s="354" t="s">
        <v>208</v>
      </c>
      <c r="F97" s="344">
        <v>0</v>
      </c>
      <c r="G97" s="345">
        <v>0</v>
      </c>
      <c r="H97" s="347">
        <v>0</v>
      </c>
      <c r="I97" s="344">
        <v>-9.0000000000000006E-5</v>
      </c>
      <c r="J97" s="345">
        <v>-9.0000000000000006E-5</v>
      </c>
      <c r="K97" s="355" t="s">
        <v>208</v>
      </c>
    </row>
    <row r="98" spans="1:11" ht="14.4" customHeight="1" thickBot="1" x14ac:dyDescent="0.35">
      <c r="A98" s="365" t="s">
        <v>298</v>
      </c>
      <c r="B98" s="349">
        <v>14</v>
      </c>
      <c r="C98" s="349">
        <v>7.2314999999999996</v>
      </c>
      <c r="D98" s="350">
        <v>-6.7685000000000004</v>
      </c>
      <c r="E98" s="356">
        <v>0.516535714285</v>
      </c>
      <c r="F98" s="349">
        <v>5.8142446445880003</v>
      </c>
      <c r="G98" s="350">
        <v>4.8452038704899998</v>
      </c>
      <c r="H98" s="352">
        <v>0</v>
      </c>
      <c r="I98" s="349">
        <v>5.49594</v>
      </c>
      <c r="J98" s="350">
        <v>0.65073612950899995</v>
      </c>
      <c r="K98" s="353">
        <v>0.94525434273099995</v>
      </c>
    </row>
    <row r="99" spans="1:11" ht="14.4" customHeight="1" thickBot="1" x14ac:dyDescent="0.35">
      <c r="A99" s="366" t="s">
        <v>299</v>
      </c>
      <c r="B99" s="344">
        <v>14</v>
      </c>
      <c r="C99" s="344">
        <v>7.2314999999999996</v>
      </c>
      <c r="D99" s="345">
        <v>-6.7685000000000004</v>
      </c>
      <c r="E99" s="346">
        <v>0.516535714285</v>
      </c>
      <c r="F99" s="344">
        <v>5.8142446445880003</v>
      </c>
      <c r="G99" s="345">
        <v>4.8452038704899998</v>
      </c>
      <c r="H99" s="347">
        <v>0</v>
      </c>
      <c r="I99" s="344">
        <v>5.49594</v>
      </c>
      <c r="J99" s="345">
        <v>0.65073612950899995</v>
      </c>
      <c r="K99" s="348">
        <v>0.94525434273099995</v>
      </c>
    </row>
    <row r="100" spans="1:11" ht="14.4" customHeight="1" thickBot="1" x14ac:dyDescent="0.35">
      <c r="A100" s="362" t="s">
        <v>300</v>
      </c>
      <c r="B100" s="344">
        <v>502.09512956055698</v>
      </c>
      <c r="C100" s="344">
        <v>531.89478000000099</v>
      </c>
      <c r="D100" s="345">
        <v>29.799650439442999</v>
      </c>
      <c r="E100" s="346">
        <v>1.0593506064580001</v>
      </c>
      <c r="F100" s="344">
        <v>472.64610348198801</v>
      </c>
      <c r="G100" s="345">
        <v>393.87175290165698</v>
      </c>
      <c r="H100" s="347">
        <v>33.71396</v>
      </c>
      <c r="I100" s="344">
        <v>368.54606999999999</v>
      </c>
      <c r="J100" s="345">
        <v>-25.325682901655998</v>
      </c>
      <c r="K100" s="348">
        <v>0.77975057296500005</v>
      </c>
    </row>
    <row r="101" spans="1:11" ht="14.4" customHeight="1" thickBot="1" x14ac:dyDescent="0.35">
      <c r="A101" s="367" t="s">
        <v>301</v>
      </c>
      <c r="B101" s="349">
        <v>502.09512956055698</v>
      </c>
      <c r="C101" s="349">
        <v>531.89478000000099</v>
      </c>
      <c r="D101" s="350">
        <v>29.799650439442999</v>
      </c>
      <c r="E101" s="356">
        <v>1.0593506064580001</v>
      </c>
      <c r="F101" s="349">
        <v>472.64610348198801</v>
      </c>
      <c r="G101" s="350">
        <v>393.87175290165698</v>
      </c>
      <c r="H101" s="352">
        <v>33.71396</v>
      </c>
      <c r="I101" s="349">
        <v>368.54606999999999</v>
      </c>
      <c r="J101" s="350">
        <v>-25.325682901655998</v>
      </c>
      <c r="K101" s="353">
        <v>0.77975057296500005</v>
      </c>
    </row>
    <row r="102" spans="1:11" ht="14.4" customHeight="1" thickBot="1" x14ac:dyDescent="0.35">
      <c r="A102" s="369" t="s">
        <v>36</v>
      </c>
      <c r="B102" s="349">
        <v>502.09512956055698</v>
      </c>
      <c r="C102" s="349">
        <v>531.89478000000099</v>
      </c>
      <c r="D102" s="350">
        <v>29.799650439442999</v>
      </c>
      <c r="E102" s="356">
        <v>1.0593506064580001</v>
      </c>
      <c r="F102" s="349">
        <v>472.64610348198801</v>
      </c>
      <c r="G102" s="350">
        <v>393.87175290165698</v>
      </c>
      <c r="H102" s="352">
        <v>33.71396</v>
      </c>
      <c r="I102" s="349">
        <v>368.54606999999999</v>
      </c>
      <c r="J102" s="350">
        <v>-25.325682901655998</v>
      </c>
      <c r="K102" s="353">
        <v>0.77975057296500005</v>
      </c>
    </row>
    <row r="103" spans="1:11" ht="14.4" customHeight="1" thickBot="1" x14ac:dyDescent="0.35">
      <c r="A103" s="365" t="s">
        <v>302</v>
      </c>
      <c r="B103" s="349">
        <v>5.9297660682859998</v>
      </c>
      <c r="C103" s="349">
        <v>6.2655000000000003</v>
      </c>
      <c r="D103" s="350">
        <v>0.33573393171299998</v>
      </c>
      <c r="E103" s="356">
        <v>1.0566184108859999</v>
      </c>
      <c r="F103" s="349">
        <v>6.7729266926160001</v>
      </c>
      <c r="G103" s="350">
        <v>5.6441055771800004</v>
      </c>
      <c r="H103" s="352">
        <v>0.52200000000000002</v>
      </c>
      <c r="I103" s="349">
        <v>5.22</v>
      </c>
      <c r="J103" s="350">
        <v>-0.42410557718000003</v>
      </c>
      <c r="K103" s="353">
        <v>0.77071556166199995</v>
      </c>
    </row>
    <row r="104" spans="1:11" ht="14.4" customHeight="1" thickBot="1" x14ac:dyDescent="0.35">
      <c r="A104" s="366" t="s">
        <v>303</v>
      </c>
      <c r="B104" s="344">
        <v>5.9297660682859998</v>
      </c>
      <c r="C104" s="344">
        <v>6.2655000000000003</v>
      </c>
      <c r="D104" s="345">
        <v>0.33573393171299998</v>
      </c>
      <c r="E104" s="346">
        <v>1.0566184108859999</v>
      </c>
      <c r="F104" s="344">
        <v>6.7729266926160001</v>
      </c>
      <c r="G104" s="345">
        <v>5.6441055771800004</v>
      </c>
      <c r="H104" s="347">
        <v>0.52200000000000002</v>
      </c>
      <c r="I104" s="344">
        <v>5.22</v>
      </c>
      <c r="J104" s="345">
        <v>-0.42410557718000003</v>
      </c>
      <c r="K104" s="348">
        <v>0.77071556166199995</v>
      </c>
    </row>
    <row r="105" spans="1:11" ht="14.4" customHeight="1" thickBot="1" x14ac:dyDescent="0.35">
      <c r="A105" s="365" t="s">
        <v>304</v>
      </c>
      <c r="B105" s="349">
        <v>1.326101424198</v>
      </c>
      <c r="C105" s="349">
        <v>0.14699999999999999</v>
      </c>
      <c r="D105" s="350">
        <v>-1.179101424198</v>
      </c>
      <c r="E105" s="356">
        <v>0.110851249623</v>
      </c>
      <c r="F105" s="349">
        <v>0</v>
      </c>
      <c r="G105" s="350">
        <v>0</v>
      </c>
      <c r="H105" s="352">
        <v>0.29399999999999998</v>
      </c>
      <c r="I105" s="349">
        <v>0.36749999999999999</v>
      </c>
      <c r="J105" s="350">
        <v>0.36749999999999999</v>
      </c>
      <c r="K105" s="357" t="s">
        <v>214</v>
      </c>
    </row>
    <row r="106" spans="1:11" ht="14.4" customHeight="1" thickBot="1" x14ac:dyDescent="0.35">
      <c r="A106" s="366" t="s">
        <v>305</v>
      </c>
      <c r="B106" s="344">
        <v>1.326101424198</v>
      </c>
      <c r="C106" s="344">
        <v>0.14699999999999999</v>
      </c>
      <c r="D106" s="345">
        <v>-1.179101424198</v>
      </c>
      <c r="E106" s="346">
        <v>0.110851249623</v>
      </c>
      <c r="F106" s="344">
        <v>0</v>
      </c>
      <c r="G106" s="345">
        <v>0</v>
      </c>
      <c r="H106" s="347">
        <v>0.29399999999999998</v>
      </c>
      <c r="I106" s="344">
        <v>0.36749999999999999</v>
      </c>
      <c r="J106" s="345">
        <v>0.36749999999999999</v>
      </c>
      <c r="K106" s="355" t="s">
        <v>214</v>
      </c>
    </row>
    <row r="107" spans="1:11" ht="14.4" customHeight="1" thickBot="1" x14ac:dyDescent="0.35">
      <c r="A107" s="365" t="s">
        <v>306</v>
      </c>
      <c r="B107" s="349">
        <v>0.73477752106299998</v>
      </c>
      <c r="C107" s="349">
        <v>2.0278999999999998</v>
      </c>
      <c r="D107" s="350">
        <v>1.2931224789360001</v>
      </c>
      <c r="E107" s="356">
        <v>2.7598830147440001</v>
      </c>
      <c r="F107" s="349">
        <v>1.7545519285610001</v>
      </c>
      <c r="G107" s="350">
        <v>1.462126607134</v>
      </c>
      <c r="H107" s="352">
        <v>0.1061</v>
      </c>
      <c r="I107" s="349">
        <v>1.4590000000000001</v>
      </c>
      <c r="J107" s="350">
        <v>-3.1266071339999999E-3</v>
      </c>
      <c r="K107" s="353">
        <v>0.83155133584200003</v>
      </c>
    </row>
    <row r="108" spans="1:11" ht="14.4" customHeight="1" thickBot="1" x14ac:dyDescent="0.35">
      <c r="A108" s="366" t="s">
        <v>307</v>
      </c>
      <c r="B108" s="344">
        <v>0.73477752106299998</v>
      </c>
      <c r="C108" s="344">
        <v>2.0278999999999998</v>
      </c>
      <c r="D108" s="345">
        <v>1.2931224789360001</v>
      </c>
      <c r="E108" s="346">
        <v>2.7598830147440001</v>
      </c>
      <c r="F108" s="344">
        <v>1.7545519285610001</v>
      </c>
      <c r="G108" s="345">
        <v>1.462126607134</v>
      </c>
      <c r="H108" s="347">
        <v>0.1061</v>
      </c>
      <c r="I108" s="344">
        <v>1.4590000000000001</v>
      </c>
      <c r="J108" s="345">
        <v>-3.1266071339999999E-3</v>
      </c>
      <c r="K108" s="348">
        <v>0.83155133584200003</v>
      </c>
    </row>
    <row r="109" spans="1:11" ht="14.4" customHeight="1" thickBot="1" x14ac:dyDescent="0.35">
      <c r="A109" s="365" t="s">
        <v>308</v>
      </c>
      <c r="B109" s="349">
        <v>188</v>
      </c>
      <c r="C109" s="349">
        <v>171.4469</v>
      </c>
      <c r="D109" s="350">
        <v>-16.553099999998999</v>
      </c>
      <c r="E109" s="356">
        <v>0.91195159574399998</v>
      </c>
      <c r="F109" s="349">
        <v>117.687631564019</v>
      </c>
      <c r="G109" s="350">
        <v>98.073026303348996</v>
      </c>
      <c r="H109" s="352">
        <v>10.03853</v>
      </c>
      <c r="I109" s="349">
        <v>88.922259999999994</v>
      </c>
      <c r="J109" s="350">
        <v>-9.1507663033490001</v>
      </c>
      <c r="K109" s="353">
        <v>0.75557863488499999</v>
      </c>
    </row>
    <row r="110" spans="1:11" ht="14.4" customHeight="1" thickBot="1" x14ac:dyDescent="0.35">
      <c r="A110" s="366" t="s">
        <v>309</v>
      </c>
      <c r="B110" s="344">
        <v>188</v>
      </c>
      <c r="C110" s="344">
        <v>171.4469</v>
      </c>
      <c r="D110" s="345">
        <v>-16.553099999998999</v>
      </c>
      <c r="E110" s="346">
        <v>0.91195159574399998</v>
      </c>
      <c r="F110" s="344">
        <v>117.687631564019</v>
      </c>
      <c r="G110" s="345">
        <v>98.073026303348996</v>
      </c>
      <c r="H110" s="347">
        <v>10.03853</v>
      </c>
      <c r="I110" s="344">
        <v>88.922259999999994</v>
      </c>
      <c r="J110" s="345">
        <v>-9.1507663033490001</v>
      </c>
      <c r="K110" s="348">
        <v>0.75557863488499999</v>
      </c>
    </row>
    <row r="111" spans="1:11" ht="14.4" customHeight="1" thickBot="1" x14ac:dyDescent="0.35">
      <c r="A111" s="365" t="s">
        <v>310</v>
      </c>
      <c r="B111" s="349">
        <v>306.10448454700901</v>
      </c>
      <c r="C111" s="349">
        <v>352.00747999999999</v>
      </c>
      <c r="D111" s="350">
        <v>45.902995452991</v>
      </c>
      <c r="E111" s="356">
        <v>1.1499585852880001</v>
      </c>
      <c r="F111" s="349">
        <v>346.43099329679097</v>
      </c>
      <c r="G111" s="350">
        <v>288.69249441399199</v>
      </c>
      <c r="H111" s="352">
        <v>22.753329999999998</v>
      </c>
      <c r="I111" s="349">
        <v>272.57731000000001</v>
      </c>
      <c r="J111" s="350">
        <v>-16.115184413992001</v>
      </c>
      <c r="K111" s="353">
        <v>0.78681560043400001</v>
      </c>
    </row>
    <row r="112" spans="1:11" ht="14.4" customHeight="1" thickBot="1" x14ac:dyDescent="0.35">
      <c r="A112" s="366" t="s">
        <v>311</v>
      </c>
      <c r="B112" s="344">
        <v>306.10448454700901</v>
      </c>
      <c r="C112" s="344">
        <v>352.00747999999999</v>
      </c>
      <c r="D112" s="345">
        <v>45.902995452991</v>
      </c>
      <c r="E112" s="346">
        <v>1.1499585852880001</v>
      </c>
      <c r="F112" s="344">
        <v>346.43099329679097</v>
      </c>
      <c r="G112" s="345">
        <v>288.69249441399199</v>
      </c>
      <c r="H112" s="347">
        <v>22.753329999999998</v>
      </c>
      <c r="I112" s="344">
        <v>272.57731000000001</v>
      </c>
      <c r="J112" s="345">
        <v>-16.115184413992001</v>
      </c>
      <c r="K112" s="348">
        <v>0.78681560043400001</v>
      </c>
    </row>
    <row r="113" spans="1:11" ht="14.4" customHeight="1" thickBot="1" x14ac:dyDescent="0.35">
      <c r="A113" s="370"/>
      <c r="B113" s="344">
        <v>-1964.8239183820599</v>
      </c>
      <c r="C113" s="344">
        <v>-1883.3484000000001</v>
      </c>
      <c r="D113" s="345">
        <v>81.475518382054005</v>
      </c>
      <c r="E113" s="346">
        <v>0.95853291604400004</v>
      </c>
      <c r="F113" s="344">
        <v>-1596.2872556028699</v>
      </c>
      <c r="G113" s="345">
        <v>-1330.2393796690601</v>
      </c>
      <c r="H113" s="347">
        <v>-252.98804000000001</v>
      </c>
      <c r="I113" s="344">
        <v>-1464.20893</v>
      </c>
      <c r="J113" s="345">
        <v>-133.96955033094099</v>
      </c>
      <c r="K113" s="348">
        <v>0.91725904899599997</v>
      </c>
    </row>
    <row r="114" spans="1:11" ht="14.4" customHeight="1" thickBot="1" x14ac:dyDescent="0.35">
      <c r="A114" s="371" t="s">
        <v>48</v>
      </c>
      <c r="B114" s="358">
        <v>-1964.8239183820599</v>
      </c>
      <c r="C114" s="358">
        <v>-1883.3484000000001</v>
      </c>
      <c r="D114" s="359">
        <v>81.475518382054005</v>
      </c>
      <c r="E114" s="360">
        <v>-0.94361922600100001</v>
      </c>
      <c r="F114" s="358">
        <v>-1596.2872556028699</v>
      </c>
      <c r="G114" s="359">
        <v>-1330.2393796690601</v>
      </c>
      <c r="H114" s="358">
        <v>-252.98804000000001</v>
      </c>
      <c r="I114" s="358">
        <v>-1464.20893</v>
      </c>
      <c r="J114" s="359">
        <v>-133.96955033094201</v>
      </c>
      <c r="K114" s="361">
        <v>0.91725904899599997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7" t="s">
        <v>110</v>
      </c>
      <c r="B1" s="308"/>
      <c r="C1" s="308"/>
      <c r="D1" s="308"/>
      <c r="E1" s="308"/>
      <c r="F1" s="308"/>
      <c r="G1" s="279"/>
      <c r="H1" s="309"/>
      <c r="I1" s="309"/>
    </row>
    <row r="2" spans="1:10" ht="14.4" customHeight="1" thickBot="1" x14ac:dyDescent="0.35">
      <c r="A2" s="202" t="s">
        <v>207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46">
        <v>2014</v>
      </c>
      <c r="D3" s="247">
        <v>2015</v>
      </c>
      <c r="E3" s="7"/>
      <c r="F3" s="302">
        <v>2016</v>
      </c>
      <c r="G3" s="303"/>
      <c r="H3" s="303"/>
      <c r="I3" s="304"/>
    </row>
    <row r="4" spans="1:10" ht="14.4" customHeight="1" thickBot="1" x14ac:dyDescent="0.35">
      <c r="A4" s="251" t="s">
        <v>0</v>
      </c>
      <c r="B4" s="252" t="s">
        <v>165</v>
      </c>
      <c r="C4" s="305" t="s">
        <v>55</v>
      </c>
      <c r="D4" s="306"/>
      <c r="E4" s="253"/>
      <c r="F4" s="248" t="s">
        <v>55</v>
      </c>
      <c r="G4" s="249" t="s">
        <v>56</v>
      </c>
      <c r="H4" s="249" t="s">
        <v>50</v>
      </c>
      <c r="I4" s="250" t="s">
        <v>57</v>
      </c>
    </row>
    <row r="5" spans="1:10" ht="14.4" customHeight="1" x14ac:dyDescent="0.3">
      <c r="A5" s="372" t="s">
        <v>312</v>
      </c>
      <c r="B5" s="373" t="s">
        <v>313</v>
      </c>
      <c r="C5" s="374" t="s">
        <v>314</v>
      </c>
      <c r="D5" s="374" t="s">
        <v>314</v>
      </c>
      <c r="E5" s="374"/>
      <c r="F5" s="374" t="s">
        <v>314</v>
      </c>
      <c r="G5" s="374" t="s">
        <v>314</v>
      </c>
      <c r="H5" s="374" t="s">
        <v>314</v>
      </c>
      <c r="I5" s="375" t="s">
        <v>314</v>
      </c>
      <c r="J5" s="376" t="s">
        <v>51</v>
      </c>
    </row>
    <row r="6" spans="1:10" ht="14.4" customHeight="1" x14ac:dyDescent="0.3">
      <c r="A6" s="372" t="s">
        <v>312</v>
      </c>
      <c r="B6" s="373" t="s">
        <v>215</v>
      </c>
      <c r="C6" s="374">
        <v>0</v>
      </c>
      <c r="D6" s="374">
        <v>0.33857999999999999</v>
      </c>
      <c r="E6" s="374"/>
      <c r="F6" s="374">
        <v>0</v>
      </c>
      <c r="G6" s="374">
        <v>0.28215002547166668</v>
      </c>
      <c r="H6" s="374">
        <v>-0.28215002547166668</v>
      </c>
      <c r="I6" s="375">
        <v>0</v>
      </c>
      <c r="J6" s="376" t="s">
        <v>1</v>
      </c>
    </row>
    <row r="7" spans="1:10" ht="14.4" customHeight="1" x14ac:dyDescent="0.3">
      <c r="A7" s="372" t="s">
        <v>312</v>
      </c>
      <c r="B7" s="373" t="s">
        <v>315</v>
      </c>
      <c r="C7" s="374">
        <v>0</v>
      </c>
      <c r="D7" s="374">
        <v>0.33857999999999999</v>
      </c>
      <c r="E7" s="374"/>
      <c r="F7" s="374">
        <v>0</v>
      </c>
      <c r="G7" s="374">
        <v>0.28215002547166668</v>
      </c>
      <c r="H7" s="374">
        <v>-0.28215002547166668</v>
      </c>
      <c r="I7" s="375">
        <v>0</v>
      </c>
      <c r="J7" s="376" t="s">
        <v>316</v>
      </c>
    </row>
    <row r="9" spans="1:10" ht="14.4" customHeight="1" x14ac:dyDescent="0.3">
      <c r="A9" s="372" t="s">
        <v>312</v>
      </c>
      <c r="B9" s="373" t="s">
        <v>313</v>
      </c>
      <c r="C9" s="374" t="s">
        <v>314</v>
      </c>
      <c r="D9" s="374" t="s">
        <v>314</v>
      </c>
      <c r="E9" s="374"/>
      <c r="F9" s="374" t="s">
        <v>314</v>
      </c>
      <c r="G9" s="374" t="s">
        <v>314</v>
      </c>
      <c r="H9" s="374" t="s">
        <v>314</v>
      </c>
      <c r="I9" s="375" t="s">
        <v>314</v>
      </c>
      <c r="J9" s="376" t="s">
        <v>51</v>
      </c>
    </row>
    <row r="10" spans="1:10" ht="14.4" customHeight="1" x14ac:dyDescent="0.3">
      <c r="A10" s="372" t="s">
        <v>317</v>
      </c>
      <c r="B10" s="373" t="s">
        <v>318</v>
      </c>
      <c r="C10" s="374" t="s">
        <v>314</v>
      </c>
      <c r="D10" s="374" t="s">
        <v>314</v>
      </c>
      <c r="E10" s="374"/>
      <c r="F10" s="374" t="s">
        <v>314</v>
      </c>
      <c r="G10" s="374" t="s">
        <v>314</v>
      </c>
      <c r="H10" s="374" t="s">
        <v>314</v>
      </c>
      <c r="I10" s="375" t="s">
        <v>314</v>
      </c>
      <c r="J10" s="376" t="s">
        <v>0</v>
      </c>
    </row>
    <row r="11" spans="1:10" ht="14.4" customHeight="1" x14ac:dyDescent="0.3">
      <c r="A11" s="372" t="s">
        <v>317</v>
      </c>
      <c r="B11" s="373" t="s">
        <v>215</v>
      </c>
      <c r="C11" s="374">
        <v>0</v>
      </c>
      <c r="D11" s="374">
        <v>0.33857999999999999</v>
      </c>
      <c r="E11" s="374"/>
      <c r="F11" s="374">
        <v>0</v>
      </c>
      <c r="G11" s="374">
        <v>0.28215002547166668</v>
      </c>
      <c r="H11" s="374">
        <v>-0.28215002547166668</v>
      </c>
      <c r="I11" s="375">
        <v>0</v>
      </c>
      <c r="J11" s="376" t="s">
        <v>1</v>
      </c>
    </row>
    <row r="12" spans="1:10" ht="14.4" customHeight="1" x14ac:dyDescent="0.3">
      <c r="A12" s="372" t="s">
        <v>317</v>
      </c>
      <c r="B12" s="373" t="s">
        <v>319</v>
      </c>
      <c r="C12" s="374">
        <v>0</v>
      </c>
      <c r="D12" s="374">
        <v>0.33857999999999999</v>
      </c>
      <c r="E12" s="374"/>
      <c r="F12" s="374">
        <v>0</v>
      </c>
      <c r="G12" s="374">
        <v>0.28215002547166668</v>
      </c>
      <c r="H12" s="374">
        <v>-0.28215002547166668</v>
      </c>
      <c r="I12" s="375">
        <v>0</v>
      </c>
      <c r="J12" s="376" t="s">
        <v>320</v>
      </c>
    </row>
    <row r="13" spans="1:10" ht="14.4" customHeight="1" x14ac:dyDescent="0.3">
      <c r="A13" s="372" t="s">
        <v>314</v>
      </c>
      <c r="B13" s="373" t="s">
        <v>314</v>
      </c>
      <c r="C13" s="374" t="s">
        <v>314</v>
      </c>
      <c r="D13" s="374" t="s">
        <v>314</v>
      </c>
      <c r="E13" s="374"/>
      <c r="F13" s="374" t="s">
        <v>314</v>
      </c>
      <c r="G13" s="374" t="s">
        <v>314</v>
      </c>
      <c r="H13" s="374" t="s">
        <v>314</v>
      </c>
      <c r="I13" s="375" t="s">
        <v>314</v>
      </c>
      <c r="J13" s="376" t="s">
        <v>321</v>
      </c>
    </row>
    <row r="14" spans="1:10" ht="14.4" customHeight="1" x14ac:dyDescent="0.3">
      <c r="A14" s="372" t="s">
        <v>312</v>
      </c>
      <c r="B14" s="373" t="s">
        <v>315</v>
      </c>
      <c r="C14" s="374">
        <v>0</v>
      </c>
      <c r="D14" s="374">
        <v>0.33857999999999999</v>
      </c>
      <c r="E14" s="374"/>
      <c r="F14" s="374">
        <v>0</v>
      </c>
      <c r="G14" s="374">
        <v>0.28215002547166668</v>
      </c>
      <c r="H14" s="374">
        <v>-0.28215002547166668</v>
      </c>
      <c r="I14" s="375">
        <v>0</v>
      </c>
      <c r="J14" s="376" t="s">
        <v>316</v>
      </c>
    </row>
  </sheetData>
  <mergeCells count="3">
    <mergeCell ref="F3:I3"/>
    <mergeCell ref="C4:D4"/>
    <mergeCell ref="A1:I1"/>
  </mergeCells>
  <conditionalFormatting sqref="F8 F15:F65537">
    <cfRule type="cellIs" dxfId="39" priority="18" stopIfTrue="1" operator="greaterThan">
      <formula>1</formula>
    </cfRule>
  </conditionalFormatting>
  <conditionalFormatting sqref="H5:H7">
    <cfRule type="expression" dxfId="38" priority="14">
      <formula>$H5&gt;0</formula>
    </cfRule>
  </conditionalFormatting>
  <conditionalFormatting sqref="I5:I7">
    <cfRule type="expression" dxfId="37" priority="15">
      <formula>$I5&gt;1</formula>
    </cfRule>
  </conditionalFormatting>
  <conditionalFormatting sqref="B5:B7">
    <cfRule type="expression" dxfId="36" priority="11">
      <formula>OR($J5="NS",$J5="SumaNS",$J5="Účet")</formula>
    </cfRule>
  </conditionalFormatting>
  <conditionalFormatting sqref="B5:D7 F5:I7">
    <cfRule type="expression" dxfId="35" priority="17">
      <formula>AND($J5&lt;&gt;"",$J5&lt;&gt;"mezeraKL")</formula>
    </cfRule>
  </conditionalFormatting>
  <conditionalFormatting sqref="B5:D7 F5:I7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3" priority="13">
      <formula>OR($J5="SumaNS",$J5="NS")</formula>
    </cfRule>
  </conditionalFormatting>
  <conditionalFormatting sqref="A5:A7">
    <cfRule type="expression" dxfId="32" priority="9">
      <formula>AND($J5&lt;&gt;"mezeraKL",$J5&lt;&gt;"")</formula>
    </cfRule>
  </conditionalFormatting>
  <conditionalFormatting sqref="A5:A7">
    <cfRule type="expression" dxfId="31" priority="10">
      <formula>AND($J5&lt;&gt;"",$J5&lt;&gt;"mezeraKL")</formula>
    </cfRule>
  </conditionalFormatting>
  <conditionalFormatting sqref="H9:H14">
    <cfRule type="expression" dxfId="30" priority="5">
      <formula>$H9&gt;0</formula>
    </cfRule>
  </conditionalFormatting>
  <conditionalFormatting sqref="A9:A14">
    <cfRule type="expression" dxfId="29" priority="2">
      <formula>AND($J9&lt;&gt;"mezeraKL",$J9&lt;&gt;"")</formula>
    </cfRule>
  </conditionalFormatting>
  <conditionalFormatting sqref="I9:I14">
    <cfRule type="expression" dxfId="28" priority="6">
      <formula>$I9&gt;1</formula>
    </cfRule>
  </conditionalFormatting>
  <conditionalFormatting sqref="B9:B14">
    <cfRule type="expression" dxfId="27" priority="1">
      <formula>OR($J9="NS",$J9="SumaNS",$J9="Účet")</formula>
    </cfRule>
  </conditionalFormatting>
  <conditionalFormatting sqref="A9:D14 F9:I14">
    <cfRule type="expression" dxfId="26" priority="8">
      <formula>AND($J9&lt;&gt;"",$J9&lt;&gt;"mezeraKL")</formula>
    </cfRule>
  </conditionalFormatting>
  <conditionalFormatting sqref="B9:D14 F9:I14">
    <cfRule type="expression" dxfId="25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4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13" t="s">
        <v>166</v>
      </c>
      <c r="B1" s="313"/>
      <c r="C1" s="313"/>
      <c r="D1" s="313"/>
      <c r="E1" s="313"/>
      <c r="F1" s="279"/>
      <c r="G1" s="279"/>
      <c r="H1" s="279"/>
      <c r="I1" s="27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02" t="s">
        <v>207</v>
      </c>
      <c r="B2" s="187"/>
      <c r="C2" s="187"/>
      <c r="D2" s="187"/>
      <c r="E2" s="187"/>
    </row>
    <row r="3" spans="1:17" ht="14.4" customHeight="1" thickBot="1" x14ac:dyDescent="0.35">
      <c r="A3" s="255" t="s">
        <v>3</v>
      </c>
      <c r="B3" s="259">
        <f>SUM(B6:B1048576)</f>
        <v>5</v>
      </c>
      <c r="C3" s="260">
        <f>SUM(C6:C1048576)</f>
        <v>0</v>
      </c>
      <c r="D3" s="260">
        <f>SUM(D6:D1048576)</f>
        <v>0</v>
      </c>
      <c r="E3" s="261">
        <f>SUM(E6:E1048576)</f>
        <v>0</v>
      </c>
      <c r="F3" s="258">
        <f>IF(SUM($B3:$E3)=0,"",B3/SUM($B3:$E3))</f>
        <v>1</v>
      </c>
      <c r="G3" s="256">
        <f t="shared" ref="G3:I3" si="0">IF(SUM($B3:$E3)=0,"",C3/SUM($B3:$E3))</f>
        <v>0</v>
      </c>
      <c r="H3" s="256">
        <f t="shared" si="0"/>
        <v>0</v>
      </c>
      <c r="I3" s="257">
        <f t="shared" si="0"/>
        <v>0</v>
      </c>
      <c r="J3" s="260">
        <f>SUM(J6:J1048576)</f>
        <v>2</v>
      </c>
      <c r="K3" s="260">
        <f>SUM(K6:K1048576)</f>
        <v>0</v>
      </c>
      <c r="L3" s="260">
        <f>SUM(L6:L1048576)</f>
        <v>0</v>
      </c>
      <c r="M3" s="261">
        <f>SUM(M6:M1048576)</f>
        <v>0</v>
      </c>
      <c r="N3" s="258">
        <f>IF(SUM($J3:$M3)=0,"",J3/SUM($J3:$M3))</f>
        <v>1</v>
      </c>
      <c r="O3" s="256">
        <f t="shared" ref="O3:Q3" si="1">IF(SUM($J3:$M3)=0,"",K3/SUM($J3:$M3))</f>
        <v>0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17" t="s">
        <v>168</v>
      </c>
      <c r="C4" s="318"/>
      <c r="D4" s="318"/>
      <c r="E4" s="319"/>
      <c r="F4" s="314" t="s">
        <v>173</v>
      </c>
      <c r="G4" s="315"/>
      <c r="H4" s="315"/>
      <c r="I4" s="316"/>
      <c r="J4" s="317" t="s">
        <v>174</v>
      </c>
      <c r="K4" s="318"/>
      <c r="L4" s="318"/>
      <c r="M4" s="319"/>
      <c r="N4" s="314" t="s">
        <v>175</v>
      </c>
      <c r="O4" s="315"/>
      <c r="P4" s="315"/>
      <c r="Q4" s="316"/>
    </row>
    <row r="5" spans="1:17" ht="14.4" customHeight="1" thickBot="1" x14ac:dyDescent="0.35">
      <c r="A5" s="377" t="s">
        <v>167</v>
      </c>
      <c r="B5" s="378" t="s">
        <v>169</v>
      </c>
      <c r="C5" s="378" t="s">
        <v>170</v>
      </c>
      <c r="D5" s="378" t="s">
        <v>171</v>
      </c>
      <c r="E5" s="379" t="s">
        <v>172</v>
      </c>
      <c r="F5" s="380" t="s">
        <v>169</v>
      </c>
      <c r="G5" s="381" t="s">
        <v>170</v>
      </c>
      <c r="H5" s="381" t="s">
        <v>171</v>
      </c>
      <c r="I5" s="382" t="s">
        <v>172</v>
      </c>
      <c r="J5" s="378" t="s">
        <v>169</v>
      </c>
      <c r="K5" s="378" t="s">
        <v>170</v>
      </c>
      <c r="L5" s="378" t="s">
        <v>171</v>
      </c>
      <c r="M5" s="379" t="s">
        <v>172</v>
      </c>
      <c r="N5" s="380" t="s">
        <v>169</v>
      </c>
      <c r="O5" s="381" t="s">
        <v>170</v>
      </c>
      <c r="P5" s="381" t="s">
        <v>171</v>
      </c>
      <c r="Q5" s="382" t="s">
        <v>172</v>
      </c>
    </row>
    <row r="6" spans="1:17" ht="14.4" customHeight="1" x14ac:dyDescent="0.3">
      <c r="A6" s="390" t="s">
        <v>322</v>
      </c>
      <c r="B6" s="394"/>
      <c r="C6" s="384"/>
      <c r="D6" s="384"/>
      <c r="E6" s="396"/>
      <c r="F6" s="392"/>
      <c r="G6" s="385"/>
      <c r="H6" s="385"/>
      <c r="I6" s="398"/>
      <c r="J6" s="394"/>
      <c r="K6" s="384"/>
      <c r="L6" s="384"/>
      <c r="M6" s="396"/>
      <c r="N6" s="392"/>
      <c r="O6" s="385"/>
      <c r="P6" s="385"/>
      <c r="Q6" s="386"/>
    </row>
    <row r="7" spans="1:17" ht="14.4" customHeight="1" thickBot="1" x14ac:dyDescent="0.35">
      <c r="A7" s="391" t="s">
        <v>323</v>
      </c>
      <c r="B7" s="395">
        <v>5</v>
      </c>
      <c r="C7" s="387"/>
      <c r="D7" s="387"/>
      <c r="E7" s="397"/>
      <c r="F7" s="393">
        <v>1</v>
      </c>
      <c r="G7" s="388">
        <v>0</v>
      </c>
      <c r="H7" s="388">
        <v>0</v>
      </c>
      <c r="I7" s="399">
        <v>0</v>
      </c>
      <c r="J7" s="395">
        <v>2</v>
      </c>
      <c r="K7" s="387"/>
      <c r="L7" s="387"/>
      <c r="M7" s="397"/>
      <c r="N7" s="393">
        <v>1</v>
      </c>
      <c r="O7" s="388">
        <v>0</v>
      </c>
      <c r="P7" s="388">
        <v>0</v>
      </c>
      <c r="Q7" s="38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3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07" t="s">
        <v>111</v>
      </c>
      <c r="B1" s="308"/>
      <c r="C1" s="308"/>
      <c r="D1" s="308"/>
      <c r="E1" s="308"/>
      <c r="F1" s="308"/>
      <c r="G1" s="279"/>
      <c r="H1" s="309"/>
      <c r="I1" s="309"/>
    </row>
    <row r="2" spans="1:10" ht="14.4" customHeight="1" thickBot="1" x14ac:dyDescent="0.35">
      <c r="A2" s="202" t="s">
        <v>207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46">
        <v>2014</v>
      </c>
      <c r="D3" s="247">
        <v>2015</v>
      </c>
      <c r="E3" s="7"/>
      <c r="F3" s="302">
        <v>2016</v>
      </c>
      <c r="G3" s="303"/>
      <c r="H3" s="303"/>
      <c r="I3" s="304"/>
    </row>
    <row r="4" spans="1:10" ht="14.4" customHeight="1" thickBot="1" x14ac:dyDescent="0.35">
      <c r="A4" s="251" t="s">
        <v>0</v>
      </c>
      <c r="B4" s="252" t="s">
        <v>165</v>
      </c>
      <c r="C4" s="305" t="s">
        <v>55</v>
      </c>
      <c r="D4" s="306"/>
      <c r="E4" s="253"/>
      <c r="F4" s="248" t="s">
        <v>55</v>
      </c>
      <c r="G4" s="249" t="s">
        <v>56</v>
      </c>
      <c r="H4" s="249" t="s">
        <v>50</v>
      </c>
      <c r="I4" s="250" t="s">
        <v>57</v>
      </c>
    </row>
    <row r="5" spans="1:10" ht="14.4" customHeight="1" x14ac:dyDescent="0.3">
      <c r="A5" s="372" t="s">
        <v>312</v>
      </c>
      <c r="B5" s="373" t="s">
        <v>313</v>
      </c>
      <c r="C5" s="374" t="s">
        <v>314</v>
      </c>
      <c r="D5" s="374" t="s">
        <v>314</v>
      </c>
      <c r="E5" s="374"/>
      <c r="F5" s="374" t="s">
        <v>314</v>
      </c>
      <c r="G5" s="374" t="s">
        <v>314</v>
      </c>
      <c r="H5" s="374" t="s">
        <v>314</v>
      </c>
      <c r="I5" s="375" t="s">
        <v>314</v>
      </c>
      <c r="J5" s="376" t="s">
        <v>51</v>
      </c>
    </row>
    <row r="6" spans="1:10" ht="14.4" customHeight="1" x14ac:dyDescent="0.3">
      <c r="A6" s="372" t="s">
        <v>312</v>
      </c>
      <c r="B6" s="373" t="s">
        <v>217</v>
      </c>
      <c r="C6" s="374" t="s">
        <v>314</v>
      </c>
      <c r="D6" s="374">
        <v>0.28936000000000001</v>
      </c>
      <c r="E6" s="374"/>
      <c r="F6" s="374">
        <v>0</v>
      </c>
      <c r="G6" s="374">
        <v>0.24113335510249997</v>
      </c>
      <c r="H6" s="374">
        <v>-0.24113335510249997</v>
      </c>
      <c r="I6" s="375">
        <v>0</v>
      </c>
      <c r="J6" s="376" t="s">
        <v>1</v>
      </c>
    </row>
    <row r="7" spans="1:10" ht="14.4" customHeight="1" x14ac:dyDescent="0.3">
      <c r="A7" s="372" t="s">
        <v>312</v>
      </c>
      <c r="B7" s="373" t="s">
        <v>218</v>
      </c>
      <c r="C7" s="374">
        <v>0</v>
      </c>
      <c r="D7" s="374">
        <v>0.72186000000000006</v>
      </c>
      <c r="E7" s="374"/>
      <c r="F7" s="374">
        <v>2.5999999999999999E-2</v>
      </c>
      <c r="G7" s="374">
        <v>0</v>
      </c>
      <c r="H7" s="374">
        <v>2.5999999999999999E-2</v>
      </c>
      <c r="I7" s="375" t="s">
        <v>314</v>
      </c>
      <c r="J7" s="376" t="s">
        <v>1</v>
      </c>
    </row>
    <row r="8" spans="1:10" ht="14.4" customHeight="1" x14ac:dyDescent="0.3">
      <c r="A8" s="372" t="s">
        <v>312</v>
      </c>
      <c r="B8" s="373" t="s">
        <v>219</v>
      </c>
      <c r="C8" s="374" t="s">
        <v>314</v>
      </c>
      <c r="D8" s="374" t="s">
        <v>314</v>
      </c>
      <c r="E8" s="374"/>
      <c r="F8" s="374">
        <v>0.14199999999999999</v>
      </c>
      <c r="G8" s="374">
        <v>0</v>
      </c>
      <c r="H8" s="374">
        <v>0.14199999999999999</v>
      </c>
      <c r="I8" s="375" t="s">
        <v>314</v>
      </c>
      <c r="J8" s="376" t="s">
        <v>1</v>
      </c>
    </row>
    <row r="9" spans="1:10" ht="14.4" customHeight="1" x14ac:dyDescent="0.3">
      <c r="A9" s="372" t="s">
        <v>312</v>
      </c>
      <c r="B9" s="373" t="s">
        <v>315</v>
      </c>
      <c r="C9" s="374">
        <v>0</v>
      </c>
      <c r="D9" s="374">
        <v>1.01122</v>
      </c>
      <c r="E9" s="374"/>
      <c r="F9" s="374">
        <v>0.16799999999999998</v>
      </c>
      <c r="G9" s="374">
        <v>0.24113335510249997</v>
      </c>
      <c r="H9" s="374">
        <v>-7.3133355102499992E-2</v>
      </c>
      <c r="I9" s="375">
        <v>0.69670991774898683</v>
      </c>
      <c r="J9" s="376" t="s">
        <v>316</v>
      </c>
    </row>
    <row r="11" spans="1:10" ht="14.4" customHeight="1" x14ac:dyDescent="0.3">
      <c r="A11" s="372" t="s">
        <v>312</v>
      </c>
      <c r="B11" s="373" t="s">
        <v>313</v>
      </c>
      <c r="C11" s="374" t="s">
        <v>314</v>
      </c>
      <c r="D11" s="374" t="s">
        <v>314</v>
      </c>
      <c r="E11" s="374"/>
      <c r="F11" s="374" t="s">
        <v>314</v>
      </c>
      <c r="G11" s="374" t="s">
        <v>314</v>
      </c>
      <c r="H11" s="374" t="s">
        <v>314</v>
      </c>
      <c r="I11" s="375" t="s">
        <v>314</v>
      </c>
      <c r="J11" s="376" t="s">
        <v>51</v>
      </c>
    </row>
    <row r="12" spans="1:10" ht="14.4" customHeight="1" x14ac:dyDescent="0.3">
      <c r="A12" s="372" t="s">
        <v>317</v>
      </c>
      <c r="B12" s="373" t="s">
        <v>318</v>
      </c>
      <c r="C12" s="374" t="s">
        <v>314</v>
      </c>
      <c r="D12" s="374" t="s">
        <v>314</v>
      </c>
      <c r="E12" s="374"/>
      <c r="F12" s="374" t="s">
        <v>314</v>
      </c>
      <c r="G12" s="374" t="s">
        <v>314</v>
      </c>
      <c r="H12" s="374" t="s">
        <v>314</v>
      </c>
      <c r="I12" s="375" t="s">
        <v>314</v>
      </c>
      <c r="J12" s="376" t="s">
        <v>0</v>
      </c>
    </row>
    <row r="13" spans="1:10" ht="14.4" customHeight="1" x14ac:dyDescent="0.3">
      <c r="A13" s="372" t="s">
        <v>317</v>
      </c>
      <c r="B13" s="373" t="s">
        <v>217</v>
      </c>
      <c r="C13" s="374" t="s">
        <v>314</v>
      </c>
      <c r="D13" s="374">
        <v>0.28936000000000001</v>
      </c>
      <c r="E13" s="374"/>
      <c r="F13" s="374">
        <v>0</v>
      </c>
      <c r="G13" s="374">
        <v>0.24113335510249997</v>
      </c>
      <c r="H13" s="374">
        <v>-0.24113335510249997</v>
      </c>
      <c r="I13" s="375">
        <v>0</v>
      </c>
      <c r="J13" s="376" t="s">
        <v>1</v>
      </c>
    </row>
    <row r="14" spans="1:10" ht="14.4" customHeight="1" x14ac:dyDescent="0.3">
      <c r="A14" s="372" t="s">
        <v>317</v>
      </c>
      <c r="B14" s="373" t="s">
        <v>218</v>
      </c>
      <c r="C14" s="374">
        <v>0</v>
      </c>
      <c r="D14" s="374">
        <v>0.72186000000000006</v>
      </c>
      <c r="E14" s="374"/>
      <c r="F14" s="374">
        <v>2.5999999999999999E-2</v>
      </c>
      <c r="G14" s="374">
        <v>0</v>
      </c>
      <c r="H14" s="374">
        <v>2.5999999999999999E-2</v>
      </c>
      <c r="I14" s="375" t="s">
        <v>314</v>
      </c>
      <c r="J14" s="376" t="s">
        <v>1</v>
      </c>
    </row>
    <row r="15" spans="1:10" ht="14.4" customHeight="1" x14ac:dyDescent="0.3">
      <c r="A15" s="372" t="s">
        <v>317</v>
      </c>
      <c r="B15" s="373" t="s">
        <v>219</v>
      </c>
      <c r="C15" s="374" t="s">
        <v>314</v>
      </c>
      <c r="D15" s="374" t="s">
        <v>314</v>
      </c>
      <c r="E15" s="374"/>
      <c r="F15" s="374">
        <v>0.14199999999999999</v>
      </c>
      <c r="G15" s="374">
        <v>0</v>
      </c>
      <c r="H15" s="374">
        <v>0.14199999999999999</v>
      </c>
      <c r="I15" s="375" t="s">
        <v>314</v>
      </c>
      <c r="J15" s="376" t="s">
        <v>1</v>
      </c>
    </row>
    <row r="16" spans="1:10" ht="14.4" customHeight="1" x14ac:dyDescent="0.3">
      <c r="A16" s="372" t="s">
        <v>317</v>
      </c>
      <c r="B16" s="373" t="s">
        <v>319</v>
      </c>
      <c r="C16" s="374">
        <v>0</v>
      </c>
      <c r="D16" s="374">
        <v>1.01122</v>
      </c>
      <c r="E16" s="374"/>
      <c r="F16" s="374">
        <v>0.16799999999999998</v>
      </c>
      <c r="G16" s="374">
        <v>0.24113335510249997</v>
      </c>
      <c r="H16" s="374">
        <v>-7.3133355102499992E-2</v>
      </c>
      <c r="I16" s="375">
        <v>0.69670991774898683</v>
      </c>
      <c r="J16" s="376" t="s">
        <v>320</v>
      </c>
    </row>
    <row r="17" spans="1:10" ht="14.4" customHeight="1" x14ac:dyDescent="0.3">
      <c r="A17" s="372" t="s">
        <v>314</v>
      </c>
      <c r="B17" s="373" t="s">
        <v>314</v>
      </c>
      <c r="C17" s="374" t="s">
        <v>314</v>
      </c>
      <c r="D17" s="374" t="s">
        <v>314</v>
      </c>
      <c r="E17" s="374"/>
      <c r="F17" s="374" t="s">
        <v>314</v>
      </c>
      <c r="G17" s="374" t="s">
        <v>314</v>
      </c>
      <c r="H17" s="374" t="s">
        <v>314</v>
      </c>
      <c r="I17" s="375" t="s">
        <v>314</v>
      </c>
      <c r="J17" s="376" t="s">
        <v>321</v>
      </c>
    </row>
    <row r="18" spans="1:10" ht="14.4" customHeight="1" x14ac:dyDescent="0.3">
      <c r="A18" s="372" t="s">
        <v>312</v>
      </c>
      <c r="B18" s="373" t="s">
        <v>315</v>
      </c>
      <c r="C18" s="374">
        <v>0</v>
      </c>
      <c r="D18" s="374">
        <v>1.01122</v>
      </c>
      <c r="E18" s="374"/>
      <c r="F18" s="374">
        <v>0.16799999999999998</v>
      </c>
      <c r="G18" s="374">
        <v>0.24113335510249997</v>
      </c>
      <c r="H18" s="374">
        <v>-7.3133355102499992E-2</v>
      </c>
      <c r="I18" s="375">
        <v>0.69670991774898683</v>
      </c>
      <c r="J18" s="376" t="s">
        <v>316</v>
      </c>
    </row>
  </sheetData>
  <mergeCells count="3">
    <mergeCell ref="A1:I1"/>
    <mergeCell ref="F3:I3"/>
    <mergeCell ref="C4:D4"/>
  </mergeCells>
  <conditionalFormatting sqref="F10 F19:F65537">
    <cfRule type="cellIs" dxfId="22" priority="18" stopIfTrue="1" operator="greaterThan">
      <formula>1</formula>
    </cfRule>
  </conditionalFormatting>
  <conditionalFormatting sqref="H5:H9">
    <cfRule type="expression" dxfId="21" priority="14">
      <formula>$H5&gt;0</formula>
    </cfRule>
  </conditionalFormatting>
  <conditionalFormatting sqref="I5:I9">
    <cfRule type="expression" dxfId="20" priority="15">
      <formula>$I5&gt;1</formula>
    </cfRule>
  </conditionalFormatting>
  <conditionalFormatting sqref="B5:B9">
    <cfRule type="expression" dxfId="19" priority="11">
      <formula>OR($J5="NS",$J5="SumaNS",$J5="Účet")</formula>
    </cfRule>
  </conditionalFormatting>
  <conditionalFormatting sqref="F5:I9 B5:D9">
    <cfRule type="expression" dxfId="18" priority="17">
      <formula>AND($J5&lt;&gt;"",$J5&lt;&gt;"mezeraKL")</formula>
    </cfRule>
  </conditionalFormatting>
  <conditionalFormatting sqref="B5:D9 F5:I9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6" priority="13">
      <formula>OR($J5="SumaNS",$J5="NS")</formula>
    </cfRule>
  </conditionalFormatting>
  <conditionalFormatting sqref="A5:A9">
    <cfRule type="expression" dxfId="15" priority="9">
      <formula>AND($J5&lt;&gt;"mezeraKL",$J5&lt;&gt;"")</formula>
    </cfRule>
  </conditionalFormatting>
  <conditionalFormatting sqref="A5:A9">
    <cfRule type="expression" dxfId="14" priority="10">
      <formula>AND($J5&lt;&gt;"",$J5&lt;&gt;"mezeraKL")</formula>
    </cfRule>
  </conditionalFormatting>
  <conditionalFormatting sqref="H11:H18">
    <cfRule type="expression" dxfId="13" priority="5">
      <formula>$H11&gt;0</formula>
    </cfRule>
  </conditionalFormatting>
  <conditionalFormatting sqref="A11:A18">
    <cfRule type="expression" dxfId="12" priority="2">
      <formula>AND($J11&lt;&gt;"mezeraKL",$J11&lt;&gt;"")</formula>
    </cfRule>
  </conditionalFormatting>
  <conditionalFormatting sqref="I11:I18">
    <cfRule type="expression" dxfId="11" priority="6">
      <formula>$I11&gt;1</formula>
    </cfRule>
  </conditionalFormatting>
  <conditionalFormatting sqref="B11:B18">
    <cfRule type="expression" dxfId="10" priority="1">
      <formula>OR($J11="NS",$J11="SumaNS",$J11="Účet")</formula>
    </cfRule>
  </conditionalFormatting>
  <conditionalFormatting sqref="A11:D18 F11:I18">
    <cfRule type="expression" dxfId="9" priority="8">
      <formula>AND($J11&lt;&gt;"",$J11&lt;&gt;"mezeraKL")</formula>
    </cfRule>
  </conditionalFormatting>
  <conditionalFormatting sqref="B11:D18 F11:I18">
    <cfRule type="expression" dxfId="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2016-11-26T15:08:18Z</dcterms:modified>
</cp:coreProperties>
</file>