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C26" i="419"/>
  <c r="E28" i="419" l="1"/>
  <c r="E27" i="419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8" i="414"/>
  <c r="A7" i="414"/>
  <c r="F3" i="344" l="1"/>
  <c r="D3" i="344"/>
  <c r="B3" i="34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D22" i="419"/>
  <c r="M3" i="418"/>
  <c r="B21" i="419" l="1"/>
  <c r="B22" i="419" l="1"/>
  <c r="A18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9" i="414"/>
  <c r="D19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<sst xmlns="http://schemas.openxmlformats.org/spreadsheetml/2006/main" count="872" uniqueCount="372">
  <si>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</si>
  <si>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</si>
  <si>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</si>
  <si>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</si>
  <si>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</si>
  <si>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</si>
  <si>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</si>
  <si>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</si>
  <si>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</si>
  <si>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</si>
  <si>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</si>
  <si>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</si>
  <si>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</si>
  <si>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</si>
  <si>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</si>
  <si>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</si>
  <si>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</si>
  <si>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</si>
  <si>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</si>
  <si>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</si>
  <si>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</si>
  <si>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</si>
  <si>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</si>
  <si>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</si>
  <si>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</si>
  <si>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</si>
  <si>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</si>
  <si>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</si>
  <si>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</si>
  <si>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</si>
  <si>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</si>
  <si>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</si>
  <si>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</si>
  <si>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</si>
  <si>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</si>
  <si>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</si>
  <si>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</si>
  <si>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</si>
  <si>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</si>
  <si>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</si>
  <si>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</si>
  <si>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</si>
  <si>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</si>
  <si>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</si>
  <si>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</si>
  <si>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</si>
  <si>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</si>
  <si>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</si>
  <si>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</si>
  <si>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</si>
  <si>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</si>
  <si>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</si>
  <si>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</si>
  <si>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</si>
  <si>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</si>
  <si>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</si>
  <si>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</si>
  <si>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</si>
  <si>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</si>
  <si>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</si>
  <si>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</si>
  <si>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</si>
  <si>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</si>
  <si>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</si>
  <si>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</si>
  <si>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</si>
  <si>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</si>
  <si>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</si>
  <si>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</si>
  <si>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</si>
  <si>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</si>
  <si>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</si>
  <si>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</si>
  <si>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</si>
  <si>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</si>
  <si>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</si>
  <si>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</si>
  <si>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</si>
  <si>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</si>
  <si>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</si>
  <si>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</si>
  <si>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</si>
  <si>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</si>
  <si>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</si>
  <si>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</si>
  <si>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</si>
  <si>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</si>
  <si>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</si>
  <si>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</si>
  <si>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</si>
  <si>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</si>
  <si>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</si>
  <si>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</si>
  <si>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</si>
  <si>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</si>
  <si>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</si>
  <si>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</si>
  <si>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</si>
  <si>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</si>
  <si>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</si>
  <si>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</si>
  <si>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</si>
  <si>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</si>
  <si>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</si>
  <si>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</si>
  <si>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</si>
  <si>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</si>
  <si>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</si>
  <si>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</si>
  <si>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</si>
  <si>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</si>
  <si>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</si>
  <si>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</si>
  <si>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</si>
  <si>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</si>
  <si>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</si>
  <si>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</si>
  <si>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</si>
  <si>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</si>
  <si>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</si>
  <si>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</si>
  <si>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</si>
  <si>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</si>
  <si>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</si>
  <si>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</si>
  <si>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</si>
  <si>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</si>
  <si>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</si>
  <si>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</si>
  <si>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</si>
  <si>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</si>
  <si>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</si>
  <si>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</si>
  <si>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</si>
  <si>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</si>
  <si>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</si>
  <si>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</si>
  <si>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</si>
  <si>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</si>
  <si>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</si>
  <si>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</si>
  <si>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</si>
  <si>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</si>
  <si>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</si>
  <si>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</si>
  <si>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</si>
  <si>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</si>
  <si>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</si>
  <si>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</si>
  <si>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</si>
  <si>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</si>
  <si>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</si>
  <si>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</si>
  <si>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</si>
  <si>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</si>
  <si>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</si>
  <si>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kliničtí logopedové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</si>
  <si>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</si>
  <si>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</si>
  <si>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</si>
  <si>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</si>
  <si>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</si>
  <si>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</si>
  <si>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</si>
  <si>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</si>
  <si>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</si>
  <si>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</si>
  <si>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</si>
  <si>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</si>
  <si>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</si>
  <si>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</si>
  <si>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</si>
  <si>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</si>
  <si>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</si>
  <si>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</si>
  <si>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</si>
  <si>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</si>
  <si>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</si>
  <si>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</si>
  <si>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</si>
  <si>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</si>
  <si>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</si>
  <si>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</si>
  <si>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</si>
  <si>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</si>
  <si>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</si>
  <si>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</si>
  <si>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</si>
  <si>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</si>
  <si>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</si>
  <si>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</si>
  <si>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</si>
  <si>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</si>
  <si>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</si>
  <si>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</si>
  <si>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</si>
  <si>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</si>
  <si>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</si>
  <si>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</si>
  <si>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</si>
  <si>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</si>
  <si>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</si>
  <si>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</si>
  <si>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</si>
  <si>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</si>
  <si>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</si>
  <si>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</si>
  <si>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</si>
  <si>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</si>
  <si>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</si>
  <si>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</si>
  <si>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</si>
  <si>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</si>
  <si>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</si>
  <si>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</si>
  <si>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</si>
  <si>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</si>
  <si>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</si>
  <si>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</si>
  <si>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</si>
  <si>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</si>
  <si>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</si>
  <si>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</si>
  <si>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</si>
  <si>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</si>
  <si>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</si>
  <si>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</si>
  <si>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</si>
  <si>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</si>
  <si>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</si>
  <si>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</si>
  <si>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</si>
  <si>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</si>
  <si>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</si>
  <si>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</si>
  <si>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</si>
  <si>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</si>
  <si>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</si>
  <si>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</si>
  <si>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</si>
  <si>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</si>
  <si>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</si>
  <si>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</si>
  <si>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</si>
  <si>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</si>
  <si>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</si>
  <si>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</si>
  <si>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</si>
  <si>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</si>
  <si>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</si>
  <si>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</si>
  <si>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</si>
  <si>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</si>
  <si>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</si>
  <si>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</si>
  <si>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</si>
  <si>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</si>
  <si>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</si>
  <si>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</si>
  <si>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</si>
  <si>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</si>
  <si>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</si>
  <si>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</si>
  <si>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</si>
  <si>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</si>
  <si>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</si>
  <si>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</si>
  <si>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</si>
  <si>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</si>
  <si>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</si>
  <si>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</si>
  <si>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</si>
  <si>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</si>
  <si>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</si>
  <si>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</si>
  <si>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</si>
  <si>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</si>
  <si>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</si>
  <si>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</si>
  <si>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</si>
  <si>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</si>
  <si>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</si>
  <si>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</si>
  <si>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</si>
  <si>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</si>
  <si>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</si>
  <si>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</si>
  <si>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</si>
  <si>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</si>
  <si>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</si>
  <si>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</si>
  <si>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</si>
  <si>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</si>
  <si>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</si>
  <si>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</si>
  <si>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</si>
  <si>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</si>
  <si>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</si>
  <si>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</si>
  <si>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</si>
  <si>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</si>
  <si>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</si>
  <si>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</si>
  <si>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</si>
  <si>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</si>
  <si>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</si>
  <si>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</si>
  <si>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</si>
  <si>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</si>
  <si>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</si>
  <si>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</si>
  <si>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</si>
  <si>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</si>
  <si>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</si>
  <si>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</si>
  <si>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</si>
  <si>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</si>
  <si>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</si>
  <si>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</si>
  <si>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</si>
  <si>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</si>
  <si>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</si>
  <si>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</si>
  <si>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</si>
  <si>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</si>
  <si>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</si>
  <si>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</si>
  <si>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</si>
  <si>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</si>
  <si>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</si>
  <si>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</si>
  <si>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</si>
  <si>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</si>
  <si>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</si>
  <si>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</si>
  <si>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Signalni kod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</si>
  <si>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</si>
  <si>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</si>
  <si>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</si>
  <si>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</si>
  <si>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</si>
  <si>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</si>
  <si>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</si>
  <si>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</si>
  <si>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</si>
  <si>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</si>
  <si>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</si>
  <si>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</si>
  <si>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</si>
  <si>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</si>
  <si>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</si>
  <si>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</si>
  <si>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</si>
  <si>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</si>
  <si>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</si>
  <si>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</si>
  <si>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</si>
  <si>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03</t>
  </si>
  <si>
    <t>05</t>
  </si>
  <si>
    <t>06</t>
  </si>
  <si>
    <t>07</t>
  </si>
  <si>
    <t>08</t>
  </si>
  <si>
    <t>17</t>
  </si>
  <si>
    <t>21</t>
  </si>
  <si>
    <t>26</t>
  </si>
  <si>
    <t>72017</t>
  </si>
  <si>
    <t>KONTROLNÍ VYŠETŘENÍ KLINICKÝM LOGOPEDEM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</si>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</sst>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2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4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6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6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2" xfId="0" applyFont="1" applyFill="1" applyBorder="1"/>
    <xf numFmtId="3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6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9" fontId="32" fillId="0" borderId="89" xfId="0" applyNumberFormat="1" applyFont="1" applyFill="1" applyBorder="1"/>
    <xf numFmtId="9" fontId="32" fillId="0" borderId="88" xfId="0" applyNumberFormat="1" applyFont="1" applyFill="1" applyBorder="1"/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right"/>
    </xf>
    <xf numFmtId="0" fontId="0" fillId="0" borderId="112" xfId="0" applyBorder="1" applyAlignment="1">
      <alignment horizontal="right" wrapText="1"/>
    </xf>
    <xf numFmtId="0" fontId="0" fillId="0" borderId="113" xfId="0" applyBorder="1" applyAlignment="1">
      <alignment horizontal="right"/>
    </xf>
    <xf numFmtId="0" fontId="39" fillId="2" borderId="89" xfId="0" applyFont="1" applyFill="1" applyBorder="1" applyAlignment="1">
      <alignment horizontal="center" vertical="center"/>
    </xf>
    <xf numFmtId="0" fontId="54" fillId="2" borderId="88" xfId="0" applyFont="1" applyFill="1" applyBorder="1" applyAlignment="1">
      <alignment horizontal="center" vertical="center" wrapText="1"/>
    </xf>
    <xf numFmtId="174" fontId="32" fillId="2" borderId="89" xfId="0" applyNumberFormat="1" applyFont="1" applyFill="1" applyBorder="1" applyAlignment="1"/>
    <xf numFmtId="174" fontId="32" fillId="0" borderId="87" xfId="0" applyNumberFormat="1" applyFont="1" applyBorder="1"/>
    <xf numFmtId="174" fontId="32" fillId="0" borderId="115" xfId="0" applyNumberFormat="1" applyFont="1" applyBorder="1"/>
    <xf numFmtId="173" fontId="39" fillId="4" borderId="89" xfId="0" applyNumberFormat="1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9" fillId="2" borderId="89" xfId="0" applyNumberFormat="1" applyFont="1" applyFill="1" applyBorder="1" applyAlignment="1"/>
    <xf numFmtId="173" fontId="32" fillId="0" borderId="115" xfId="0" applyNumberFormat="1" applyFont="1" applyBorder="1"/>
    <xf numFmtId="173" fontId="32" fillId="0" borderId="89" xfId="0" applyNumberFormat="1" applyFont="1" applyBorder="1"/>
    <xf numFmtId="173" fontId="39" fillId="4" borderId="116" xfId="0" applyNumberFormat="1" applyFont="1" applyFill="1" applyBorder="1" applyAlignment="1">
      <alignment horizontal="center"/>
    </xf>
    <xf numFmtId="173" fontId="32" fillId="0" borderId="117" xfId="0" applyNumberFormat="1" applyFont="1" applyBorder="1" applyAlignment="1">
      <alignment horizontal="right"/>
    </xf>
    <xf numFmtId="175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4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81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62" xfId="0" applyFont="1" applyFill="1" applyBorder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3" xfId="0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6" xfId="0" applyFont="1" applyFill="1" applyBorder="1"/>
    <xf numFmtId="9" fontId="32" fillId="0" borderId="74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0.19360538290798482</c:v>
                </c:pt>
                <c:pt idx="1">
                  <c:v>0.19521907273863118</c:v>
                </c:pt>
                <c:pt idx="2">
                  <c:v>0.22973765095439277</c:v>
                </c:pt>
                <c:pt idx="3">
                  <c:v>0.24500753423192762</c:v>
                </c:pt>
                <c:pt idx="4">
                  <c:v>0.24492418757785081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4496"/>
        <c:axId val="8037390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0.20938897933303646</c:v>
                </c:pt>
                <c:pt idx="1">
                  <c:v>0.20938897933303646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50480"/>
        <c:axId val="803743952"/>
      </c:scatterChart>
      <c:catAx>
        <c:axId val="80374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3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3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4496"/>
        <c:crosses val="autoZero"/>
        <c:crossBetween val="between"/>
      </c:valAx>
      <c:valAx>
        <c:axId val="803750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3952"/>
        <c:crosses val="max"/>
        <c:crossBetween val="midCat"/>
      </c:valAx>
      <c:valAx>
        <c:axId val="803743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50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1" t="s">
        <v>85</v>
      </c>
      <c r="B1" s="271"/>
    </row>
    <row r="2" spans="1:3" ht="14.4" customHeight="1" thickBot="1" x14ac:dyDescent="0.35">
      <c r="A2" s="195" t="s">
        <v>199</v>
      </c>
      <c r="B2" s="41"/>
    </row>
    <row r="3" spans="1:3" ht="14.4" customHeight="1" thickBot="1" x14ac:dyDescent="0.35">
      <c r="A3" s="267" t="s">
        <v>106</v>
      </c>
      <c r="B3" s="26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201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9" t="s">
        <v>86</v>
      </c>
      <c r="B10" s="268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6" t="str">
        <f t="shared" ref="A12:A14" si="2">HYPERLINK("#'"&amp;C12&amp;"'!A1",C12)</f>
        <v>LŽ Statim</v>
      </c>
      <c r="B12" s="255" t="s">
        <v>158</v>
      </c>
      <c r="C12" s="42" t="s">
        <v>168</v>
      </c>
    </row>
    <row r="13" spans="1:3" ht="14.4" customHeight="1" x14ac:dyDescent="0.3">
      <c r="A13" s="118" t="str">
        <f t="shared" ref="A13" si="3">HYPERLINK("#'"&amp;C13&amp;"'!A1",C13)</f>
        <v>Materiál Žádanky</v>
      </c>
      <c r="B13" s="65" t="s">
        <v>105</v>
      </c>
      <c r="C13" s="42" t="s">
        <v>92</v>
      </c>
    </row>
    <row r="14" spans="1:3" ht="14.4" customHeight="1" thickBot="1" x14ac:dyDescent="0.35">
      <c r="A14" s="118" t="str">
        <f t="shared" si="2"/>
        <v>Osobní náklady</v>
      </c>
      <c r="B14" s="65" t="s">
        <v>83</v>
      </c>
      <c r="C14" s="42" t="s">
        <v>93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70" t="s">
        <v>87</v>
      </c>
      <c r="B16" s="268"/>
    </row>
    <row r="17" spans="1:3" ht="14.4" customHeight="1" x14ac:dyDescent="0.3">
      <c r="A17" s="119" t="str">
        <f t="shared" ref="A17:A21" si="4">HYPERLINK("#'"&amp;C17&amp;"'!A1",C17)</f>
        <v>ZV Vykáz.-A</v>
      </c>
      <c r="B17" s="64" t="s">
        <v>316</v>
      </c>
      <c r="C17" s="42" t="s">
        <v>96</v>
      </c>
    </row>
    <row r="18" spans="1:3" ht="14.4" customHeight="1" x14ac:dyDescent="0.3">
      <c r="A18" s="116" t="str">
        <f t="shared" ref="A18" si="5">HYPERLINK("#'"&amp;C18&amp;"'!A1",C18)</f>
        <v>ZV Vykáz.-A Lékaři</v>
      </c>
      <c r="B18" s="65" t="s">
        <v>323</v>
      </c>
      <c r="C18" s="42" t="s">
        <v>171</v>
      </c>
    </row>
    <row r="19" spans="1:3" ht="14.4" customHeight="1" x14ac:dyDescent="0.3">
      <c r="A19" s="116" t="str">
        <f t="shared" si="4"/>
        <v>ZV Vykáz.-A Detail</v>
      </c>
      <c r="B19" s="65" t="s">
        <v>342</v>
      </c>
      <c r="C19" s="42" t="s">
        <v>97</v>
      </c>
    </row>
    <row r="20" spans="1:3" ht="14.4" customHeight="1" x14ac:dyDescent="0.3">
      <c r="A20" s="116" t="str">
        <f t="shared" si="4"/>
        <v>ZV Vykáz.-H</v>
      </c>
      <c r="B20" s="65" t="s">
        <v>100</v>
      </c>
      <c r="C20" s="42" t="s">
        <v>98</v>
      </c>
    </row>
    <row r="21" spans="1:3" ht="14.4" customHeight="1" x14ac:dyDescent="0.3">
      <c r="A21" s="116" t="str">
        <f t="shared" si="4"/>
        <v>ZV Vykáz.-H Detail</v>
      </c>
      <c r="B21" s="65" t="s">
        <v>371</v>
      </c>
      <c r="C21" s="42" t="s">
        <v>99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F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5" width="13.109375" customWidth="1"/>
  </cols>
  <sheetData>
    <row r="1" spans="1:6" ht="18.600000000000001" thickBot="1" x14ac:dyDescent="0.4">
      <c r="A1" s="312" t="s">
        <v>83</v>
      </c>
      <c r="B1" s="302"/>
      <c r="C1" s="302"/>
      <c r="D1" s="302"/>
      <c r="E1" s="302"/>
    </row>
    <row r="2" spans="1:6" ht="15" thickBot="1" x14ac:dyDescent="0.35">
      <c r="A2" s="195" t="s">
        <v>199</v>
      </c>
      <c r="B2" s="196"/>
      <c r="C2" s="196"/>
      <c r="D2" s="196"/>
    </row>
    <row r="3" spans="1:6" x14ac:dyDescent="0.3">
      <c r="A3" s="210" t="s">
        <v>148</v>
      </c>
      <c r="B3" s="310" t="s">
        <v>132</v>
      </c>
      <c r="C3" s="213">
        <v>302</v>
      </c>
      <c r="D3" s="213">
        <v>523</v>
      </c>
      <c r="E3" s="394">
        <v>930</v>
      </c>
      <c r="F3" s="409"/>
    </row>
    <row r="4" spans="1:6" ht="24.6" outlineLevel="1" thickBot="1" x14ac:dyDescent="0.35">
      <c r="A4" s="211">
        <v>2016</v>
      </c>
      <c r="B4" s="311"/>
      <c r="C4" s="214" t="s">
        <v>174</v>
      </c>
      <c r="D4" s="214" t="s">
        <v>156</v>
      </c>
      <c r="E4" s="395" t="s">
        <v>150</v>
      </c>
      <c r="F4" s="409"/>
    </row>
    <row r="5" spans="1:6" x14ac:dyDescent="0.3">
      <c r="A5" s="197" t="s">
        <v>133</v>
      </c>
      <c r="B5" s="227"/>
      <c r="C5" s="228"/>
      <c r="D5" s="228"/>
      <c r="E5" s="396"/>
      <c r="F5" s="409"/>
    </row>
    <row r="6" spans="1:6" ht="15" collapsed="1" thickBot="1" x14ac:dyDescent="0.35">
      <c r="A6" s="198" t="s">
        <v>50</v>
      </c>
      <c r="B6" s="229">
        <f xml:space="preserve">
TRUNC(IF($A$4&lt;=12,SUMIFS('ON Data'!F:F,'ON Data'!$D:$D,$A$4,'ON Data'!$E:$E,1),SUMIFS('ON Data'!F:F,'ON Data'!$E:$E,1)/'ON Data'!$D$3),1)</f>
        <v>5</v>
      </c>
      <c r="C6" s="230">
        <f xml:space="preserve">
TRUNC(IF($A$4&lt;=12,SUMIFS('ON Data'!O:O,'ON Data'!$D:$D,$A$4,'ON Data'!$E:$E,1),SUMIFS('ON Data'!O:O,'ON Data'!$E:$E,1)/'ON Data'!$D$3),1)</f>
        <v>0</v>
      </c>
      <c r="D6" s="230">
        <f xml:space="preserve">
TRUNC(IF($A$4&lt;=12,SUMIFS('ON Data'!AG:AG,'ON Data'!$D:$D,$A$4,'ON Data'!$E:$E,1),SUMIFS('ON Data'!AG:AG,'ON Data'!$E:$E,1)/'ON Data'!$D$3),1)</f>
        <v>5</v>
      </c>
      <c r="E6" s="397">
        <f xml:space="preserve">
TRUNC(IF($A$4&lt;=12,SUMIFS('ON Data'!AW:AW,'ON Data'!$D:$D,$A$4,'ON Data'!$E:$E,1),SUMIFS('ON Data'!AW:AW,'ON Data'!$E:$E,1)/'ON Data'!$D$3),1)</f>
        <v>0</v>
      </c>
      <c r="F6" s="409"/>
    </row>
    <row r="7" spans="1:6" ht="15" hidden="1" outlineLevel="1" thickBot="1" x14ac:dyDescent="0.35">
      <c r="A7" s="198" t="s">
        <v>84</v>
      </c>
      <c r="B7" s="229"/>
      <c r="C7" s="230"/>
      <c r="D7" s="230"/>
      <c r="E7" s="397"/>
      <c r="F7" s="409"/>
    </row>
    <row r="8" spans="1:6" ht="15" hidden="1" outlineLevel="1" thickBot="1" x14ac:dyDescent="0.35">
      <c r="A8" s="198" t="s">
        <v>52</v>
      </c>
      <c r="B8" s="229"/>
      <c r="C8" s="230"/>
      <c r="D8" s="230"/>
      <c r="E8" s="397"/>
      <c r="F8" s="409"/>
    </row>
    <row r="9" spans="1:6" ht="15" hidden="1" outlineLevel="1" thickBot="1" x14ac:dyDescent="0.35">
      <c r="A9" s="199" t="s">
        <v>45</v>
      </c>
      <c r="B9" s="231"/>
      <c r="C9" s="232"/>
      <c r="D9" s="232"/>
      <c r="E9" s="398"/>
      <c r="F9" s="409"/>
    </row>
    <row r="10" spans="1:6" x14ac:dyDescent="0.3">
      <c r="A10" s="200" t="s">
        <v>134</v>
      </c>
      <c r="B10" s="215"/>
      <c r="C10" s="216"/>
      <c r="D10" s="216"/>
      <c r="E10" s="399"/>
      <c r="F10" s="409"/>
    </row>
    <row r="11" spans="1:6" x14ac:dyDescent="0.3">
      <c r="A11" s="201" t="s">
        <v>135</v>
      </c>
      <c r="B11" s="217">
        <f xml:space="preserve">
IF($A$4&lt;=12,SUMIFS('ON Data'!F:F,'ON Data'!$D:$D,$A$4,'ON Data'!$E:$E,2),SUMIFS('ON Data'!F:F,'ON Data'!$E:$E,2))</f>
        <v>4072</v>
      </c>
      <c r="C11" s="218">
        <f xml:space="preserve">
IF($A$4&lt;=12,SUMIFS('ON Data'!O:O,'ON Data'!$D:$D,$A$4,'ON Data'!$E:$E,2),SUMIFS('ON Data'!O:O,'ON Data'!$E:$E,2))</f>
        <v>0</v>
      </c>
      <c r="D11" s="218">
        <f xml:space="preserve">
IF($A$4&lt;=12,SUMIFS('ON Data'!AG:AG,'ON Data'!$D:$D,$A$4,'ON Data'!$E:$E,2),SUMIFS('ON Data'!AG:AG,'ON Data'!$E:$E,2))</f>
        <v>4072</v>
      </c>
      <c r="E11" s="400">
        <f xml:space="preserve">
IF($A$4&lt;=12,SUMIFS('ON Data'!AW:AW,'ON Data'!$D:$D,$A$4,'ON Data'!$E:$E,2),SUMIFS('ON Data'!AW:AW,'ON Data'!$E:$E,2))</f>
        <v>0</v>
      </c>
      <c r="F11" s="409"/>
    </row>
    <row r="12" spans="1:6" x14ac:dyDescent="0.3">
      <c r="A12" s="201" t="s">
        <v>136</v>
      </c>
      <c r="B12" s="217">
        <f xml:space="preserve">
IF($A$4&lt;=12,SUMIFS('ON Data'!F:F,'ON Data'!$D:$D,$A$4,'ON Data'!$E:$E,3),SUMIFS('ON Data'!F:F,'ON Data'!$E:$E,3))</f>
        <v>0</v>
      </c>
      <c r="C12" s="218">
        <f xml:space="preserve">
IF($A$4&lt;=12,SUMIFS('ON Data'!O:O,'ON Data'!$D:$D,$A$4,'ON Data'!$E:$E,3),SUMIFS('ON Data'!O:O,'ON Data'!$E:$E,3))</f>
        <v>0</v>
      </c>
      <c r="D12" s="218">
        <f xml:space="preserve">
IF($A$4&lt;=12,SUMIFS('ON Data'!AG:AG,'ON Data'!$D:$D,$A$4,'ON Data'!$E:$E,3),SUMIFS('ON Data'!AG:AG,'ON Data'!$E:$E,3))</f>
        <v>0</v>
      </c>
      <c r="E12" s="400">
        <f xml:space="preserve">
IF($A$4&lt;=12,SUMIFS('ON Data'!AW:AW,'ON Data'!$D:$D,$A$4,'ON Data'!$E:$E,3),SUMIFS('ON Data'!AW:AW,'ON Data'!$E:$E,3))</f>
        <v>0</v>
      </c>
      <c r="F12" s="409"/>
    </row>
    <row r="13" spans="1:6" x14ac:dyDescent="0.3">
      <c r="A13" s="201" t="s">
        <v>143</v>
      </c>
      <c r="B13" s="217">
        <f xml:space="preserve">
IF($A$4&lt;=12,SUMIFS('ON Data'!F:F,'ON Data'!$D:$D,$A$4,'ON Data'!$E:$E,4),SUMIFS('ON Data'!F:F,'ON Data'!$E:$E,4))</f>
        <v>0</v>
      </c>
      <c r="C13" s="218">
        <f xml:space="preserve">
IF($A$4&lt;=12,SUMIFS('ON Data'!O:O,'ON Data'!$D:$D,$A$4,'ON Data'!$E:$E,4),SUMIFS('ON Data'!O:O,'ON Data'!$E:$E,4))</f>
        <v>0</v>
      </c>
      <c r="D13" s="218">
        <f xml:space="preserve">
IF($A$4&lt;=12,SUMIFS('ON Data'!AG:AG,'ON Data'!$D:$D,$A$4,'ON Data'!$E:$E,4),SUMIFS('ON Data'!AG:AG,'ON Data'!$E:$E,4))</f>
        <v>0</v>
      </c>
      <c r="E13" s="400">
        <f xml:space="preserve">
IF($A$4&lt;=12,SUMIFS('ON Data'!AW:AW,'ON Data'!$D:$D,$A$4,'ON Data'!$E:$E,4),SUMIFS('ON Data'!AW:AW,'ON Data'!$E:$E,4))</f>
        <v>0</v>
      </c>
      <c r="F13" s="409"/>
    </row>
    <row r="14" spans="1:6" ht="15" thickBot="1" x14ac:dyDescent="0.35">
      <c r="A14" s="202" t="s">
        <v>137</v>
      </c>
      <c r="B14" s="219">
        <f xml:space="preserve">
IF($A$4&lt;=12,SUMIFS('ON Data'!F:F,'ON Data'!$D:$D,$A$4,'ON Data'!$E:$E,5),SUMIFS('ON Data'!F:F,'ON Data'!$E:$E,5))</f>
        <v>0</v>
      </c>
      <c r="C14" s="220">
        <f xml:space="preserve">
IF($A$4&lt;=12,SUMIFS('ON Data'!O:O,'ON Data'!$D:$D,$A$4,'ON Data'!$E:$E,5),SUMIFS('ON Data'!O:O,'ON Data'!$E:$E,5))</f>
        <v>0</v>
      </c>
      <c r="D14" s="220">
        <f xml:space="preserve">
IF($A$4&lt;=12,SUMIFS('ON Data'!AG:AG,'ON Data'!$D:$D,$A$4,'ON Data'!$E:$E,5),SUMIFS('ON Data'!AG:AG,'ON Data'!$E:$E,5))</f>
        <v>0</v>
      </c>
      <c r="E14" s="401">
        <f xml:space="preserve">
IF($A$4&lt;=12,SUMIFS('ON Data'!AW:AW,'ON Data'!$D:$D,$A$4,'ON Data'!$E:$E,5),SUMIFS('ON Data'!AW:AW,'ON Data'!$E:$E,5))</f>
        <v>0</v>
      </c>
      <c r="F14" s="409"/>
    </row>
    <row r="15" spans="1:6" x14ac:dyDescent="0.3">
      <c r="A15" s="132" t="s">
        <v>147</v>
      </c>
      <c r="B15" s="221"/>
      <c r="C15" s="222"/>
      <c r="D15" s="222"/>
      <c r="E15" s="402"/>
      <c r="F15" s="409"/>
    </row>
    <row r="16" spans="1:6" x14ac:dyDescent="0.3">
      <c r="A16" s="203" t="s">
        <v>138</v>
      </c>
      <c r="B16" s="217">
        <f xml:space="preserve">
IF($A$4&lt;=12,SUMIFS('ON Data'!F:F,'ON Data'!$D:$D,$A$4,'ON Data'!$E:$E,7),SUMIFS('ON Data'!F:F,'ON Data'!$E:$E,7))</f>
        <v>0</v>
      </c>
      <c r="C16" s="218">
        <f xml:space="preserve">
IF($A$4&lt;=12,SUMIFS('ON Data'!O:O,'ON Data'!$D:$D,$A$4,'ON Data'!$E:$E,7),SUMIFS('ON Data'!O:O,'ON Data'!$E:$E,7))</f>
        <v>0</v>
      </c>
      <c r="D16" s="218">
        <f xml:space="preserve">
IF($A$4&lt;=12,SUMIFS('ON Data'!AG:AG,'ON Data'!$D:$D,$A$4,'ON Data'!$E:$E,7),SUMIFS('ON Data'!AG:AG,'ON Data'!$E:$E,7))</f>
        <v>0</v>
      </c>
      <c r="E16" s="400">
        <f xml:space="preserve">
IF($A$4&lt;=12,SUMIFS('ON Data'!AW:AW,'ON Data'!$D:$D,$A$4,'ON Data'!$E:$E,7),SUMIFS('ON Data'!AW:AW,'ON Data'!$E:$E,7))</f>
        <v>0</v>
      </c>
      <c r="F16" s="409"/>
    </row>
    <row r="17" spans="1:6" x14ac:dyDescent="0.3">
      <c r="A17" s="203" t="s">
        <v>139</v>
      </c>
      <c r="B17" s="217">
        <f xml:space="preserve">
IF($A$4&lt;=12,SUMIFS('ON Data'!F:F,'ON Data'!$D:$D,$A$4,'ON Data'!$E:$E,8),SUMIFS('ON Data'!F:F,'ON Data'!$E:$E,8))</f>
        <v>0</v>
      </c>
      <c r="C17" s="218">
        <f xml:space="preserve">
IF($A$4&lt;=12,SUMIFS('ON Data'!O:O,'ON Data'!$D:$D,$A$4,'ON Data'!$E:$E,8),SUMIFS('ON Data'!O:O,'ON Data'!$E:$E,8))</f>
        <v>0</v>
      </c>
      <c r="D17" s="218">
        <f xml:space="preserve">
IF($A$4&lt;=12,SUMIFS('ON Data'!AG:AG,'ON Data'!$D:$D,$A$4,'ON Data'!$E:$E,8),SUMIFS('ON Data'!AG:AG,'ON Data'!$E:$E,8))</f>
        <v>0</v>
      </c>
      <c r="E17" s="400">
        <f xml:space="preserve">
IF($A$4&lt;=12,SUMIFS('ON Data'!AW:AW,'ON Data'!$D:$D,$A$4,'ON Data'!$E:$E,8),SUMIFS('ON Data'!AW:AW,'ON Data'!$E:$E,8))</f>
        <v>0</v>
      </c>
      <c r="F17" s="409"/>
    </row>
    <row r="18" spans="1:6" x14ac:dyDescent="0.3">
      <c r="A18" s="203" t="s">
        <v>140</v>
      </c>
      <c r="B18" s="217">
        <f xml:space="preserve">
B19-B16-B17</f>
        <v>0</v>
      </c>
      <c r="C18" s="218">
        <f t="shared" ref="C18:D18" si="0" xml:space="preserve">
C19-C16-C17</f>
        <v>0</v>
      </c>
      <c r="D18" s="218">
        <f t="shared" si="0"/>
        <v>0</v>
      </c>
      <c r="E18" s="400">
        <f t="shared" ref="E18" si="1" xml:space="preserve">
E19-E16-E17</f>
        <v>0</v>
      </c>
      <c r="F18" s="409"/>
    </row>
    <row r="19" spans="1:6" ht="15" thickBot="1" x14ac:dyDescent="0.35">
      <c r="A19" s="204" t="s">
        <v>141</v>
      </c>
      <c r="B19" s="223">
        <f xml:space="preserve">
IF($A$4&lt;=12,SUMIFS('ON Data'!F:F,'ON Data'!$D:$D,$A$4,'ON Data'!$E:$E,9),SUMIFS('ON Data'!F:F,'ON Data'!$E:$E,9))</f>
        <v>0</v>
      </c>
      <c r="C19" s="224">
        <f xml:space="preserve">
IF($A$4&lt;=12,SUMIFS('ON Data'!O:O,'ON Data'!$D:$D,$A$4,'ON Data'!$E:$E,9),SUMIFS('ON Data'!O:O,'ON Data'!$E:$E,9))</f>
        <v>0</v>
      </c>
      <c r="D19" s="224">
        <f xml:space="preserve">
IF($A$4&lt;=12,SUMIFS('ON Data'!AG:AG,'ON Data'!$D:$D,$A$4,'ON Data'!$E:$E,9),SUMIFS('ON Data'!AG:AG,'ON Data'!$E:$E,9))</f>
        <v>0</v>
      </c>
      <c r="E19" s="403">
        <f xml:space="preserve">
IF($A$4&lt;=12,SUMIFS('ON Data'!AW:AW,'ON Data'!$D:$D,$A$4,'ON Data'!$E:$E,9),SUMIFS('ON Data'!AW:AW,'ON Data'!$E:$E,9))</f>
        <v>0</v>
      </c>
      <c r="F19" s="409"/>
    </row>
    <row r="20" spans="1:6" ht="15" collapsed="1" thickBot="1" x14ac:dyDescent="0.35">
      <c r="A20" s="205" t="s">
        <v>50</v>
      </c>
      <c r="B20" s="225">
        <f xml:space="preserve">
IF($A$4&lt;=12,SUMIFS('ON Data'!F:F,'ON Data'!$D:$D,$A$4,'ON Data'!$E:$E,6),SUMIFS('ON Data'!F:F,'ON Data'!$E:$E,6))</f>
        <v>968989</v>
      </c>
      <c r="C20" s="226">
        <f xml:space="preserve">
IF($A$4&lt;=12,SUMIFS('ON Data'!O:O,'ON Data'!$D:$D,$A$4,'ON Data'!$E:$E,6),SUMIFS('ON Data'!O:O,'ON Data'!$E:$E,6))</f>
        <v>0</v>
      </c>
      <c r="D20" s="226">
        <f xml:space="preserve">
IF($A$4&lt;=12,SUMIFS('ON Data'!AG:AG,'ON Data'!$D:$D,$A$4,'ON Data'!$E:$E,6),SUMIFS('ON Data'!AG:AG,'ON Data'!$E:$E,6))</f>
        <v>951878</v>
      </c>
      <c r="E20" s="404">
        <f xml:space="preserve">
IF($A$4&lt;=12,SUMIFS('ON Data'!AW:AW,'ON Data'!$D:$D,$A$4,'ON Data'!$E:$E,6),SUMIFS('ON Data'!AW:AW,'ON Data'!$E:$E,6))</f>
        <v>17111</v>
      </c>
      <c r="F20" s="409"/>
    </row>
    <row r="21" spans="1:6" ht="15" hidden="1" outlineLevel="1" thickBot="1" x14ac:dyDescent="0.35">
      <c r="A21" s="198" t="s">
        <v>84</v>
      </c>
      <c r="B21" s="217">
        <f xml:space="preserve">
IF($A$4&lt;=12,SUMIFS('ON Data'!F:F,'ON Data'!$D:$D,$A$4,'ON Data'!$E:$E,12),SUMIFS('ON Data'!F:F,'ON Data'!$E:$E,12))</f>
        <v>0</v>
      </c>
      <c r="C21" s="218">
        <f xml:space="preserve">
IF($A$4&lt;=12,SUMIFS('ON Data'!O:O,'ON Data'!$D:$D,$A$4,'ON Data'!$E:$E,12),SUMIFS('ON Data'!O:O,'ON Data'!$E:$E,12))</f>
        <v>0</v>
      </c>
      <c r="D21" s="218">
        <f xml:space="preserve">
IF($A$4&lt;=12,SUMIFS('ON Data'!AG:AG,'ON Data'!$D:$D,$A$4,'ON Data'!$E:$E,12),SUMIFS('ON Data'!AG:AG,'ON Data'!$E:$E,12))</f>
        <v>0</v>
      </c>
      <c r="F21" s="409"/>
    </row>
    <row r="22" spans="1:6" ht="15" hidden="1" outlineLevel="1" thickBot="1" x14ac:dyDescent="0.35">
      <c r="A22" s="198" t="s">
        <v>52</v>
      </c>
      <c r="B22" s="264" t="str">
        <f xml:space="preserve">
IF(OR(B21="",B21=0),"",B20/B21)</f>
        <v/>
      </c>
      <c r="C22" s="265" t="str">
        <f t="shared" ref="C22:D22" si="2" xml:space="preserve">
IF(OR(C21="",C21=0),"",C20/C21)</f>
        <v/>
      </c>
      <c r="D22" s="265" t="str">
        <f t="shared" si="2"/>
        <v/>
      </c>
      <c r="F22" s="409"/>
    </row>
    <row r="23" spans="1:6" ht="15" hidden="1" outlineLevel="1" thickBot="1" x14ac:dyDescent="0.35">
      <c r="A23" s="206" t="s">
        <v>45</v>
      </c>
      <c r="B23" s="219">
        <f xml:space="preserve">
IF(B21="","",B20-B21)</f>
        <v>968989</v>
      </c>
      <c r="C23" s="220">
        <f t="shared" ref="C23:D23" si="3" xml:space="preserve">
IF(C21="","",C20-C21)</f>
        <v>0</v>
      </c>
      <c r="D23" s="220">
        <f t="shared" si="3"/>
        <v>951878</v>
      </c>
      <c r="F23" s="409"/>
    </row>
    <row r="24" spans="1:6" x14ac:dyDescent="0.3">
      <c r="A24" s="200" t="s">
        <v>142</v>
      </c>
      <c r="B24" s="237" t="s">
        <v>3</v>
      </c>
      <c r="C24" s="410" t="s">
        <v>153</v>
      </c>
      <c r="D24" s="390"/>
      <c r="E24" s="405" t="s">
        <v>154</v>
      </c>
      <c r="F24" s="409"/>
    </row>
    <row r="25" spans="1:6" x14ac:dyDescent="0.3">
      <c r="A25" s="201" t="s">
        <v>50</v>
      </c>
      <c r="B25" s="217">
        <f xml:space="preserve">
SUM(C25:E25)</f>
        <v>0</v>
      </c>
      <c r="C25" s="411">
        <f xml:space="preserve">
IF($A$4&lt;=12,SUMIFS('ON Data'!O:O,'ON Data'!$D:$D,$A$4,'ON Data'!$E:$E,10),SUMIFS('ON Data'!O:O,'ON Data'!$E:$E,10))</f>
        <v>0</v>
      </c>
      <c r="D25" s="391"/>
      <c r="E25" s="406">
        <f xml:space="preserve">
IF($A$4&lt;=12,SUMIFS('ON Data'!AW:AW,'ON Data'!$D:$D,$A$4,'ON Data'!$E:$E,10),SUMIFS('ON Data'!AW:AW,'ON Data'!$E:$E,10))</f>
        <v>0</v>
      </c>
      <c r="F25" s="409"/>
    </row>
    <row r="26" spans="1:6" x14ac:dyDescent="0.3">
      <c r="A26" s="207" t="s">
        <v>152</v>
      </c>
      <c r="B26" s="223">
        <f xml:space="preserve">
SUM(C26:E26)</f>
        <v>916.66666666666674</v>
      </c>
      <c r="C26" s="412">
        <f xml:space="preserve">
IF($A$4&lt;=12,SUMIFS('ON Data'!O:O,'ON Data'!$D:$D,$A$4,'ON Data'!$E:$E,11),SUMIFS('ON Data'!O:O,'ON Data'!$E:$E,11))</f>
        <v>916.66666666666674</v>
      </c>
      <c r="D26" s="392"/>
      <c r="E26" s="406">
        <f xml:space="preserve">
IF($A$4&lt;=12,SUMIFS('ON Data'!AW:AW,'ON Data'!$D:$D,$A$4,'ON Data'!$E:$E,11),SUMIFS('ON Data'!AW:AW,'ON Data'!$E:$E,11))</f>
        <v>0</v>
      </c>
      <c r="F26" s="409"/>
    </row>
    <row r="27" spans="1:6" x14ac:dyDescent="0.3">
      <c r="A27" s="207" t="s">
        <v>52</v>
      </c>
      <c r="B27" s="238">
        <f xml:space="preserve">
IF(B26=0,0,B25/B26)</f>
        <v>0</v>
      </c>
      <c r="C27" s="413">
        <f xml:space="preserve">
IF(C26=0,0,C25/C26)</f>
        <v>0</v>
      </c>
      <c r="D27" s="391"/>
      <c r="E27" s="407">
        <f xml:space="preserve">
IF(E26=0,0,E25/E26)</f>
        <v>0</v>
      </c>
      <c r="F27" s="409"/>
    </row>
    <row r="28" spans="1:6" ht="15" thickBot="1" x14ac:dyDescent="0.35">
      <c r="A28" s="207" t="s">
        <v>151</v>
      </c>
      <c r="B28" s="223">
        <f xml:space="preserve">
SUM(C28:E28)</f>
        <v>916.66666666666674</v>
      </c>
      <c r="C28" s="414">
        <f xml:space="preserve">
C26-C25</f>
        <v>916.66666666666674</v>
      </c>
      <c r="D28" s="393"/>
      <c r="E28" s="408">
        <f xml:space="preserve">
E26-E25</f>
        <v>0</v>
      </c>
      <c r="F28" s="409"/>
    </row>
    <row r="29" spans="1:6" x14ac:dyDescent="0.3">
      <c r="A29" s="208"/>
      <c r="B29" s="208"/>
      <c r="C29" s="209"/>
      <c r="D29" s="209"/>
    </row>
    <row r="30" spans="1:6" x14ac:dyDescent="0.3">
      <c r="A30" s="85" t="s">
        <v>115</v>
      </c>
      <c r="B30" s="102"/>
      <c r="C30" s="102"/>
      <c r="D30" s="102"/>
    </row>
    <row r="31" spans="1:6" x14ac:dyDescent="0.3">
      <c r="A31" s="86" t="s">
        <v>149</v>
      </c>
      <c r="B31" s="102"/>
      <c r="C31" s="102"/>
      <c r="D31" s="102"/>
    </row>
    <row r="32" spans="1:6" ht="14.4" customHeight="1" x14ac:dyDescent="0.3">
      <c r="A32" s="234" t="s">
        <v>146</v>
      </c>
      <c r="B32" s="235"/>
      <c r="C32" s="235"/>
      <c r="D32" s="235"/>
    </row>
    <row r="33" spans="1:1" x14ac:dyDescent="0.3">
      <c r="A33" s="236" t="s">
        <v>175</v>
      </c>
    </row>
    <row r="34" spans="1:1" x14ac:dyDescent="0.3">
      <c r="A34" s="236" t="s">
        <v>176</v>
      </c>
    </row>
    <row r="35" spans="1:1" x14ac:dyDescent="0.3">
      <c r="A35" s="236" t="s">
        <v>177</v>
      </c>
    </row>
    <row r="36" spans="1:1" x14ac:dyDescent="0.3">
      <c r="A36" s="236" t="s">
        <v>155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6" priority="6" operator="greaterThan">
      <formula>1</formula>
    </cfRule>
  </conditionalFormatting>
  <conditionalFormatting sqref="B23:D23">
    <cfRule type="cellIs" dxfId="5" priority="5" operator="greaterThan">
      <formula>0</formula>
    </cfRule>
  </conditionalFormatting>
  <conditionalFormatting sqref="E27">
    <cfRule type="cellIs" dxfId="4" priority="4" operator="greaterThan">
      <formula>1</formula>
    </cfRule>
  </conditionalFormatting>
  <conditionalFormatting sqref="E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9" x14ac:dyDescent="0.3">
      <c r="A1" s="191" t="s">
        <v>314</v>
      </c>
    </row>
    <row r="2" spans="1:49" x14ac:dyDescent="0.3">
      <c r="A2" s="195" t="s">
        <v>199</v>
      </c>
    </row>
    <row r="3" spans="1:49" x14ac:dyDescent="0.3">
      <c r="A3" s="191" t="s">
        <v>119</v>
      </c>
      <c r="B3" s="212">
        <v>2016</v>
      </c>
      <c r="D3" s="192">
        <f>MAX(D5:D1048576)</f>
        <v>5</v>
      </c>
      <c r="F3" s="192">
        <f>SUMIF($E5:$E1048576,"&lt;10",F5:F1048576)</f>
        <v>973086</v>
      </c>
      <c r="G3" s="192">
        <f t="shared" ref="G3:AW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0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955975</v>
      </c>
      <c r="AH3" s="192">
        <f t="shared" si="0"/>
        <v>0</v>
      </c>
      <c r="AI3" s="192">
        <f t="shared" si="0"/>
        <v>0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0</v>
      </c>
      <c r="AN3" s="192">
        <f t="shared" si="0"/>
        <v>0</v>
      </c>
      <c r="AO3" s="192">
        <f t="shared" si="0"/>
        <v>0</v>
      </c>
      <c r="AP3" s="192">
        <f t="shared" si="0"/>
        <v>0</v>
      </c>
      <c r="AQ3" s="192">
        <f t="shared" si="0"/>
        <v>0</v>
      </c>
      <c r="AR3" s="192">
        <f t="shared" si="0"/>
        <v>0</v>
      </c>
      <c r="AS3" s="192">
        <f t="shared" si="0"/>
        <v>0</v>
      </c>
      <c r="AT3" s="192">
        <f t="shared" si="0"/>
        <v>0</v>
      </c>
      <c r="AU3" s="192">
        <f t="shared" si="0"/>
        <v>0</v>
      </c>
      <c r="AV3" s="192">
        <f t="shared" si="0"/>
        <v>0</v>
      </c>
      <c r="AW3" s="192">
        <f t="shared" si="0"/>
        <v>17111</v>
      </c>
    </row>
    <row r="4" spans="1:49" x14ac:dyDescent="0.3">
      <c r="A4" s="191" t="s">
        <v>120</v>
      </c>
      <c r="B4" s="212">
        <v>1</v>
      </c>
      <c r="C4" s="193" t="s">
        <v>4</v>
      </c>
      <c r="D4" s="194" t="s">
        <v>44</v>
      </c>
      <c r="E4" s="194" t="s">
        <v>118</v>
      </c>
      <c r="F4" s="194" t="s">
        <v>3</v>
      </c>
      <c r="G4" s="194">
        <v>0</v>
      </c>
      <c r="H4" s="194">
        <v>25</v>
      </c>
      <c r="I4" s="194">
        <v>99</v>
      </c>
      <c r="J4" s="194">
        <v>100</v>
      </c>
      <c r="K4" s="194">
        <v>101</v>
      </c>
      <c r="L4" s="194">
        <v>102</v>
      </c>
      <c r="M4" s="194">
        <v>103</v>
      </c>
      <c r="N4" s="194">
        <v>203</v>
      </c>
      <c r="O4" s="194">
        <v>302</v>
      </c>
      <c r="P4" s="194">
        <v>303</v>
      </c>
      <c r="Q4" s="194">
        <v>304</v>
      </c>
      <c r="R4" s="194">
        <v>305</v>
      </c>
      <c r="S4" s="194">
        <v>306</v>
      </c>
      <c r="T4" s="194">
        <v>407</v>
      </c>
      <c r="U4" s="194">
        <v>408</v>
      </c>
      <c r="V4" s="194">
        <v>409</v>
      </c>
      <c r="W4" s="194">
        <v>410</v>
      </c>
      <c r="X4" s="194">
        <v>415</v>
      </c>
      <c r="Y4" s="194">
        <v>416</v>
      </c>
      <c r="Z4" s="194">
        <v>418</v>
      </c>
      <c r="AA4" s="194">
        <v>419</v>
      </c>
      <c r="AB4" s="194">
        <v>420</v>
      </c>
      <c r="AC4" s="194">
        <v>421</v>
      </c>
      <c r="AD4" s="194">
        <v>520</v>
      </c>
      <c r="AE4" s="194">
        <v>521</v>
      </c>
      <c r="AF4" s="194">
        <v>522</v>
      </c>
      <c r="AG4" s="194">
        <v>523</v>
      </c>
      <c r="AH4" s="194">
        <v>524</v>
      </c>
      <c r="AI4" s="194">
        <v>525</v>
      </c>
      <c r="AJ4" s="194">
        <v>526</v>
      </c>
      <c r="AK4" s="194">
        <v>527</v>
      </c>
      <c r="AL4" s="194">
        <v>528</v>
      </c>
      <c r="AM4" s="194">
        <v>629</v>
      </c>
      <c r="AN4" s="194">
        <v>630</v>
      </c>
      <c r="AO4" s="194">
        <v>636</v>
      </c>
      <c r="AP4" s="194">
        <v>637</v>
      </c>
      <c r="AQ4" s="194">
        <v>640</v>
      </c>
      <c r="AR4" s="194">
        <v>642</v>
      </c>
      <c r="AS4" s="194">
        <v>743</v>
      </c>
      <c r="AT4" s="194">
        <v>745</v>
      </c>
      <c r="AU4" s="194">
        <v>746</v>
      </c>
      <c r="AV4" s="194">
        <v>747</v>
      </c>
      <c r="AW4" s="194">
        <v>930</v>
      </c>
    </row>
    <row r="5" spans="1:49" x14ac:dyDescent="0.3">
      <c r="A5" s="191" t="s">
        <v>121</v>
      </c>
      <c r="B5" s="212">
        <v>2</v>
      </c>
      <c r="C5" s="191">
        <v>36</v>
      </c>
      <c r="D5" s="191">
        <v>1</v>
      </c>
      <c r="E5" s="191">
        <v>1</v>
      </c>
      <c r="F5" s="191">
        <v>5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0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5</v>
      </c>
      <c r="AH5" s="191">
        <v>0</v>
      </c>
      <c r="AI5" s="191">
        <v>0</v>
      </c>
      <c r="AJ5" s="191">
        <v>0</v>
      </c>
      <c r="AK5" s="191">
        <v>0</v>
      </c>
      <c r="AL5" s="191">
        <v>0</v>
      </c>
      <c r="AM5" s="191">
        <v>0</v>
      </c>
      <c r="AN5" s="191">
        <v>0</v>
      </c>
      <c r="AO5" s="191">
        <v>0</v>
      </c>
      <c r="AP5" s="191">
        <v>0</v>
      </c>
      <c r="AQ5" s="191">
        <v>0</v>
      </c>
      <c r="AR5" s="191">
        <v>0</v>
      </c>
      <c r="AS5" s="191">
        <v>0</v>
      </c>
      <c r="AT5" s="191">
        <v>0</v>
      </c>
      <c r="AU5" s="191">
        <v>0</v>
      </c>
      <c r="AV5" s="191">
        <v>0</v>
      </c>
      <c r="AW5" s="191">
        <v>0</v>
      </c>
    </row>
    <row r="6" spans="1:49" x14ac:dyDescent="0.3">
      <c r="A6" s="191" t="s">
        <v>122</v>
      </c>
      <c r="B6" s="212">
        <v>3</v>
      </c>
      <c r="C6" s="191">
        <v>36</v>
      </c>
      <c r="D6" s="191">
        <v>1</v>
      </c>
      <c r="E6" s="191">
        <v>2</v>
      </c>
      <c r="F6" s="191">
        <v>728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0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728</v>
      </c>
      <c r="AH6" s="191">
        <v>0</v>
      </c>
      <c r="AI6" s="191">
        <v>0</v>
      </c>
      <c r="AJ6" s="191">
        <v>0</v>
      </c>
      <c r="AK6" s="191">
        <v>0</v>
      </c>
      <c r="AL6" s="191">
        <v>0</v>
      </c>
      <c r="AM6" s="191">
        <v>0</v>
      </c>
      <c r="AN6" s="191">
        <v>0</v>
      </c>
      <c r="AO6" s="191">
        <v>0</v>
      </c>
      <c r="AP6" s="191">
        <v>0</v>
      </c>
      <c r="AQ6" s="191">
        <v>0</v>
      </c>
      <c r="AR6" s="191">
        <v>0</v>
      </c>
      <c r="AS6" s="191">
        <v>0</v>
      </c>
      <c r="AT6" s="191">
        <v>0</v>
      </c>
      <c r="AU6" s="191">
        <v>0</v>
      </c>
      <c r="AV6" s="191">
        <v>0</v>
      </c>
      <c r="AW6" s="191">
        <v>0</v>
      </c>
    </row>
    <row r="7" spans="1:49" x14ac:dyDescent="0.3">
      <c r="A7" s="191" t="s">
        <v>123</v>
      </c>
      <c r="B7" s="212">
        <v>4</v>
      </c>
      <c r="C7" s="191">
        <v>36</v>
      </c>
      <c r="D7" s="191">
        <v>1</v>
      </c>
      <c r="E7" s="191">
        <v>6</v>
      </c>
      <c r="F7" s="191">
        <v>178735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175215</v>
      </c>
      <c r="AH7" s="191">
        <v>0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0</v>
      </c>
      <c r="AV7" s="191">
        <v>0</v>
      </c>
      <c r="AW7" s="191">
        <v>3520</v>
      </c>
    </row>
    <row r="8" spans="1:49" x14ac:dyDescent="0.3">
      <c r="A8" s="191" t="s">
        <v>124</v>
      </c>
      <c r="B8" s="212">
        <v>5</v>
      </c>
      <c r="C8" s="191">
        <v>36</v>
      </c>
      <c r="D8" s="191">
        <v>1</v>
      </c>
      <c r="E8" s="191">
        <v>11</v>
      </c>
      <c r="F8" s="191">
        <v>183.33333333333334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183.33333333333334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  <c r="AO8" s="191">
        <v>0</v>
      </c>
      <c r="AP8" s="191">
        <v>0</v>
      </c>
      <c r="AQ8" s="191">
        <v>0</v>
      </c>
      <c r="AR8" s="191">
        <v>0</v>
      </c>
      <c r="AS8" s="191">
        <v>0</v>
      </c>
      <c r="AT8" s="191">
        <v>0</v>
      </c>
      <c r="AU8" s="191">
        <v>0</v>
      </c>
      <c r="AV8" s="191">
        <v>0</v>
      </c>
      <c r="AW8" s="191">
        <v>0</v>
      </c>
    </row>
    <row r="9" spans="1:49" x14ac:dyDescent="0.3">
      <c r="A9" s="191" t="s">
        <v>125</v>
      </c>
      <c r="B9" s="212">
        <v>6</v>
      </c>
      <c r="C9" s="191">
        <v>36</v>
      </c>
      <c r="D9" s="191">
        <v>2</v>
      </c>
      <c r="E9" s="191">
        <v>1</v>
      </c>
      <c r="F9" s="191">
        <v>5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5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  <c r="AO9" s="191">
        <v>0</v>
      </c>
      <c r="AP9" s="191">
        <v>0</v>
      </c>
      <c r="AQ9" s="191">
        <v>0</v>
      </c>
      <c r="AR9" s="191">
        <v>0</v>
      </c>
      <c r="AS9" s="191">
        <v>0</v>
      </c>
      <c r="AT9" s="191">
        <v>0</v>
      </c>
      <c r="AU9" s="191">
        <v>0</v>
      </c>
      <c r="AV9" s="191">
        <v>0</v>
      </c>
      <c r="AW9" s="191">
        <v>0</v>
      </c>
    </row>
    <row r="10" spans="1:49" x14ac:dyDescent="0.3">
      <c r="A10" s="191" t="s">
        <v>126</v>
      </c>
      <c r="B10" s="212">
        <v>7</v>
      </c>
      <c r="C10" s="191">
        <v>36</v>
      </c>
      <c r="D10" s="191">
        <v>2</v>
      </c>
      <c r="E10" s="191">
        <v>2</v>
      </c>
      <c r="F10" s="191">
        <v>752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752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  <c r="AO10" s="191">
        <v>0</v>
      </c>
      <c r="AP10" s="191">
        <v>0</v>
      </c>
      <c r="AQ10" s="191">
        <v>0</v>
      </c>
      <c r="AR10" s="191">
        <v>0</v>
      </c>
      <c r="AS10" s="191">
        <v>0</v>
      </c>
      <c r="AT10" s="191">
        <v>0</v>
      </c>
      <c r="AU10" s="191">
        <v>0</v>
      </c>
      <c r="AV10" s="191">
        <v>0</v>
      </c>
      <c r="AW10" s="191">
        <v>0</v>
      </c>
    </row>
    <row r="11" spans="1:49" x14ac:dyDescent="0.3">
      <c r="A11" s="191" t="s">
        <v>127</v>
      </c>
      <c r="B11" s="212">
        <v>8</v>
      </c>
      <c r="C11" s="191">
        <v>36</v>
      </c>
      <c r="D11" s="191">
        <v>2</v>
      </c>
      <c r="E11" s="191">
        <v>6</v>
      </c>
      <c r="F11" s="191">
        <v>198847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195327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</v>
      </c>
      <c r="AP11" s="191">
        <v>0</v>
      </c>
      <c r="AQ11" s="191">
        <v>0</v>
      </c>
      <c r="AR11" s="191">
        <v>0</v>
      </c>
      <c r="AS11" s="191">
        <v>0</v>
      </c>
      <c r="AT11" s="191">
        <v>0</v>
      </c>
      <c r="AU11" s="191">
        <v>0</v>
      </c>
      <c r="AV11" s="191">
        <v>0</v>
      </c>
      <c r="AW11" s="191">
        <v>3520</v>
      </c>
    </row>
    <row r="12" spans="1:49" x14ac:dyDescent="0.3">
      <c r="A12" s="191" t="s">
        <v>128</v>
      </c>
      <c r="B12" s="212">
        <v>9</v>
      </c>
      <c r="C12" s="191">
        <v>36</v>
      </c>
      <c r="D12" s="191">
        <v>2</v>
      </c>
      <c r="E12" s="191">
        <v>11</v>
      </c>
      <c r="F12" s="191">
        <v>183.33333333333334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183.33333333333334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</row>
    <row r="13" spans="1:49" x14ac:dyDescent="0.3">
      <c r="A13" s="191" t="s">
        <v>129</v>
      </c>
      <c r="B13" s="212">
        <v>10</v>
      </c>
      <c r="C13" s="191">
        <v>36</v>
      </c>
      <c r="D13" s="191">
        <v>3</v>
      </c>
      <c r="E13" s="191">
        <v>1</v>
      </c>
      <c r="F13" s="191">
        <v>5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5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</row>
    <row r="14" spans="1:49" x14ac:dyDescent="0.3">
      <c r="A14" s="191" t="s">
        <v>130</v>
      </c>
      <c r="B14" s="212">
        <v>11</v>
      </c>
      <c r="C14" s="191">
        <v>36</v>
      </c>
      <c r="D14" s="191">
        <v>3</v>
      </c>
      <c r="E14" s="191">
        <v>2</v>
      </c>
      <c r="F14" s="191">
        <v>920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920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x14ac:dyDescent="0.3">
      <c r="A15" s="191" t="s">
        <v>131</v>
      </c>
      <c r="B15" s="212">
        <v>12</v>
      </c>
      <c r="C15" s="191">
        <v>36</v>
      </c>
      <c r="D15" s="191">
        <v>3</v>
      </c>
      <c r="E15" s="191">
        <v>6</v>
      </c>
      <c r="F15" s="191">
        <v>197145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193610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3535</v>
      </c>
    </row>
    <row r="16" spans="1:49" x14ac:dyDescent="0.3">
      <c r="A16" s="191" t="s">
        <v>119</v>
      </c>
      <c r="B16" s="212">
        <v>2016</v>
      </c>
      <c r="C16" s="191">
        <v>36</v>
      </c>
      <c r="D16" s="191">
        <v>3</v>
      </c>
      <c r="E16" s="191">
        <v>11</v>
      </c>
      <c r="F16" s="191">
        <v>183.33333333333334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183.33333333333334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0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0</v>
      </c>
      <c r="AJ16" s="191">
        <v>0</v>
      </c>
      <c r="AK16" s="191">
        <v>0</v>
      </c>
      <c r="AL16" s="191">
        <v>0</v>
      </c>
      <c r="AM16" s="191">
        <v>0</v>
      </c>
      <c r="AN16" s="191">
        <v>0</v>
      </c>
      <c r="AO16" s="191">
        <v>0</v>
      </c>
      <c r="AP16" s="191">
        <v>0</v>
      </c>
      <c r="AQ16" s="191">
        <v>0</v>
      </c>
      <c r="AR16" s="191">
        <v>0</v>
      </c>
      <c r="AS16" s="191">
        <v>0</v>
      </c>
      <c r="AT16" s="191">
        <v>0</v>
      </c>
      <c r="AU16" s="191">
        <v>0</v>
      </c>
      <c r="AV16" s="191">
        <v>0</v>
      </c>
      <c r="AW16" s="191">
        <v>0</v>
      </c>
    </row>
    <row r="17" spans="3:49" x14ac:dyDescent="0.3">
      <c r="C17" s="191">
        <v>36</v>
      </c>
      <c r="D17" s="191">
        <v>4</v>
      </c>
      <c r="E17" s="191">
        <v>1</v>
      </c>
      <c r="F17" s="191">
        <v>5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5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191">
        <v>0</v>
      </c>
      <c r="AR17" s="191">
        <v>0</v>
      </c>
      <c r="AS17" s="191">
        <v>0</v>
      </c>
      <c r="AT17" s="191">
        <v>0</v>
      </c>
      <c r="AU17" s="191">
        <v>0</v>
      </c>
      <c r="AV17" s="191">
        <v>0</v>
      </c>
      <c r="AW17" s="191">
        <v>0</v>
      </c>
    </row>
    <row r="18" spans="3:49" x14ac:dyDescent="0.3">
      <c r="C18" s="191">
        <v>36</v>
      </c>
      <c r="D18" s="191">
        <v>4</v>
      </c>
      <c r="E18" s="191">
        <v>2</v>
      </c>
      <c r="F18" s="191">
        <v>792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792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</row>
    <row r="19" spans="3:49" x14ac:dyDescent="0.3">
      <c r="C19" s="191">
        <v>36</v>
      </c>
      <c r="D19" s="191">
        <v>4</v>
      </c>
      <c r="E19" s="191">
        <v>6</v>
      </c>
      <c r="F19" s="191">
        <v>197460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194116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3344</v>
      </c>
    </row>
    <row r="20" spans="3:49" x14ac:dyDescent="0.3">
      <c r="C20" s="191">
        <v>36</v>
      </c>
      <c r="D20" s="191">
        <v>4</v>
      </c>
      <c r="E20" s="191">
        <v>11</v>
      </c>
      <c r="F20" s="191">
        <v>183.33333333333334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183.33333333333334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0</v>
      </c>
      <c r="AQ20" s="191">
        <v>0</v>
      </c>
      <c r="AR20" s="191">
        <v>0</v>
      </c>
      <c r="AS20" s="191">
        <v>0</v>
      </c>
      <c r="AT20" s="191">
        <v>0</v>
      </c>
      <c r="AU20" s="191">
        <v>0</v>
      </c>
      <c r="AV20" s="191">
        <v>0</v>
      </c>
      <c r="AW20" s="191">
        <v>0</v>
      </c>
    </row>
    <row r="21" spans="3:49" x14ac:dyDescent="0.3">
      <c r="C21" s="191">
        <v>36</v>
      </c>
      <c r="D21" s="191">
        <v>5</v>
      </c>
      <c r="E21" s="191">
        <v>1</v>
      </c>
      <c r="F21" s="191">
        <v>5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5</v>
      </c>
      <c r="AH21" s="191">
        <v>0</v>
      </c>
      <c r="AI21" s="191">
        <v>0</v>
      </c>
      <c r="AJ21" s="191">
        <v>0</v>
      </c>
      <c r="AK21" s="191">
        <v>0</v>
      </c>
      <c r="AL21" s="191">
        <v>0</v>
      </c>
      <c r="AM21" s="191">
        <v>0</v>
      </c>
      <c r="AN21" s="191">
        <v>0</v>
      </c>
      <c r="AO21" s="191">
        <v>0</v>
      </c>
      <c r="AP21" s="191">
        <v>0</v>
      </c>
      <c r="AQ21" s="191">
        <v>0</v>
      </c>
      <c r="AR21" s="191">
        <v>0</v>
      </c>
      <c r="AS21" s="191">
        <v>0</v>
      </c>
      <c r="AT21" s="191">
        <v>0</v>
      </c>
      <c r="AU21" s="191">
        <v>0</v>
      </c>
      <c r="AV21" s="191">
        <v>0</v>
      </c>
      <c r="AW21" s="191">
        <v>0</v>
      </c>
    </row>
    <row r="22" spans="3:49" x14ac:dyDescent="0.3">
      <c r="C22" s="191">
        <v>36</v>
      </c>
      <c r="D22" s="191">
        <v>5</v>
      </c>
      <c r="E22" s="191">
        <v>2</v>
      </c>
      <c r="F22" s="191">
        <v>880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880</v>
      </c>
      <c r="AH22" s="191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  <c r="AO22" s="191">
        <v>0</v>
      </c>
      <c r="AP22" s="191">
        <v>0</v>
      </c>
      <c r="AQ22" s="191">
        <v>0</v>
      </c>
      <c r="AR22" s="191">
        <v>0</v>
      </c>
      <c r="AS22" s="191">
        <v>0</v>
      </c>
      <c r="AT22" s="191">
        <v>0</v>
      </c>
      <c r="AU22" s="191">
        <v>0</v>
      </c>
      <c r="AV22" s="191">
        <v>0</v>
      </c>
      <c r="AW22" s="191">
        <v>0</v>
      </c>
    </row>
    <row r="23" spans="3:49" x14ac:dyDescent="0.3">
      <c r="C23" s="191">
        <v>36</v>
      </c>
      <c r="D23" s="191">
        <v>5</v>
      </c>
      <c r="E23" s="191">
        <v>6</v>
      </c>
      <c r="F23" s="191">
        <v>196802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  <c r="AC23" s="191">
        <v>0</v>
      </c>
      <c r="AD23" s="191">
        <v>0</v>
      </c>
      <c r="AE23" s="191">
        <v>0</v>
      </c>
      <c r="AF23" s="191">
        <v>0</v>
      </c>
      <c r="AG23" s="191">
        <v>193610</v>
      </c>
      <c r="AH23" s="191">
        <v>0</v>
      </c>
      <c r="AI23" s="191">
        <v>0</v>
      </c>
      <c r="AJ23" s="191">
        <v>0</v>
      </c>
      <c r="AK23" s="191">
        <v>0</v>
      </c>
      <c r="AL23" s="191">
        <v>0</v>
      </c>
      <c r="AM23" s="191">
        <v>0</v>
      </c>
      <c r="AN23" s="191">
        <v>0</v>
      </c>
      <c r="AO23" s="191">
        <v>0</v>
      </c>
      <c r="AP23" s="191">
        <v>0</v>
      </c>
      <c r="AQ23" s="191">
        <v>0</v>
      </c>
      <c r="AR23" s="191">
        <v>0</v>
      </c>
      <c r="AS23" s="191">
        <v>0</v>
      </c>
      <c r="AT23" s="191">
        <v>0</v>
      </c>
      <c r="AU23" s="191">
        <v>0</v>
      </c>
      <c r="AV23" s="191">
        <v>0</v>
      </c>
      <c r="AW23" s="191">
        <v>3192</v>
      </c>
    </row>
    <row r="24" spans="3:49" x14ac:dyDescent="0.3">
      <c r="C24" s="191">
        <v>36</v>
      </c>
      <c r="D24" s="191">
        <v>5</v>
      </c>
      <c r="E24" s="191">
        <v>11</v>
      </c>
      <c r="F24" s="191">
        <v>183.33333333333334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183.33333333333334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191">
        <v>0</v>
      </c>
      <c r="X24" s="191">
        <v>0</v>
      </c>
      <c r="Y24" s="191">
        <v>0</v>
      </c>
      <c r="Z24" s="191">
        <v>0</v>
      </c>
      <c r="AA24" s="191">
        <v>0</v>
      </c>
      <c r="AB24" s="191">
        <v>0</v>
      </c>
      <c r="AC24" s="191">
        <v>0</v>
      </c>
      <c r="AD24" s="191">
        <v>0</v>
      </c>
      <c r="AE24" s="191">
        <v>0</v>
      </c>
      <c r="AF24" s="191">
        <v>0</v>
      </c>
      <c r="AG24" s="191">
        <v>0</v>
      </c>
      <c r="AH24" s="191">
        <v>0</v>
      </c>
      <c r="AI24" s="191">
        <v>0</v>
      </c>
      <c r="AJ24" s="191">
        <v>0</v>
      </c>
      <c r="AK24" s="191">
        <v>0</v>
      </c>
      <c r="AL24" s="191">
        <v>0</v>
      </c>
      <c r="AM24" s="191">
        <v>0</v>
      </c>
      <c r="AN24" s="191">
        <v>0</v>
      </c>
      <c r="AO24" s="191">
        <v>0</v>
      </c>
      <c r="AP24" s="191">
        <v>0</v>
      </c>
      <c r="AQ24" s="191">
        <v>0</v>
      </c>
      <c r="AR24" s="191">
        <v>0</v>
      </c>
      <c r="AS24" s="191">
        <v>0</v>
      </c>
      <c r="AT24" s="191">
        <v>0</v>
      </c>
      <c r="AU24" s="191">
        <v>0</v>
      </c>
      <c r="AV24" s="191">
        <v>0</v>
      </c>
      <c r="AW24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313" t="s">
        <v>316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4.4" customHeight="1" thickBot="1" x14ac:dyDescent="0.35">
      <c r="A2" s="195" t="s">
        <v>199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101</v>
      </c>
      <c r="B3" s="182">
        <f>SUBTOTAL(9,B6:B1048576)/2</f>
        <v>303507</v>
      </c>
      <c r="C3" s="183">
        <f t="shared" ref="C3:R3" si="0">SUBTOTAL(9,C6:C1048576)</f>
        <v>2</v>
      </c>
      <c r="D3" s="183">
        <f>SUBTOTAL(9,D6:D1048576)/2</f>
        <v>352362.33</v>
      </c>
      <c r="E3" s="183">
        <f t="shared" si="0"/>
        <v>2.3219387361741246</v>
      </c>
      <c r="F3" s="183">
        <f>SUBTOTAL(9,F6:F1048576)/2</f>
        <v>344632.33</v>
      </c>
      <c r="G3" s="184">
        <f>IF(B3&lt;&gt;0,F3/B3,"")</f>
        <v>1.1355004332684255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4" t="s">
        <v>173</v>
      </c>
      <c r="B4" s="315" t="s">
        <v>76</v>
      </c>
      <c r="C4" s="316"/>
      <c r="D4" s="316"/>
      <c r="E4" s="316"/>
      <c r="F4" s="316"/>
      <c r="G4" s="317"/>
      <c r="H4" s="315" t="s">
        <v>77</v>
      </c>
      <c r="I4" s="316"/>
      <c r="J4" s="316"/>
      <c r="K4" s="316"/>
      <c r="L4" s="316"/>
      <c r="M4" s="317"/>
      <c r="N4" s="315" t="s">
        <v>78</v>
      </c>
      <c r="O4" s="316"/>
      <c r="P4" s="316"/>
      <c r="Q4" s="316"/>
      <c r="R4" s="316"/>
      <c r="S4" s="317"/>
    </row>
    <row r="5" spans="1:19" ht="14.4" customHeight="1" thickBot="1" x14ac:dyDescent="0.35">
      <c r="A5" s="415"/>
      <c r="B5" s="416">
        <v>2014</v>
      </c>
      <c r="C5" s="417"/>
      <c r="D5" s="417">
        <v>2015</v>
      </c>
      <c r="E5" s="417"/>
      <c r="F5" s="417">
        <v>2016</v>
      </c>
      <c r="G5" s="418" t="s">
        <v>2</v>
      </c>
      <c r="H5" s="416">
        <v>2014</v>
      </c>
      <c r="I5" s="417"/>
      <c r="J5" s="417">
        <v>2015</v>
      </c>
      <c r="K5" s="417"/>
      <c r="L5" s="417">
        <v>2016</v>
      </c>
      <c r="M5" s="418" t="s">
        <v>2</v>
      </c>
      <c r="N5" s="416">
        <v>2014</v>
      </c>
      <c r="O5" s="417"/>
      <c r="P5" s="417">
        <v>2015</v>
      </c>
      <c r="Q5" s="417"/>
      <c r="R5" s="417">
        <v>2016</v>
      </c>
      <c r="S5" s="418" t="s">
        <v>2</v>
      </c>
    </row>
    <row r="6" spans="1:19" ht="14.4" customHeight="1" thickBot="1" x14ac:dyDescent="0.35">
      <c r="A6" s="421" t="s">
        <v>315</v>
      </c>
      <c r="B6" s="419">
        <v>303507</v>
      </c>
      <c r="C6" s="420">
        <v>1</v>
      </c>
      <c r="D6" s="419">
        <v>352362.33</v>
      </c>
      <c r="E6" s="420">
        <v>1.1609693680870623</v>
      </c>
      <c r="F6" s="419">
        <v>344632.33</v>
      </c>
      <c r="G6" s="249">
        <v>1.1355004332684255</v>
      </c>
      <c r="H6" s="419"/>
      <c r="I6" s="420"/>
      <c r="J6" s="419"/>
      <c r="K6" s="420"/>
      <c r="L6" s="419"/>
      <c r="M6" s="249"/>
      <c r="N6" s="419"/>
      <c r="O6" s="420"/>
      <c r="P6" s="419"/>
      <c r="Q6" s="420"/>
      <c r="R6" s="419"/>
      <c r="S6" s="250"/>
    </row>
    <row r="7" spans="1:19" ht="14.4" customHeight="1" thickBot="1" x14ac:dyDescent="0.35"/>
    <row r="8" spans="1:19" ht="14.4" customHeight="1" thickBot="1" x14ac:dyDescent="0.35">
      <c r="A8" s="421" t="s">
        <v>307</v>
      </c>
      <c r="B8" s="419">
        <v>303507</v>
      </c>
      <c r="C8" s="420">
        <v>1</v>
      </c>
      <c r="D8" s="419">
        <v>352362.33</v>
      </c>
      <c r="E8" s="420">
        <v>1.1609693680870623</v>
      </c>
      <c r="F8" s="419">
        <v>344632.33</v>
      </c>
      <c r="G8" s="249">
        <v>1.1355004332684255</v>
      </c>
      <c r="H8" s="419"/>
      <c r="I8" s="420"/>
      <c r="J8" s="419"/>
      <c r="K8" s="420"/>
      <c r="L8" s="419"/>
      <c r="M8" s="249"/>
      <c r="N8" s="419"/>
      <c r="O8" s="420"/>
      <c r="P8" s="419"/>
      <c r="Q8" s="420"/>
      <c r="R8" s="419"/>
      <c r="S8" s="250"/>
    </row>
    <row r="9" spans="1:19" ht="14.4" customHeight="1" x14ac:dyDescent="0.3">
      <c r="A9" s="422" t="s">
        <v>317</v>
      </c>
    </row>
    <row r="10" spans="1:19" ht="14.4" customHeight="1" x14ac:dyDescent="0.3">
      <c r="A10" s="423" t="s">
        <v>318</v>
      </c>
    </row>
    <row r="11" spans="1:19" ht="14.4" customHeight="1" x14ac:dyDescent="0.3">
      <c r="A11" s="422" t="s">
        <v>319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13" t="s">
        <v>323</v>
      </c>
      <c r="B1" s="271"/>
      <c r="C1" s="271"/>
      <c r="D1" s="271"/>
      <c r="E1" s="271"/>
      <c r="F1" s="271"/>
      <c r="G1" s="271"/>
    </row>
    <row r="2" spans="1:7" ht="14.4" customHeight="1" thickBot="1" x14ac:dyDescent="0.35">
      <c r="A2" s="195" t="s">
        <v>199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101</v>
      </c>
      <c r="B3" s="261">
        <f t="shared" ref="B3:G3" si="0">SUBTOTAL(9,B6:B1048576)</f>
        <v>674</v>
      </c>
      <c r="C3" s="262">
        <f t="shared" si="0"/>
        <v>799</v>
      </c>
      <c r="D3" s="262">
        <f t="shared" si="0"/>
        <v>760</v>
      </c>
      <c r="E3" s="185">
        <f t="shared" si="0"/>
        <v>303507</v>
      </c>
      <c r="F3" s="183">
        <f t="shared" si="0"/>
        <v>352362.33</v>
      </c>
      <c r="G3" s="263">
        <f t="shared" si="0"/>
        <v>344632.33</v>
      </c>
    </row>
    <row r="4" spans="1:7" ht="14.4" customHeight="1" x14ac:dyDescent="0.3">
      <c r="A4" s="314" t="s">
        <v>102</v>
      </c>
      <c r="B4" s="315" t="s">
        <v>170</v>
      </c>
      <c r="C4" s="316"/>
      <c r="D4" s="316"/>
      <c r="E4" s="318" t="s">
        <v>76</v>
      </c>
      <c r="F4" s="319"/>
      <c r="G4" s="320"/>
    </row>
    <row r="5" spans="1:7" ht="14.4" customHeight="1" thickBot="1" x14ac:dyDescent="0.35">
      <c r="A5" s="415"/>
      <c r="B5" s="416">
        <v>2014</v>
      </c>
      <c r="C5" s="417">
        <v>2015</v>
      </c>
      <c r="D5" s="417">
        <v>2016</v>
      </c>
      <c r="E5" s="416">
        <v>2014</v>
      </c>
      <c r="F5" s="417">
        <v>2015</v>
      </c>
      <c r="G5" s="417">
        <v>2016</v>
      </c>
    </row>
    <row r="6" spans="1:7" ht="14.4" customHeight="1" x14ac:dyDescent="0.3">
      <c r="A6" s="373" t="s">
        <v>320</v>
      </c>
      <c r="B6" s="374">
        <v>653</v>
      </c>
      <c r="C6" s="374">
        <v>799</v>
      </c>
      <c r="D6" s="374">
        <v>760</v>
      </c>
      <c r="E6" s="425">
        <v>303507</v>
      </c>
      <c r="F6" s="425">
        <v>352362.33</v>
      </c>
      <c r="G6" s="426">
        <v>344632.33</v>
      </c>
    </row>
    <row r="7" spans="1:7" ht="14.4" customHeight="1" x14ac:dyDescent="0.3">
      <c r="A7" s="434" t="s">
        <v>321</v>
      </c>
      <c r="B7" s="428">
        <v>3</v>
      </c>
      <c r="C7" s="428"/>
      <c r="D7" s="428"/>
      <c r="E7" s="429">
        <v>0</v>
      </c>
      <c r="F7" s="429"/>
      <c r="G7" s="430"/>
    </row>
    <row r="8" spans="1:7" ht="14.4" customHeight="1" thickBot="1" x14ac:dyDescent="0.35">
      <c r="A8" s="435" t="s">
        <v>322</v>
      </c>
      <c r="B8" s="377">
        <v>18</v>
      </c>
      <c r="C8" s="377"/>
      <c r="D8" s="377"/>
      <c r="E8" s="432">
        <v>0</v>
      </c>
      <c r="F8" s="432"/>
      <c r="G8" s="433"/>
    </row>
    <row r="9" spans="1:7" ht="14.4" customHeight="1" x14ac:dyDescent="0.3">
      <c r="A9" s="422" t="s">
        <v>317</v>
      </c>
    </row>
    <row r="10" spans="1:7" ht="14.4" customHeight="1" x14ac:dyDescent="0.3">
      <c r="A10" s="423" t="s">
        <v>318</v>
      </c>
    </row>
    <row r="11" spans="1:7" ht="14.4" customHeight="1" x14ac:dyDescent="0.3">
      <c r="A11" s="422" t="s">
        <v>319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71" t="s">
        <v>342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4.4" customHeight="1" thickBot="1" x14ac:dyDescent="0.35">
      <c r="A2" s="195" t="s">
        <v>199</v>
      </c>
      <c r="B2" s="266"/>
      <c r="C2" s="103"/>
      <c r="D2" s="260"/>
      <c r="E2" s="103"/>
      <c r="F2" s="189"/>
      <c r="G2" s="189"/>
      <c r="H2" s="103"/>
      <c r="I2" s="103"/>
      <c r="J2" s="189"/>
      <c r="K2" s="189"/>
      <c r="L2" s="103"/>
      <c r="M2" s="103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674</v>
      </c>
      <c r="G3" s="75">
        <f t="shared" si="0"/>
        <v>303507</v>
      </c>
      <c r="H3" s="57"/>
      <c r="I3" s="57"/>
      <c r="J3" s="75">
        <f t="shared" si="0"/>
        <v>799</v>
      </c>
      <c r="K3" s="75">
        <f t="shared" si="0"/>
        <v>352362.32999999996</v>
      </c>
      <c r="L3" s="57"/>
      <c r="M3" s="57"/>
      <c r="N3" s="75">
        <f t="shared" si="0"/>
        <v>760</v>
      </c>
      <c r="O3" s="75">
        <f t="shared" si="0"/>
        <v>344632.32999999996</v>
      </c>
      <c r="P3" s="58">
        <f>IF(G3=0,0,O3/G3)</f>
        <v>1.1355004332684253</v>
      </c>
      <c r="Q3" s="76">
        <f>IF(N3=0,0,O3/N3)</f>
        <v>453.4635921052631</v>
      </c>
    </row>
    <row r="4" spans="1:17" ht="14.4" customHeight="1" x14ac:dyDescent="0.3">
      <c r="A4" s="322" t="s">
        <v>72</v>
      </c>
      <c r="B4" s="329" t="s">
        <v>0</v>
      </c>
      <c r="C4" s="323" t="s">
        <v>73</v>
      </c>
      <c r="D4" s="328" t="s">
        <v>48</v>
      </c>
      <c r="E4" s="324" t="s">
        <v>47</v>
      </c>
      <c r="F4" s="325">
        <v>2014</v>
      </c>
      <c r="G4" s="326"/>
      <c r="H4" s="73"/>
      <c r="I4" s="73"/>
      <c r="J4" s="325">
        <v>2015</v>
      </c>
      <c r="K4" s="326"/>
      <c r="L4" s="73"/>
      <c r="M4" s="73"/>
      <c r="N4" s="325">
        <v>2016</v>
      </c>
      <c r="O4" s="326"/>
      <c r="P4" s="327" t="s">
        <v>2</v>
      </c>
      <c r="Q4" s="321" t="s">
        <v>75</v>
      </c>
    </row>
    <row r="5" spans="1:17" ht="14.4" customHeight="1" thickBot="1" x14ac:dyDescent="0.35">
      <c r="A5" s="436"/>
      <c r="B5" s="437"/>
      <c r="C5" s="438"/>
      <c r="D5" s="439"/>
      <c r="E5" s="440"/>
      <c r="F5" s="441" t="s">
        <v>49</v>
      </c>
      <c r="G5" s="442" t="s">
        <v>5</v>
      </c>
      <c r="H5" s="443"/>
      <c r="I5" s="443"/>
      <c r="J5" s="441" t="s">
        <v>49</v>
      </c>
      <c r="K5" s="442" t="s">
        <v>5</v>
      </c>
      <c r="L5" s="443"/>
      <c r="M5" s="443"/>
      <c r="N5" s="441" t="s">
        <v>49</v>
      </c>
      <c r="O5" s="442" t="s">
        <v>5</v>
      </c>
      <c r="P5" s="444"/>
      <c r="Q5" s="445"/>
    </row>
    <row r="6" spans="1:17" ht="14.4" customHeight="1" x14ac:dyDescent="0.3">
      <c r="A6" s="424" t="s">
        <v>324</v>
      </c>
      <c r="B6" s="446" t="s">
        <v>307</v>
      </c>
      <c r="C6" s="446" t="s">
        <v>325</v>
      </c>
      <c r="D6" s="446" t="s">
        <v>326</v>
      </c>
      <c r="E6" s="446" t="s">
        <v>327</v>
      </c>
      <c r="F6" s="374"/>
      <c r="G6" s="374"/>
      <c r="H6" s="446"/>
      <c r="I6" s="446"/>
      <c r="J6" s="374">
        <v>3</v>
      </c>
      <c r="K6" s="374">
        <v>105</v>
      </c>
      <c r="L6" s="446"/>
      <c r="M6" s="446">
        <v>35</v>
      </c>
      <c r="N6" s="374"/>
      <c r="O6" s="374"/>
      <c r="P6" s="375"/>
      <c r="Q6" s="386"/>
    </row>
    <row r="7" spans="1:17" ht="14.4" customHeight="1" x14ac:dyDescent="0.3">
      <c r="A7" s="427" t="s">
        <v>324</v>
      </c>
      <c r="B7" s="447" t="s">
        <v>307</v>
      </c>
      <c r="C7" s="447" t="s">
        <v>325</v>
      </c>
      <c r="D7" s="447" t="s">
        <v>328</v>
      </c>
      <c r="E7" s="447" t="s">
        <v>329</v>
      </c>
      <c r="F7" s="428">
        <v>39</v>
      </c>
      <c r="G7" s="428">
        <v>10332</v>
      </c>
      <c r="H7" s="447">
        <v>1</v>
      </c>
      <c r="I7" s="447">
        <v>264.92307692307691</v>
      </c>
      <c r="J7" s="428">
        <v>93</v>
      </c>
      <c r="K7" s="428">
        <v>24924</v>
      </c>
      <c r="L7" s="447">
        <v>2.4123112659698025</v>
      </c>
      <c r="M7" s="447">
        <v>268</v>
      </c>
      <c r="N7" s="428">
        <v>115</v>
      </c>
      <c r="O7" s="428">
        <v>32775</v>
      </c>
      <c r="P7" s="448">
        <v>3.1721835075493612</v>
      </c>
      <c r="Q7" s="449">
        <v>285</v>
      </c>
    </row>
    <row r="8" spans="1:17" ht="14.4" customHeight="1" x14ac:dyDescent="0.3">
      <c r="A8" s="427" t="s">
        <v>324</v>
      </c>
      <c r="B8" s="447" t="s">
        <v>307</v>
      </c>
      <c r="C8" s="447" t="s">
        <v>325</v>
      </c>
      <c r="D8" s="447" t="s">
        <v>330</v>
      </c>
      <c r="E8" s="447" t="s">
        <v>331</v>
      </c>
      <c r="F8" s="428">
        <v>434</v>
      </c>
      <c r="G8" s="428">
        <v>222988</v>
      </c>
      <c r="H8" s="447">
        <v>1</v>
      </c>
      <c r="I8" s="447">
        <v>513.79723502304148</v>
      </c>
      <c r="J8" s="428">
        <v>439</v>
      </c>
      <c r="K8" s="428">
        <v>227402</v>
      </c>
      <c r="L8" s="447">
        <v>1.0197947871634347</v>
      </c>
      <c r="M8" s="447">
        <v>518</v>
      </c>
      <c r="N8" s="428">
        <v>378</v>
      </c>
      <c r="O8" s="428">
        <v>209034</v>
      </c>
      <c r="P8" s="448">
        <v>0.93742264157712518</v>
      </c>
      <c r="Q8" s="449">
        <v>553</v>
      </c>
    </row>
    <row r="9" spans="1:17" ht="14.4" customHeight="1" x14ac:dyDescent="0.3">
      <c r="A9" s="427" t="s">
        <v>324</v>
      </c>
      <c r="B9" s="447" t="s">
        <v>307</v>
      </c>
      <c r="C9" s="447" t="s">
        <v>325</v>
      </c>
      <c r="D9" s="447" t="s">
        <v>332</v>
      </c>
      <c r="E9" s="447" t="s">
        <v>333</v>
      </c>
      <c r="F9" s="428">
        <v>1</v>
      </c>
      <c r="G9" s="428">
        <v>0</v>
      </c>
      <c r="H9" s="447"/>
      <c r="I9" s="447">
        <v>0</v>
      </c>
      <c r="J9" s="428"/>
      <c r="K9" s="428"/>
      <c r="L9" s="447"/>
      <c r="M9" s="447"/>
      <c r="N9" s="428"/>
      <c r="O9" s="428"/>
      <c r="P9" s="448"/>
      <c r="Q9" s="449"/>
    </row>
    <row r="10" spans="1:17" ht="14.4" customHeight="1" x14ac:dyDescent="0.3">
      <c r="A10" s="427" t="s">
        <v>324</v>
      </c>
      <c r="B10" s="447" t="s">
        <v>307</v>
      </c>
      <c r="C10" s="447" t="s">
        <v>325</v>
      </c>
      <c r="D10" s="447" t="s">
        <v>334</v>
      </c>
      <c r="E10" s="447" t="s">
        <v>335</v>
      </c>
      <c r="F10" s="428">
        <v>21</v>
      </c>
      <c r="G10" s="428">
        <v>0</v>
      </c>
      <c r="H10" s="447"/>
      <c r="I10" s="447">
        <v>0</v>
      </c>
      <c r="J10" s="428">
        <v>6</v>
      </c>
      <c r="K10" s="428">
        <v>33.33</v>
      </c>
      <c r="L10" s="447"/>
      <c r="M10" s="447">
        <v>5.5549999999999997</v>
      </c>
      <c r="N10" s="428">
        <v>22</v>
      </c>
      <c r="O10" s="428">
        <v>733.32999999999993</v>
      </c>
      <c r="P10" s="448"/>
      <c r="Q10" s="449">
        <v>33.333181818181814</v>
      </c>
    </row>
    <row r="11" spans="1:17" ht="14.4" customHeight="1" x14ac:dyDescent="0.3">
      <c r="A11" s="427" t="s">
        <v>324</v>
      </c>
      <c r="B11" s="447" t="s">
        <v>307</v>
      </c>
      <c r="C11" s="447" t="s">
        <v>325</v>
      </c>
      <c r="D11" s="447" t="s">
        <v>336</v>
      </c>
      <c r="E11" s="447" t="s">
        <v>337</v>
      </c>
      <c r="F11" s="428">
        <v>20</v>
      </c>
      <c r="G11" s="428">
        <v>6927</v>
      </c>
      <c r="H11" s="447">
        <v>1</v>
      </c>
      <c r="I11" s="447">
        <v>346.35</v>
      </c>
      <c r="J11" s="428">
        <v>26</v>
      </c>
      <c r="K11" s="428">
        <v>9100</v>
      </c>
      <c r="L11" s="447">
        <v>1.3137000144362638</v>
      </c>
      <c r="M11" s="447">
        <v>350</v>
      </c>
      <c r="N11" s="428">
        <v>36</v>
      </c>
      <c r="O11" s="428">
        <v>13392</v>
      </c>
      <c r="P11" s="448">
        <v>1.9333044608055436</v>
      </c>
      <c r="Q11" s="449">
        <v>372</v>
      </c>
    </row>
    <row r="12" spans="1:17" ht="14.4" customHeight="1" x14ac:dyDescent="0.3">
      <c r="A12" s="427" t="s">
        <v>324</v>
      </c>
      <c r="B12" s="447" t="s">
        <v>307</v>
      </c>
      <c r="C12" s="447" t="s">
        <v>325</v>
      </c>
      <c r="D12" s="447" t="s">
        <v>338</v>
      </c>
      <c r="E12" s="447" t="s">
        <v>339</v>
      </c>
      <c r="F12" s="428">
        <v>159</v>
      </c>
      <c r="G12" s="428">
        <v>63260</v>
      </c>
      <c r="H12" s="447">
        <v>1</v>
      </c>
      <c r="I12" s="447">
        <v>397.86163522012578</v>
      </c>
      <c r="J12" s="428">
        <v>214</v>
      </c>
      <c r="K12" s="428">
        <v>86028</v>
      </c>
      <c r="L12" s="447">
        <v>1.3599114764464115</v>
      </c>
      <c r="M12" s="447">
        <v>402</v>
      </c>
      <c r="N12" s="428">
        <v>192</v>
      </c>
      <c r="O12" s="428">
        <v>83904</v>
      </c>
      <c r="P12" s="448">
        <v>1.3263357571925387</v>
      </c>
      <c r="Q12" s="449">
        <v>437</v>
      </c>
    </row>
    <row r="13" spans="1:17" ht="14.4" customHeight="1" thickBot="1" x14ac:dyDescent="0.35">
      <c r="A13" s="431" t="s">
        <v>324</v>
      </c>
      <c r="B13" s="450" t="s">
        <v>307</v>
      </c>
      <c r="C13" s="450" t="s">
        <v>325</v>
      </c>
      <c r="D13" s="450" t="s">
        <v>340</v>
      </c>
      <c r="E13" s="450" t="s">
        <v>341</v>
      </c>
      <c r="F13" s="377"/>
      <c r="G13" s="377"/>
      <c r="H13" s="450"/>
      <c r="I13" s="450"/>
      <c r="J13" s="377">
        <v>18</v>
      </c>
      <c r="K13" s="377">
        <v>4770</v>
      </c>
      <c r="L13" s="450"/>
      <c r="M13" s="450">
        <v>265</v>
      </c>
      <c r="N13" s="377">
        <v>17</v>
      </c>
      <c r="O13" s="377">
        <v>4794</v>
      </c>
      <c r="P13" s="378"/>
      <c r="Q13" s="387">
        <v>282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80" t="s">
        <v>100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4.4" customHeight="1" thickBot="1" x14ac:dyDescent="0.35">
      <c r="A2" s="195" t="s">
        <v>199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348453</v>
      </c>
      <c r="C3" s="183">
        <f t="shared" ref="C3:R3" si="0">SUBTOTAL(9,C6:C1048576)</f>
        <v>8</v>
      </c>
      <c r="D3" s="183">
        <f t="shared" si="0"/>
        <v>557900.96999999986</v>
      </c>
      <c r="E3" s="183">
        <f t="shared" si="0"/>
        <v>10.066613014613999</v>
      </c>
      <c r="F3" s="183">
        <f t="shared" si="0"/>
        <v>676952.66</v>
      </c>
      <c r="G3" s="186">
        <f>IF(B3&lt;&gt;0,F3/B3,"")</f>
        <v>1.9427373562575154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4" t="s">
        <v>82</v>
      </c>
      <c r="B4" s="315" t="s">
        <v>76</v>
      </c>
      <c r="C4" s="316"/>
      <c r="D4" s="316"/>
      <c r="E4" s="316"/>
      <c r="F4" s="316"/>
      <c r="G4" s="317"/>
      <c r="H4" s="315" t="s">
        <v>77</v>
      </c>
      <c r="I4" s="316"/>
      <c r="J4" s="316"/>
      <c r="K4" s="316"/>
      <c r="L4" s="316"/>
      <c r="M4" s="317"/>
      <c r="N4" s="315" t="s">
        <v>78</v>
      </c>
      <c r="O4" s="316"/>
      <c r="P4" s="316"/>
      <c r="Q4" s="316"/>
      <c r="R4" s="316"/>
      <c r="S4" s="317"/>
    </row>
    <row r="5" spans="1:19" ht="14.4" customHeight="1" thickBot="1" x14ac:dyDescent="0.35">
      <c r="A5" s="415"/>
      <c r="B5" s="416">
        <v>2014</v>
      </c>
      <c r="C5" s="417"/>
      <c r="D5" s="417">
        <v>2015</v>
      </c>
      <c r="E5" s="417"/>
      <c r="F5" s="417">
        <v>2016</v>
      </c>
      <c r="G5" s="418" t="s">
        <v>2</v>
      </c>
      <c r="H5" s="416">
        <v>2014</v>
      </c>
      <c r="I5" s="417"/>
      <c r="J5" s="417">
        <v>2015</v>
      </c>
      <c r="K5" s="417"/>
      <c r="L5" s="417">
        <v>2016</v>
      </c>
      <c r="M5" s="418" t="s">
        <v>2</v>
      </c>
      <c r="N5" s="416">
        <v>2014</v>
      </c>
      <c r="O5" s="417"/>
      <c r="P5" s="417">
        <v>2015</v>
      </c>
      <c r="Q5" s="417"/>
      <c r="R5" s="417">
        <v>2016</v>
      </c>
      <c r="S5" s="418" t="s">
        <v>2</v>
      </c>
    </row>
    <row r="6" spans="1:19" ht="14.4" customHeight="1" x14ac:dyDescent="0.3">
      <c r="A6" s="373" t="s">
        <v>343</v>
      </c>
      <c r="B6" s="425">
        <v>4953</v>
      </c>
      <c r="C6" s="446">
        <v>1</v>
      </c>
      <c r="D6" s="425">
        <v>5530</v>
      </c>
      <c r="E6" s="446">
        <v>1.1164950535029274</v>
      </c>
      <c r="F6" s="425">
        <v>553</v>
      </c>
      <c r="G6" s="375">
        <v>0.11164950535029275</v>
      </c>
      <c r="H6" s="425"/>
      <c r="I6" s="446"/>
      <c r="J6" s="425"/>
      <c r="K6" s="446"/>
      <c r="L6" s="425"/>
      <c r="M6" s="375"/>
      <c r="N6" s="425"/>
      <c r="O6" s="446"/>
      <c r="P6" s="425"/>
      <c r="Q6" s="446"/>
      <c r="R6" s="425"/>
      <c r="S6" s="376"/>
    </row>
    <row r="7" spans="1:19" ht="14.4" customHeight="1" x14ac:dyDescent="0.3">
      <c r="A7" s="434" t="s">
        <v>344</v>
      </c>
      <c r="B7" s="429">
        <v>1032</v>
      </c>
      <c r="C7" s="447">
        <v>1</v>
      </c>
      <c r="D7" s="429">
        <v>3108</v>
      </c>
      <c r="E7" s="447">
        <v>3.0116279069767442</v>
      </c>
      <c r="F7" s="429"/>
      <c r="G7" s="448"/>
      <c r="H7" s="429"/>
      <c r="I7" s="447"/>
      <c r="J7" s="429"/>
      <c r="K7" s="447"/>
      <c r="L7" s="429"/>
      <c r="M7" s="448"/>
      <c r="N7" s="429"/>
      <c r="O7" s="447"/>
      <c r="P7" s="429"/>
      <c r="Q7" s="447"/>
      <c r="R7" s="429"/>
      <c r="S7" s="451"/>
    </row>
    <row r="8" spans="1:19" ht="14.4" customHeight="1" x14ac:dyDescent="0.3">
      <c r="A8" s="434" t="s">
        <v>345</v>
      </c>
      <c r="B8" s="429"/>
      <c r="C8" s="447"/>
      <c r="D8" s="429"/>
      <c r="E8" s="447"/>
      <c r="F8" s="429">
        <v>553</v>
      </c>
      <c r="G8" s="448"/>
      <c r="H8" s="429"/>
      <c r="I8" s="447"/>
      <c r="J8" s="429"/>
      <c r="K8" s="447"/>
      <c r="L8" s="429"/>
      <c r="M8" s="448"/>
      <c r="N8" s="429"/>
      <c r="O8" s="447"/>
      <c r="P8" s="429"/>
      <c r="Q8" s="447"/>
      <c r="R8" s="429"/>
      <c r="S8" s="451"/>
    </row>
    <row r="9" spans="1:19" ht="14.4" customHeight="1" x14ac:dyDescent="0.3">
      <c r="A9" s="434" t="s">
        <v>346</v>
      </c>
      <c r="B9" s="429">
        <v>7596</v>
      </c>
      <c r="C9" s="447">
        <v>1</v>
      </c>
      <c r="D9" s="429">
        <v>3356.66</v>
      </c>
      <c r="E9" s="447">
        <v>0.44189836756187467</v>
      </c>
      <c r="F9" s="429">
        <v>14645.67</v>
      </c>
      <c r="G9" s="448">
        <v>1.9280766192733017</v>
      </c>
      <c r="H9" s="429"/>
      <c r="I9" s="447"/>
      <c r="J9" s="429"/>
      <c r="K9" s="447"/>
      <c r="L9" s="429"/>
      <c r="M9" s="448"/>
      <c r="N9" s="429"/>
      <c r="O9" s="447"/>
      <c r="P9" s="429"/>
      <c r="Q9" s="447"/>
      <c r="R9" s="429"/>
      <c r="S9" s="451"/>
    </row>
    <row r="10" spans="1:19" ht="14.4" customHeight="1" x14ac:dyDescent="0.3">
      <c r="A10" s="434" t="s">
        <v>347</v>
      </c>
      <c r="B10" s="429"/>
      <c r="C10" s="447"/>
      <c r="D10" s="429">
        <v>350</v>
      </c>
      <c r="E10" s="447"/>
      <c r="F10" s="429"/>
      <c r="G10" s="448"/>
      <c r="H10" s="429"/>
      <c r="I10" s="447"/>
      <c r="J10" s="429"/>
      <c r="K10" s="447"/>
      <c r="L10" s="429"/>
      <c r="M10" s="448"/>
      <c r="N10" s="429"/>
      <c r="O10" s="447"/>
      <c r="P10" s="429"/>
      <c r="Q10" s="447"/>
      <c r="R10" s="429"/>
      <c r="S10" s="451"/>
    </row>
    <row r="11" spans="1:19" ht="14.4" customHeight="1" x14ac:dyDescent="0.3">
      <c r="A11" s="434" t="s">
        <v>348</v>
      </c>
      <c r="B11" s="429"/>
      <c r="C11" s="447"/>
      <c r="D11" s="429">
        <v>4494</v>
      </c>
      <c r="E11" s="447"/>
      <c r="F11" s="429"/>
      <c r="G11" s="448"/>
      <c r="H11" s="429"/>
      <c r="I11" s="447"/>
      <c r="J11" s="429"/>
      <c r="K11" s="447"/>
      <c r="L11" s="429"/>
      <c r="M11" s="448"/>
      <c r="N11" s="429"/>
      <c r="O11" s="447"/>
      <c r="P11" s="429"/>
      <c r="Q11" s="447"/>
      <c r="R11" s="429"/>
      <c r="S11" s="451"/>
    </row>
    <row r="12" spans="1:19" ht="14.4" customHeight="1" x14ac:dyDescent="0.3">
      <c r="A12" s="434" t="s">
        <v>349</v>
      </c>
      <c r="B12" s="429">
        <v>142585</v>
      </c>
      <c r="C12" s="447">
        <v>1</v>
      </c>
      <c r="D12" s="429">
        <v>292159.98999999993</v>
      </c>
      <c r="E12" s="447">
        <v>2.0490233194235015</v>
      </c>
      <c r="F12" s="429">
        <v>284773.66000000003</v>
      </c>
      <c r="G12" s="448">
        <v>1.9972203247185891</v>
      </c>
      <c r="H12" s="429"/>
      <c r="I12" s="447"/>
      <c r="J12" s="429"/>
      <c r="K12" s="447"/>
      <c r="L12" s="429"/>
      <c r="M12" s="448"/>
      <c r="N12" s="429"/>
      <c r="O12" s="447"/>
      <c r="P12" s="429"/>
      <c r="Q12" s="447"/>
      <c r="R12" s="429"/>
      <c r="S12" s="451"/>
    </row>
    <row r="13" spans="1:19" ht="14.4" customHeight="1" x14ac:dyDescent="0.3">
      <c r="A13" s="434" t="s">
        <v>350</v>
      </c>
      <c r="B13" s="429">
        <v>4357</v>
      </c>
      <c r="C13" s="447">
        <v>1</v>
      </c>
      <c r="D13" s="429">
        <v>3205</v>
      </c>
      <c r="E13" s="447">
        <v>0.73559788845535923</v>
      </c>
      <c r="F13" s="429"/>
      <c r="G13" s="448"/>
      <c r="H13" s="429"/>
      <c r="I13" s="447"/>
      <c r="J13" s="429"/>
      <c r="K13" s="447"/>
      <c r="L13" s="429"/>
      <c r="M13" s="448"/>
      <c r="N13" s="429"/>
      <c r="O13" s="447"/>
      <c r="P13" s="429"/>
      <c r="Q13" s="447"/>
      <c r="R13" s="429"/>
      <c r="S13" s="451"/>
    </row>
    <row r="14" spans="1:19" ht="14.4" customHeight="1" x14ac:dyDescent="0.3">
      <c r="A14" s="434" t="s">
        <v>351</v>
      </c>
      <c r="B14" s="429">
        <v>86139</v>
      </c>
      <c r="C14" s="447">
        <v>1</v>
      </c>
      <c r="D14" s="429">
        <v>138917.66</v>
      </c>
      <c r="E14" s="447">
        <v>1.6127150303579099</v>
      </c>
      <c r="F14" s="429">
        <v>207982.33</v>
      </c>
      <c r="G14" s="448">
        <v>2.4144966855895702</v>
      </c>
      <c r="H14" s="429"/>
      <c r="I14" s="447"/>
      <c r="J14" s="429"/>
      <c r="K14" s="447"/>
      <c r="L14" s="429"/>
      <c r="M14" s="448"/>
      <c r="N14" s="429"/>
      <c r="O14" s="447"/>
      <c r="P14" s="429"/>
      <c r="Q14" s="447"/>
      <c r="R14" s="429"/>
      <c r="S14" s="451"/>
    </row>
    <row r="15" spans="1:19" ht="14.4" customHeight="1" x14ac:dyDescent="0.3">
      <c r="A15" s="434" t="s">
        <v>352</v>
      </c>
      <c r="B15" s="429">
        <v>92230</v>
      </c>
      <c r="C15" s="447">
        <v>1</v>
      </c>
      <c r="D15" s="429">
        <v>101384.33</v>
      </c>
      <c r="E15" s="447">
        <v>1.0992554483356825</v>
      </c>
      <c r="F15" s="429">
        <v>168445</v>
      </c>
      <c r="G15" s="448">
        <v>1.826358017998482</v>
      </c>
      <c r="H15" s="429"/>
      <c r="I15" s="447"/>
      <c r="J15" s="429"/>
      <c r="K15" s="447"/>
      <c r="L15" s="429"/>
      <c r="M15" s="448"/>
      <c r="N15" s="429"/>
      <c r="O15" s="447"/>
      <c r="P15" s="429"/>
      <c r="Q15" s="447"/>
      <c r="R15" s="429"/>
      <c r="S15" s="451"/>
    </row>
    <row r="16" spans="1:19" ht="14.4" customHeight="1" x14ac:dyDescent="0.3">
      <c r="A16" s="434" t="s">
        <v>353</v>
      </c>
      <c r="B16" s="429">
        <v>9561</v>
      </c>
      <c r="C16" s="447">
        <v>1</v>
      </c>
      <c r="D16" s="429"/>
      <c r="E16" s="447"/>
      <c r="F16" s="429"/>
      <c r="G16" s="448"/>
      <c r="H16" s="429"/>
      <c r="I16" s="447"/>
      <c r="J16" s="429"/>
      <c r="K16" s="447"/>
      <c r="L16" s="429"/>
      <c r="M16" s="448"/>
      <c r="N16" s="429"/>
      <c r="O16" s="447"/>
      <c r="P16" s="429"/>
      <c r="Q16" s="447"/>
      <c r="R16" s="429"/>
      <c r="S16" s="451"/>
    </row>
    <row r="17" spans="1:19" ht="14.4" customHeight="1" x14ac:dyDescent="0.3">
      <c r="A17" s="434" t="s">
        <v>354</v>
      </c>
      <c r="B17" s="429"/>
      <c r="C17" s="447"/>
      <c r="D17" s="429">
        <v>4877.33</v>
      </c>
      <c r="E17" s="447"/>
      <c r="F17" s="429"/>
      <c r="G17" s="448"/>
      <c r="H17" s="429"/>
      <c r="I17" s="447"/>
      <c r="J17" s="429"/>
      <c r="K17" s="447"/>
      <c r="L17" s="429"/>
      <c r="M17" s="448"/>
      <c r="N17" s="429"/>
      <c r="O17" s="447"/>
      <c r="P17" s="429"/>
      <c r="Q17" s="447"/>
      <c r="R17" s="429"/>
      <c r="S17" s="451"/>
    </row>
    <row r="18" spans="1:19" ht="14.4" customHeight="1" thickBot="1" x14ac:dyDescent="0.35">
      <c r="A18" s="435" t="s">
        <v>355</v>
      </c>
      <c r="B18" s="432"/>
      <c r="C18" s="450"/>
      <c r="D18" s="432">
        <v>518</v>
      </c>
      <c r="E18" s="450"/>
      <c r="F18" s="432"/>
      <c r="G18" s="378"/>
      <c r="H18" s="432"/>
      <c r="I18" s="450"/>
      <c r="J18" s="432"/>
      <c r="K18" s="450"/>
      <c r="L18" s="432"/>
      <c r="M18" s="378"/>
      <c r="N18" s="432"/>
      <c r="O18" s="450"/>
      <c r="P18" s="432"/>
      <c r="Q18" s="450"/>
      <c r="R18" s="432"/>
      <c r="S18" s="37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71" t="s">
        <v>371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4.4" customHeight="1" thickBot="1" x14ac:dyDescent="0.35">
      <c r="A2" s="195" t="s">
        <v>199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703</v>
      </c>
      <c r="G3" s="75">
        <f t="shared" si="0"/>
        <v>348453</v>
      </c>
      <c r="H3" s="75"/>
      <c r="I3" s="75"/>
      <c r="J3" s="75">
        <f t="shared" si="0"/>
        <v>1213</v>
      </c>
      <c r="K3" s="75">
        <f t="shared" si="0"/>
        <v>557900.96999999986</v>
      </c>
      <c r="L3" s="75"/>
      <c r="M3" s="75"/>
      <c r="N3" s="75">
        <f t="shared" si="0"/>
        <v>1304</v>
      </c>
      <c r="O3" s="75">
        <f t="shared" si="0"/>
        <v>676952.66</v>
      </c>
      <c r="P3" s="58">
        <f>IF(G3=0,0,O3/G3)</f>
        <v>1.9427373562575154</v>
      </c>
      <c r="Q3" s="76">
        <f>IF(N3=0,0,O3/N3)</f>
        <v>519.13547546012273</v>
      </c>
    </row>
    <row r="4" spans="1:17" ht="14.4" customHeight="1" x14ac:dyDescent="0.3">
      <c r="A4" s="323" t="s">
        <v>46</v>
      </c>
      <c r="B4" s="322" t="s">
        <v>72</v>
      </c>
      <c r="C4" s="323" t="s">
        <v>73</v>
      </c>
      <c r="D4" s="332" t="s">
        <v>74</v>
      </c>
      <c r="E4" s="324" t="s">
        <v>47</v>
      </c>
      <c r="F4" s="330">
        <v>2014</v>
      </c>
      <c r="G4" s="331"/>
      <c r="H4" s="77"/>
      <c r="I4" s="77"/>
      <c r="J4" s="330">
        <v>2015</v>
      </c>
      <c r="K4" s="331"/>
      <c r="L4" s="77"/>
      <c r="M4" s="77"/>
      <c r="N4" s="330">
        <v>2016</v>
      </c>
      <c r="O4" s="331"/>
      <c r="P4" s="333" t="s">
        <v>2</v>
      </c>
      <c r="Q4" s="321" t="s">
        <v>75</v>
      </c>
    </row>
    <row r="5" spans="1:17" ht="14.4" customHeight="1" thickBot="1" x14ac:dyDescent="0.35">
      <c r="A5" s="438"/>
      <c r="B5" s="436"/>
      <c r="C5" s="438"/>
      <c r="D5" s="452"/>
      <c r="E5" s="440"/>
      <c r="F5" s="453" t="s">
        <v>49</v>
      </c>
      <c r="G5" s="454" t="s">
        <v>5</v>
      </c>
      <c r="H5" s="455"/>
      <c r="I5" s="455"/>
      <c r="J5" s="453" t="s">
        <v>49</v>
      </c>
      <c r="K5" s="454" t="s">
        <v>5</v>
      </c>
      <c r="L5" s="455"/>
      <c r="M5" s="455"/>
      <c r="N5" s="453" t="s">
        <v>49</v>
      </c>
      <c r="O5" s="454" t="s">
        <v>5</v>
      </c>
      <c r="P5" s="456"/>
      <c r="Q5" s="445"/>
    </row>
    <row r="6" spans="1:17" ht="14.4" customHeight="1" x14ac:dyDescent="0.3">
      <c r="A6" s="424" t="s">
        <v>356</v>
      </c>
      <c r="B6" s="446" t="s">
        <v>324</v>
      </c>
      <c r="C6" s="446" t="s">
        <v>325</v>
      </c>
      <c r="D6" s="446" t="s">
        <v>330</v>
      </c>
      <c r="E6" s="446" t="s">
        <v>331</v>
      </c>
      <c r="F6" s="374">
        <v>9</v>
      </c>
      <c r="G6" s="374">
        <v>4608</v>
      </c>
      <c r="H6" s="374">
        <v>1</v>
      </c>
      <c r="I6" s="374">
        <v>512</v>
      </c>
      <c r="J6" s="374">
        <v>10</v>
      </c>
      <c r="K6" s="374">
        <v>5180</v>
      </c>
      <c r="L6" s="374">
        <v>1.1241319444444444</v>
      </c>
      <c r="M6" s="374">
        <v>518</v>
      </c>
      <c r="N6" s="374">
        <v>1</v>
      </c>
      <c r="O6" s="374">
        <v>553</v>
      </c>
      <c r="P6" s="375">
        <v>0.12000868055555555</v>
      </c>
      <c r="Q6" s="386">
        <v>553</v>
      </c>
    </row>
    <row r="7" spans="1:17" ht="14.4" customHeight="1" x14ac:dyDescent="0.3">
      <c r="A7" s="427" t="s">
        <v>356</v>
      </c>
      <c r="B7" s="447" t="s">
        <v>324</v>
      </c>
      <c r="C7" s="447" t="s">
        <v>325</v>
      </c>
      <c r="D7" s="447" t="s">
        <v>334</v>
      </c>
      <c r="E7" s="447" t="s">
        <v>335</v>
      </c>
      <c r="F7" s="428"/>
      <c r="G7" s="428"/>
      <c r="H7" s="428"/>
      <c r="I7" s="428"/>
      <c r="J7" s="428">
        <v>1</v>
      </c>
      <c r="K7" s="428">
        <v>0</v>
      </c>
      <c r="L7" s="428"/>
      <c r="M7" s="428">
        <v>0</v>
      </c>
      <c r="N7" s="428"/>
      <c r="O7" s="428"/>
      <c r="P7" s="448"/>
      <c r="Q7" s="449"/>
    </row>
    <row r="8" spans="1:17" ht="14.4" customHeight="1" x14ac:dyDescent="0.3">
      <c r="A8" s="427" t="s">
        <v>356</v>
      </c>
      <c r="B8" s="447" t="s">
        <v>324</v>
      </c>
      <c r="C8" s="447" t="s">
        <v>325</v>
      </c>
      <c r="D8" s="447" t="s">
        <v>336</v>
      </c>
      <c r="E8" s="447" t="s">
        <v>337</v>
      </c>
      <c r="F8" s="428">
        <v>1</v>
      </c>
      <c r="G8" s="428">
        <v>345</v>
      </c>
      <c r="H8" s="428">
        <v>1</v>
      </c>
      <c r="I8" s="428">
        <v>345</v>
      </c>
      <c r="J8" s="428">
        <v>1</v>
      </c>
      <c r="K8" s="428">
        <v>350</v>
      </c>
      <c r="L8" s="428">
        <v>1.0144927536231885</v>
      </c>
      <c r="M8" s="428">
        <v>350</v>
      </c>
      <c r="N8" s="428"/>
      <c r="O8" s="428"/>
      <c r="P8" s="448"/>
      <c r="Q8" s="449"/>
    </row>
    <row r="9" spans="1:17" ht="14.4" customHeight="1" x14ac:dyDescent="0.3">
      <c r="A9" s="427" t="s">
        <v>357</v>
      </c>
      <c r="B9" s="447" t="s">
        <v>324</v>
      </c>
      <c r="C9" s="447" t="s">
        <v>325</v>
      </c>
      <c r="D9" s="447" t="s">
        <v>330</v>
      </c>
      <c r="E9" s="447" t="s">
        <v>331</v>
      </c>
      <c r="F9" s="428">
        <v>2</v>
      </c>
      <c r="G9" s="428">
        <v>1032</v>
      </c>
      <c r="H9" s="428">
        <v>1</v>
      </c>
      <c r="I9" s="428">
        <v>516</v>
      </c>
      <c r="J9" s="428">
        <v>6</v>
      </c>
      <c r="K9" s="428">
        <v>3108</v>
      </c>
      <c r="L9" s="428">
        <v>3.0116279069767442</v>
      </c>
      <c r="M9" s="428">
        <v>518</v>
      </c>
      <c r="N9" s="428"/>
      <c r="O9" s="428"/>
      <c r="P9" s="448"/>
      <c r="Q9" s="449"/>
    </row>
    <row r="10" spans="1:17" ht="14.4" customHeight="1" x14ac:dyDescent="0.3">
      <c r="A10" s="427" t="s">
        <v>358</v>
      </c>
      <c r="B10" s="447" t="s">
        <v>324</v>
      </c>
      <c r="C10" s="447" t="s">
        <v>325</v>
      </c>
      <c r="D10" s="447" t="s">
        <v>330</v>
      </c>
      <c r="E10" s="447" t="s">
        <v>331</v>
      </c>
      <c r="F10" s="428"/>
      <c r="G10" s="428"/>
      <c r="H10" s="428"/>
      <c r="I10" s="428"/>
      <c r="J10" s="428"/>
      <c r="K10" s="428"/>
      <c r="L10" s="428"/>
      <c r="M10" s="428"/>
      <c r="N10" s="428">
        <v>1</v>
      </c>
      <c r="O10" s="428">
        <v>553</v>
      </c>
      <c r="P10" s="448"/>
      <c r="Q10" s="449">
        <v>553</v>
      </c>
    </row>
    <row r="11" spans="1:17" ht="14.4" customHeight="1" x14ac:dyDescent="0.3">
      <c r="A11" s="427" t="s">
        <v>359</v>
      </c>
      <c r="B11" s="447" t="s">
        <v>324</v>
      </c>
      <c r="C11" s="447" t="s">
        <v>325</v>
      </c>
      <c r="D11" s="447" t="s">
        <v>330</v>
      </c>
      <c r="E11" s="447" t="s">
        <v>331</v>
      </c>
      <c r="F11" s="428">
        <v>10</v>
      </c>
      <c r="G11" s="428">
        <v>5160</v>
      </c>
      <c r="H11" s="428">
        <v>1</v>
      </c>
      <c r="I11" s="428">
        <v>516</v>
      </c>
      <c r="J11" s="428">
        <v>5</v>
      </c>
      <c r="K11" s="428">
        <v>2590</v>
      </c>
      <c r="L11" s="428">
        <v>0.50193798449612403</v>
      </c>
      <c r="M11" s="428">
        <v>518</v>
      </c>
      <c r="N11" s="428">
        <v>23</v>
      </c>
      <c r="O11" s="428">
        <v>12719</v>
      </c>
      <c r="P11" s="448">
        <v>2.4649224806201548</v>
      </c>
      <c r="Q11" s="449">
        <v>553</v>
      </c>
    </row>
    <row r="12" spans="1:17" ht="14.4" customHeight="1" x14ac:dyDescent="0.3">
      <c r="A12" s="427" t="s">
        <v>359</v>
      </c>
      <c r="B12" s="447" t="s">
        <v>324</v>
      </c>
      <c r="C12" s="447" t="s">
        <v>325</v>
      </c>
      <c r="D12" s="447" t="s">
        <v>334</v>
      </c>
      <c r="E12" s="447" t="s">
        <v>335</v>
      </c>
      <c r="F12" s="428"/>
      <c r="G12" s="428"/>
      <c r="H12" s="428"/>
      <c r="I12" s="428"/>
      <c r="J12" s="428">
        <v>2</v>
      </c>
      <c r="K12" s="428">
        <v>66.66</v>
      </c>
      <c r="L12" s="428"/>
      <c r="M12" s="428">
        <v>33.33</v>
      </c>
      <c r="N12" s="428">
        <v>2</v>
      </c>
      <c r="O12" s="428">
        <v>66.67</v>
      </c>
      <c r="P12" s="448"/>
      <c r="Q12" s="449">
        <v>33.335000000000001</v>
      </c>
    </row>
    <row r="13" spans="1:17" ht="14.4" customHeight="1" x14ac:dyDescent="0.3">
      <c r="A13" s="427" t="s">
        <v>359</v>
      </c>
      <c r="B13" s="447" t="s">
        <v>324</v>
      </c>
      <c r="C13" s="447" t="s">
        <v>325</v>
      </c>
      <c r="D13" s="447" t="s">
        <v>336</v>
      </c>
      <c r="E13" s="447" t="s">
        <v>337</v>
      </c>
      <c r="F13" s="428">
        <v>7</v>
      </c>
      <c r="G13" s="428">
        <v>2436</v>
      </c>
      <c r="H13" s="428">
        <v>1</v>
      </c>
      <c r="I13" s="428">
        <v>348</v>
      </c>
      <c r="J13" s="428">
        <v>2</v>
      </c>
      <c r="K13" s="428">
        <v>700</v>
      </c>
      <c r="L13" s="428">
        <v>0.28735632183908044</v>
      </c>
      <c r="M13" s="428">
        <v>350</v>
      </c>
      <c r="N13" s="428">
        <v>5</v>
      </c>
      <c r="O13" s="428">
        <v>1860</v>
      </c>
      <c r="P13" s="448">
        <v>0.76354679802955661</v>
      </c>
      <c r="Q13" s="449">
        <v>372</v>
      </c>
    </row>
    <row r="14" spans="1:17" ht="14.4" customHeight="1" x14ac:dyDescent="0.3">
      <c r="A14" s="427" t="s">
        <v>359</v>
      </c>
      <c r="B14" s="447" t="s">
        <v>324</v>
      </c>
      <c r="C14" s="447" t="s">
        <v>325</v>
      </c>
      <c r="D14" s="447" t="s">
        <v>340</v>
      </c>
      <c r="E14" s="447" t="s">
        <v>341</v>
      </c>
      <c r="F14" s="428"/>
      <c r="G14" s="428"/>
      <c r="H14" s="428"/>
      <c r="I14" s="428"/>
      <c r="J14" s="428"/>
      <c r="K14" s="428"/>
      <c r="L14" s="428"/>
      <c r="M14" s="428"/>
      <c r="N14" s="428">
        <v>0</v>
      </c>
      <c r="O14" s="428">
        <v>0</v>
      </c>
      <c r="P14" s="448"/>
      <c r="Q14" s="449"/>
    </row>
    <row r="15" spans="1:17" ht="14.4" customHeight="1" x14ac:dyDescent="0.3">
      <c r="A15" s="427" t="s">
        <v>360</v>
      </c>
      <c r="B15" s="447" t="s">
        <v>324</v>
      </c>
      <c r="C15" s="447" t="s">
        <v>325</v>
      </c>
      <c r="D15" s="447" t="s">
        <v>334</v>
      </c>
      <c r="E15" s="447" t="s">
        <v>335</v>
      </c>
      <c r="F15" s="428"/>
      <c r="G15" s="428"/>
      <c r="H15" s="428"/>
      <c r="I15" s="428"/>
      <c r="J15" s="428">
        <v>1</v>
      </c>
      <c r="K15" s="428">
        <v>0</v>
      </c>
      <c r="L15" s="428"/>
      <c r="M15" s="428">
        <v>0</v>
      </c>
      <c r="N15" s="428"/>
      <c r="O15" s="428"/>
      <c r="P15" s="448"/>
      <c r="Q15" s="449"/>
    </row>
    <row r="16" spans="1:17" ht="14.4" customHeight="1" x14ac:dyDescent="0.3">
      <c r="A16" s="427" t="s">
        <v>360</v>
      </c>
      <c r="B16" s="447" t="s">
        <v>324</v>
      </c>
      <c r="C16" s="447" t="s">
        <v>325</v>
      </c>
      <c r="D16" s="447" t="s">
        <v>336</v>
      </c>
      <c r="E16" s="447" t="s">
        <v>337</v>
      </c>
      <c r="F16" s="428"/>
      <c r="G16" s="428"/>
      <c r="H16" s="428"/>
      <c r="I16" s="428"/>
      <c r="J16" s="428">
        <v>1</v>
      </c>
      <c r="K16" s="428">
        <v>350</v>
      </c>
      <c r="L16" s="428"/>
      <c r="M16" s="428">
        <v>350</v>
      </c>
      <c r="N16" s="428"/>
      <c r="O16" s="428"/>
      <c r="P16" s="448"/>
      <c r="Q16" s="449"/>
    </row>
    <row r="17" spans="1:17" ht="14.4" customHeight="1" x14ac:dyDescent="0.3">
      <c r="A17" s="427" t="s">
        <v>361</v>
      </c>
      <c r="B17" s="447" t="s">
        <v>324</v>
      </c>
      <c r="C17" s="447" t="s">
        <v>325</v>
      </c>
      <c r="D17" s="447" t="s">
        <v>330</v>
      </c>
      <c r="E17" s="447" t="s">
        <v>331</v>
      </c>
      <c r="F17" s="428"/>
      <c r="G17" s="428"/>
      <c r="H17" s="428"/>
      <c r="I17" s="428"/>
      <c r="J17" s="428">
        <v>8</v>
      </c>
      <c r="K17" s="428">
        <v>4144</v>
      </c>
      <c r="L17" s="428"/>
      <c r="M17" s="428">
        <v>518</v>
      </c>
      <c r="N17" s="428"/>
      <c r="O17" s="428"/>
      <c r="P17" s="448"/>
      <c r="Q17" s="449"/>
    </row>
    <row r="18" spans="1:17" ht="14.4" customHeight="1" x14ac:dyDescent="0.3">
      <c r="A18" s="427" t="s">
        <v>361</v>
      </c>
      <c r="B18" s="447" t="s">
        <v>324</v>
      </c>
      <c r="C18" s="447" t="s">
        <v>325</v>
      </c>
      <c r="D18" s="447" t="s">
        <v>334</v>
      </c>
      <c r="E18" s="447" t="s">
        <v>335</v>
      </c>
      <c r="F18" s="428"/>
      <c r="G18" s="428"/>
      <c r="H18" s="428"/>
      <c r="I18" s="428"/>
      <c r="J18" s="428">
        <v>1</v>
      </c>
      <c r="K18" s="428">
        <v>0</v>
      </c>
      <c r="L18" s="428"/>
      <c r="M18" s="428">
        <v>0</v>
      </c>
      <c r="N18" s="428"/>
      <c r="O18" s="428"/>
      <c r="P18" s="448"/>
      <c r="Q18" s="449"/>
    </row>
    <row r="19" spans="1:17" ht="14.4" customHeight="1" x14ac:dyDescent="0.3">
      <c r="A19" s="427" t="s">
        <v>361</v>
      </c>
      <c r="B19" s="447" t="s">
        <v>324</v>
      </c>
      <c r="C19" s="447" t="s">
        <v>325</v>
      </c>
      <c r="D19" s="447" t="s">
        <v>336</v>
      </c>
      <c r="E19" s="447" t="s">
        <v>337</v>
      </c>
      <c r="F19" s="428"/>
      <c r="G19" s="428"/>
      <c r="H19" s="428"/>
      <c r="I19" s="428"/>
      <c r="J19" s="428">
        <v>1</v>
      </c>
      <c r="K19" s="428">
        <v>350</v>
      </c>
      <c r="L19" s="428"/>
      <c r="M19" s="428">
        <v>350</v>
      </c>
      <c r="N19" s="428"/>
      <c r="O19" s="428"/>
      <c r="P19" s="448"/>
      <c r="Q19" s="449"/>
    </row>
    <row r="20" spans="1:17" ht="14.4" customHeight="1" x14ac:dyDescent="0.3">
      <c r="A20" s="427" t="s">
        <v>362</v>
      </c>
      <c r="B20" s="447" t="s">
        <v>324</v>
      </c>
      <c r="C20" s="447" t="s">
        <v>325</v>
      </c>
      <c r="D20" s="447" t="s">
        <v>330</v>
      </c>
      <c r="E20" s="447" t="s">
        <v>331</v>
      </c>
      <c r="F20" s="428">
        <v>246</v>
      </c>
      <c r="G20" s="428">
        <v>126436</v>
      </c>
      <c r="H20" s="428">
        <v>1</v>
      </c>
      <c r="I20" s="428">
        <v>513.96747967479678</v>
      </c>
      <c r="J20" s="428">
        <v>490</v>
      </c>
      <c r="K20" s="428">
        <v>253820</v>
      </c>
      <c r="L20" s="428">
        <v>2.0074978645322537</v>
      </c>
      <c r="M20" s="428">
        <v>518</v>
      </c>
      <c r="N20" s="428">
        <v>441</v>
      </c>
      <c r="O20" s="428">
        <v>243873</v>
      </c>
      <c r="P20" s="448">
        <v>1.9288256509222057</v>
      </c>
      <c r="Q20" s="449">
        <v>553</v>
      </c>
    </row>
    <row r="21" spans="1:17" ht="14.4" customHeight="1" x14ac:dyDescent="0.3">
      <c r="A21" s="427" t="s">
        <v>362</v>
      </c>
      <c r="B21" s="447" t="s">
        <v>324</v>
      </c>
      <c r="C21" s="447" t="s">
        <v>325</v>
      </c>
      <c r="D21" s="447" t="s">
        <v>334</v>
      </c>
      <c r="E21" s="447" t="s">
        <v>335</v>
      </c>
      <c r="F21" s="428"/>
      <c r="G21" s="428"/>
      <c r="H21" s="428"/>
      <c r="I21" s="428"/>
      <c r="J21" s="428">
        <v>75</v>
      </c>
      <c r="K21" s="428">
        <v>1399.9899999999998</v>
      </c>
      <c r="L21" s="428"/>
      <c r="M21" s="428">
        <v>18.66653333333333</v>
      </c>
      <c r="N21" s="428">
        <v>23</v>
      </c>
      <c r="O21" s="428">
        <v>766.66</v>
      </c>
      <c r="P21" s="448"/>
      <c r="Q21" s="449">
        <v>33.333043478260869</v>
      </c>
    </row>
    <row r="22" spans="1:17" ht="14.4" customHeight="1" x14ac:dyDescent="0.3">
      <c r="A22" s="427" t="s">
        <v>362</v>
      </c>
      <c r="B22" s="447" t="s">
        <v>324</v>
      </c>
      <c r="C22" s="447" t="s">
        <v>325</v>
      </c>
      <c r="D22" s="447" t="s">
        <v>336</v>
      </c>
      <c r="E22" s="447" t="s">
        <v>337</v>
      </c>
      <c r="F22" s="428">
        <v>39</v>
      </c>
      <c r="G22" s="428">
        <v>13518</v>
      </c>
      <c r="H22" s="428">
        <v>1</v>
      </c>
      <c r="I22" s="428">
        <v>346.61538461538464</v>
      </c>
      <c r="J22" s="428">
        <v>101</v>
      </c>
      <c r="K22" s="428">
        <v>35350</v>
      </c>
      <c r="L22" s="428">
        <v>2.6150318094392659</v>
      </c>
      <c r="M22" s="428">
        <v>350</v>
      </c>
      <c r="N22" s="428">
        <v>95</v>
      </c>
      <c r="O22" s="428">
        <v>35340</v>
      </c>
      <c r="P22" s="448">
        <v>2.6142920550377275</v>
      </c>
      <c r="Q22" s="449">
        <v>372</v>
      </c>
    </row>
    <row r="23" spans="1:17" ht="14.4" customHeight="1" x14ac:dyDescent="0.3">
      <c r="A23" s="427" t="s">
        <v>362</v>
      </c>
      <c r="B23" s="447" t="s">
        <v>324</v>
      </c>
      <c r="C23" s="447" t="s">
        <v>325</v>
      </c>
      <c r="D23" s="447" t="s">
        <v>340</v>
      </c>
      <c r="E23" s="447" t="s">
        <v>341</v>
      </c>
      <c r="F23" s="428">
        <v>10</v>
      </c>
      <c r="G23" s="428">
        <v>2631</v>
      </c>
      <c r="H23" s="428">
        <v>1</v>
      </c>
      <c r="I23" s="428">
        <v>263.10000000000002</v>
      </c>
      <c r="J23" s="428">
        <v>6</v>
      </c>
      <c r="K23" s="428">
        <v>1590</v>
      </c>
      <c r="L23" s="428">
        <v>0.60433295324971492</v>
      </c>
      <c r="M23" s="428">
        <v>265</v>
      </c>
      <c r="N23" s="428">
        <v>17</v>
      </c>
      <c r="O23" s="428">
        <v>4794</v>
      </c>
      <c r="P23" s="448">
        <v>1.8221208665906499</v>
      </c>
      <c r="Q23" s="449">
        <v>282</v>
      </c>
    </row>
    <row r="24" spans="1:17" ht="14.4" customHeight="1" x14ac:dyDescent="0.3">
      <c r="A24" s="427" t="s">
        <v>363</v>
      </c>
      <c r="B24" s="447" t="s">
        <v>324</v>
      </c>
      <c r="C24" s="447" t="s">
        <v>325</v>
      </c>
      <c r="D24" s="447" t="s">
        <v>330</v>
      </c>
      <c r="E24" s="447" t="s">
        <v>331</v>
      </c>
      <c r="F24" s="428">
        <v>8</v>
      </c>
      <c r="G24" s="428">
        <v>4096</v>
      </c>
      <c r="H24" s="428">
        <v>1</v>
      </c>
      <c r="I24" s="428">
        <v>512</v>
      </c>
      <c r="J24" s="428">
        <v>5</v>
      </c>
      <c r="K24" s="428">
        <v>2590</v>
      </c>
      <c r="L24" s="428">
        <v>0.63232421875</v>
      </c>
      <c r="M24" s="428">
        <v>518</v>
      </c>
      <c r="N24" s="428"/>
      <c r="O24" s="428"/>
      <c r="P24" s="448"/>
      <c r="Q24" s="449"/>
    </row>
    <row r="25" spans="1:17" ht="14.4" customHeight="1" x14ac:dyDescent="0.3">
      <c r="A25" s="427" t="s">
        <v>363</v>
      </c>
      <c r="B25" s="447" t="s">
        <v>324</v>
      </c>
      <c r="C25" s="447" t="s">
        <v>325</v>
      </c>
      <c r="D25" s="447" t="s">
        <v>334</v>
      </c>
      <c r="E25" s="447" t="s">
        <v>335</v>
      </c>
      <c r="F25" s="428"/>
      <c r="G25" s="428"/>
      <c r="H25" s="428"/>
      <c r="I25" s="428"/>
      <c r="J25" s="428">
        <v>2</v>
      </c>
      <c r="K25" s="428">
        <v>0</v>
      </c>
      <c r="L25" s="428"/>
      <c r="M25" s="428">
        <v>0</v>
      </c>
      <c r="N25" s="428"/>
      <c r="O25" s="428"/>
      <c r="P25" s="448"/>
      <c r="Q25" s="449"/>
    </row>
    <row r="26" spans="1:17" ht="14.4" customHeight="1" x14ac:dyDescent="0.3">
      <c r="A26" s="427" t="s">
        <v>363</v>
      </c>
      <c r="B26" s="447" t="s">
        <v>324</v>
      </c>
      <c r="C26" s="447" t="s">
        <v>325</v>
      </c>
      <c r="D26" s="447" t="s">
        <v>336</v>
      </c>
      <c r="E26" s="447" t="s">
        <v>337</v>
      </c>
      <c r="F26" s="428"/>
      <c r="G26" s="428"/>
      <c r="H26" s="428"/>
      <c r="I26" s="428"/>
      <c r="J26" s="428">
        <v>1</v>
      </c>
      <c r="K26" s="428">
        <v>350</v>
      </c>
      <c r="L26" s="428"/>
      <c r="M26" s="428">
        <v>350</v>
      </c>
      <c r="N26" s="428"/>
      <c r="O26" s="428"/>
      <c r="P26" s="448"/>
      <c r="Q26" s="449"/>
    </row>
    <row r="27" spans="1:17" ht="14.4" customHeight="1" x14ac:dyDescent="0.3">
      <c r="A27" s="427" t="s">
        <v>363</v>
      </c>
      <c r="B27" s="447" t="s">
        <v>324</v>
      </c>
      <c r="C27" s="447" t="s">
        <v>325</v>
      </c>
      <c r="D27" s="447" t="s">
        <v>340</v>
      </c>
      <c r="E27" s="447" t="s">
        <v>341</v>
      </c>
      <c r="F27" s="428">
        <v>1</v>
      </c>
      <c r="G27" s="428">
        <v>261</v>
      </c>
      <c r="H27" s="428">
        <v>1</v>
      </c>
      <c r="I27" s="428">
        <v>261</v>
      </c>
      <c r="J27" s="428">
        <v>1</v>
      </c>
      <c r="K27" s="428">
        <v>265</v>
      </c>
      <c r="L27" s="428">
        <v>1.0153256704980842</v>
      </c>
      <c r="M27" s="428">
        <v>265</v>
      </c>
      <c r="N27" s="428"/>
      <c r="O27" s="428"/>
      <c r="P27" s="448"/>
      <c r="Q27" s="449"/>
    </row>
    <row r="28" spans="1:17" ht="14.4" customHeight="1" x14ac:dyDescent="0.3">
      <c r="A28" s="427" t="s">
        <v>364</v>
      </c>
      <c r="B28" s="447" t="s">
        <v>324</v>
      </c>
      <c r="C28" s="447" t="s">
        <v>325</v>
      </c>
      <c r="D28" s="447" t="s">
        <v>365</v>
      </c>
      <c r="E28" s="447" t="s">
        <v>366</v>
      </c>
      <c r="F28" s="428">
        <v>1</v>
      </c>
      <c r="G28" s="428">
        <v>131</v>
      </c>
      <c r="H28" s="428">
        <v>1</v>
      </c>
      <c r="I28" s="428">
        <v>131</v>
      </c>
      <c r="J28" s="428">
        <v>2</v>
      </c>
      <c r="K28" s="428">
        <v>266</v>
      </c>
      <c r="L28" s="428">
        <v>2.0305343511450382</v>
      </c>
      <c r="M28" s="428">
        <v>133</v>
      </c>
      <c r="N28" s="428"/>
      <c r="O28" s="428"/>
      <c r="P28" s="448"/>
      <c r="Q28" s="449"/>
    </row>
    <row r="29" spans="1:17" ht="14.4" customHeight="1" x14ac:dyDescent="0.3">
      <c r="A29" s="427" t="s">
        <v>364</v>
      </c>
      <c r="B29" s="447" t="s">
        <v>324</v>
      </c>
      <c r="C29" s="447" t="s">
        <v>325</v>
      </c>
      <c r="D29" s="447" t="s">
        <v>330</v>
      </c>
      <c r="E29" s="447" t="s">
        <v>331</v>
      </c>
      <c r="F29" s="428">
        <v>165</v>
      </c>
      <c r="G29" s="428">
        <v>84868</v>
      </c>
      <c r="H29" s="428">
        <v>1</v>
      </c>
      <c r="I29" s="428">
        <v>514.35151515151517</v>
      </c>
      <c r="J29" s="428">
        <v>265</v>
      </c>
      <c r="K29" s="428">
        <v>137270</v>
      </c>
      <c r="L29" s="428">
        <v>1.6174529858132629</v>
      </c>
      <c r="M29" s="428">
        <v>518</v>
      </c>
      <c r="N29" s="428">
        <v>373</v>
      </c>
      <c r="O29" s="428">
        <v>206269</v>
      </c>
      <c r="P29" s="448">
        <v>2.4304684922467832</v>
      </c>
      <c r="Q29" s="449">
        <v>553</v>
      </c>
    </row>
    <row r="30" spans="1:17" ht="14.4" customHeight="1" x14ac:dyDescent="0.3">
      <c r="A30" s="427" t="s">
        <v>364</v>
      </c>
      <c r="B30" s="447" t="s">
        <v>324</v>
      </c>
      <c r="C30" s="447" t="s">
        <v>325</v>
      </c>
      <c r="D30" s="447" t="s">
        <v>334</v>
      </c>
      <c r="E30" s="447" t="s">
        <v>335</v>
      </c>
      <c r="F30" s="428"/>
      <c r="G30" s="428"/>
      <c r="H30" s="428"/>
      <c r="I30" s="428"/>
      <c r="J30" s="428">
        <v>3</v>
      </c>
      <c r="K30" s="428">
        <v>66.66</v>
      </c>
      <c r="L30" s="428"/>
      <c r="M30" s="428">
        <v>22.22</v>
      </c>
      <c r="N30" s="428">
        <v>1</v>
      </c>
      <c r="O30" s="428">
        <v>33.33</v>
      </c>
      <c r="P30" s="448"/>
      <c r="Q30" s="449">
        <v>33.33</v>
      </c>
    </row>
    <row r="31" spans="1:17" ht="14.4" customHeight="1" x14ac:dyDescent="0.3">
      <c r="A31" s="427" t="s">
        <v>364</v>
      </c>
      <c r="B31" s="447" t="s">
        <v>324</v>
      </c>
      <c r="C31" s="447" t="s">
        <v>325</v>
      </c>
      <c r="D31" s="447" t="s">
        <v>336</v>
      </c>
      <c r="E31" s="447" t="s">
        <v>337</v>
      </c>
      <c r="F31" s="428">
        <v>1</v>
      </c>
      <c r="G31" s="428">
        <v>348</v>
      </c>
      <c r="H31" s="428">
        <v>1</v>
      </c>
      <c r="I31" s="428">
        <v>348</v>
      </c>
      <c r="J31" s="428">
        <v>3</v>
      </c>
      <c r="K31" s="428">
        <v>1050</v>
      </c>
      <c r="L31" s="428">
        <v>3.0172413793103448</v>
      </c>
      <c r="M31" s="428">
        <v>350</v>
      </c>
      <c r="N31" s="428">
        <v>3</v>
      </c>
      <c r="O31" s="428">
        <v>1116</v>
      </c>
      <c r="P31" s="448">
        <v>3.2068965517241379</v>
      </c>
      <c r="Q31" s="449">
        <v>372</v>
      </c>
    </row>
    <row r="32" spans="1:17" ht="14.4" customHeight="1" x14ac:dyDescent="0.3">
      <c r="A32" s="427" t="s">
        <v>364</v>
      </c>
      <c r="B32" s="447" t="s">
        <v>324</v>
      </c>
      <c r="C32" s="447" t="s">
        <v>325</v>
      </c>
      <c r="D32" s="447" t="s">
        <v>340</v>
      </c>
      <c r="E32" s="447" t="s">
        <v>341</v>
      </c>
      <c r="F32" s="428">
        <v>3</v>
      </c>
      <c r="G32" s="428">
        <v>792</v>
      </c>
      <c r="H32" s="428">
        <v>1</v>
      </c>
      <c r="I32" s="428">
        <v>264</v>
      </c>
      <c r="J32" s="428">
        <v>1</v>
      </c>
      <c r="K32" s="428">
        <v>265</v>
      </c>
      <c r="L32" s="428">
        <v>0.33459595959595961</v>
      </c>
      <c r="M32" s="428">
        <v>265</v>
      </c>
      <c r="N32" s="428">
        <v>2</v>
      </c>
      <c r="O32" s="428">
        <v>564</v>
      </c>
      <c r="P32" s="448">
        <v>0.71212121212121215</v>
      </c>
      <c r="Q32" s="449">
        <v>282</v>
      </c>
    </row>
    <row r="33" spans="1:17" ht="14.4" customHeight="1" x14ac:dyDescent="0.3">
      <c r="A33" s="427" t="s">
        <v>367</v>
      </c>
      <c r="B33" s="447" t="s">
        <v>324</v>
      </c>
      <c r="C33" s="447" t="s">
        <v>325</v>
      </c>
      <c r="D33" s="447" t="s">
        <v>365</v>
      </c>
      <c r="E33" s="447" t="s">
        <v>366</v>
      </c>
      <c r="F33" s="428"/>
      <c r="G33" s="428"/>
      <c r="H33" s="428"/>
      <c r="I33" s="428"/>
      <c r="J33" s="428">
        <v>1</v>
      </c>
      <c r="K33" s="428">
        <v>133</v>
      </c>
      <c r="L33" s="428"/>
      <c r="M33" s="428">
        <v>133</v>
      </c>
      <c r="N33" s="428">
        <v>6</v>
      </c>
      <c r="O33" s="428">
        <v>846</v>
      </c>
      <c r="P33" s="448"/>
      <c r="Q33" s="449">
        <v>141</v>
      </c>
    </row>
    <row r="34" spans="1:17" ht="14.4" customHeight="1" x14ac:dyDescent="0.3">
      <c r="A34" s="427" t="s">
        <v>367</v>
      </c>
      <c r="B34" s="447" t="s">
        <v>324</v>
      </c>
      <c r="C34" s="447" t="s">
        <v>325</v>
      </c>
      <c r="D34" s="447" t="s">
        <v>330</v>
      </c>
      <c r="E34" s="447" t="s">
        <v>331</v>
      </c>
      <c r="F34" s="428">
        <v>178</v>
      </c>
      <c r="G34" s="428">
        <v>91360</v>
      </c>
      <c r="H34" s="428">
        <v>1</v>
      </c>
      <c r="I34" s="428">
        <v>513.25842696629218</v>
      </c>
      <c r="J34" s="428">
        <v>191</v>
      </c>
      <c r="K34" s="428">
        <v>98938</v>
      </c>
      <c r="L34" s="428">
        <v>1.0829465849387041</v>
      </c>
      <c r="M34" s="428">
        <v>518</v>
      </c>
      <c r="N34" s="428">
        <v>299</v>
      </c>
      <c r="O34" s="428">
        <v>165347</v>
      </c>
      <c r="P34" s="448">
        <v>1.8098401926444834</v>
      </c>
      <c r="Q34" s="449">
        <v>553</v>
      </c>
    </row>
    <row r="35" spans="1:17" ht="14.4" customHeight="1" x14ac:dyDescent="0.3">
      <c r="A35" s="427" t="s">
        <v>367</v>
      </c>
      <c r="B35" s="447" t="s">
        <v>324</v>
      </c>
      <c r="C35" s="447" t="s">
        <v>325</v>
      </c>
      <c r="D35" s="447" t="s">
        <v>334</v>
      </c>
      <c r="E35" s="447" t="s">
        <v>335</v>
      </c>
      <c r="F35" s="428"/>
      <c r="G35" s="428"/>
      <c r="H35" s="428"/>
      <c r="I35" s="428"/>
      <c r="J35" s="428">
        <v>8</v>
      </c>
      <c r="K35" s="428">
        <v>33.33</v>
      </c>
      <c r="L35" s="428"/>
      <c r="M35" s="428">
        <v>4.1662499999999998</v>
      </c>
      <c r="N35" s="428">
        <v>6</v>
      </c>
      <c r="O35" s="428">
        <v>200</v>
      </c>
      <c r="P35" s="448"/>
      <c r="Q35" s="449">
        <v>33.333333333333336</v>
      </c>
    </row>
    <row r="36" spans="1:17" ht="14.4" customHeight="1" x14ac:dyDescent="0.3">
      <c r="A36" s="427" t="s">
        <v>367</v>
      </c>
      <c r="B36" s="447" t="s">
        <v>324</v>
      </c>
      <c r="C36" s="447" t="s">
        <v>325</v>
      </c>
      <c r="D36" s="447" t="s">
        <v>336</v>
      </c>
      <c r="E36" s="447" t="s">
        <v>337</v>
      </c>
      <c r="F36" s="428">
        <v>1</v>
      </c>
      <c r="G36" s="428">
        <v>345</v>
      </c>
      <c r="H36" s="428">
        <v>1</v>
      </c>
      <c r="I36" s="428">
        <v>345</v>
      </c>
      <c r="J36" s="428">
        <v>5</v>
      </c>
      <c r="K36" s="428">
        <v>1750</v>
      </c>
      <c r="L36" s="428">
        <v>5.0724637681159424</v>
      </c>
      <c r="M36" s="428">
        <v>350</v>
      </c>
      <c r="N36" s="428">
        <v>4</v>
      </c>
      <c r="O36" s="428">
        <v>1488</v>
      </c>
      <c r="P36" s="448">
        <v>4.3130434782608695</v>
      </c>
      <c r="Q36" s="449">
        <v>372</v>
      </c>
    </row>
    <row r="37" spans="1:17" ht="14.4" customHeight="1" x14ac:dyDescent="0.3">
      <c r="A37" s="427" t="s">
        <v>367</v>
      </c>
      <c r="B37" s="447" t="s">
        <v>324</v>
      </c>
      <c r="C37" s="447" t="s">
        <v>325</v>
      </c>
      <c r="D37" s="447" t="s">
        <v>340</v>
      </c>
      <c r="E37" s="447" t="s">
        <v>341</v>
      </c>
      <c r="F37" s="428">
        <v>2</v>
      </c>
      <c r="G37" s="428">
        <v>525</v>
      </c>
      <c r="H37" s="428">
        <v>1</v>
      </c>
      <c r="I37" s="428">
        <v>262.5</v>
      </c>
      <c r="J37" s="428">
        <v>2</v>
      </c>
      <c r="K37" s="428">
        <v>530</v>
      </c>
      <c r="L37" s="428">
        <v>1.0095238095238095</v>
      </c>
      <c r="M37" s="428">
        <v>265</v>
      </c>
      <c r="N37" s="428">
        <v>2</v>
      </c>
      <c r="O37" s="428">
        <v>564</v>
      </c>
      <c r="P37" s="448">
        <v>1.0742857142857143</v>
      </c>
      <c r="Q37" s="449">
        <v>282</v>
      </c>
    </row>
    <row r="38" spans="1:17" ht="14.4" customHeight="1" x14ac:dyDescent="0.3">
      <c r="A38" s="427" t="s">
        <v>368</v>
      </c>
      <c r="B38" s="447" t="s">
        <v>324</v>
      </c>
      <c r="C38" s="447" t="s">
        <v>325</v>
      </c>
      <c r="D38" s="447" t="s">
        <v>330</v>
      </c>
      <c r="E38" s="447" t="s">
        <v>331</v>
      </c>
      <c r="F38" s="428">
        <v>18</v>
      </c>
      <c r="G38" s="428">
        <v>9216</v>
      </c>
      <c r="H38" s="428">
        <v>1</v>
      </c>
      <c r="I38" s="428">
        <v>512</v>
      </c>
      <c r="J38" s="428"/>
      <c r="K38" s="428"/>
      <c r="L38" s="428"/>
      <c r="M38" s="428"/>
      <c r="N38" s="428"/>
      <c r="O38" s="428"/>
      <c r="P38" s="448"/>
      <c r="Q38" s="449"/>
    </row>
    <row r="39" spans="1:17" ht="14.4" customHeight="1" x14ac:dyDescent="0.3">
      <c r="A39" s="427" t="s">
        <v>368</v>
      </c>
      <c r="B39" s="447" t="s">
        <v>324</v>
      </c>
      <c r="C39" s="447" t="s">
        <v>325</v>
      </c>
      <c r="D39" s="447" t="s">
        <v>336</v>
      </c>
      <c r="E39" s="447" t="s">
        <v>337</v>
      </c>
      <c r="F39" s="428">
        <v>1</v>
      </c>
      <c r="G39" s="428">
        <v>345</v>
      </c>
      <c r="H39" s="428">
        <v>1</v>
      </c>
      <c r="I39" s="428">
        <v>345</v>
      </c>
      <c r="J39" s="428"/>
      <c r="K39" s="428"/>
      <c r="L39" s="428"/>
      <c r="M39" s="428"/>
      <c r="N39" s="428"/>
      <c r="O39" s="428"/>
      <c r="P39" s="448"/>
      <c r="Q39" s="449"/>
    </row>
    <row r="40" spans="1:17" ht="14.4" customHeight="1" x14ac:dyDescent="0.3">
      <c r="A40" s="427" t="s">
        <v>369</v>
      </c>
      <c r="B40" s="447" t="s">
        <v>324</v>
      </c>
      <c r="C40" s="447" t="s">
        <v>325</v>
      </c>
      <c r="D40" s="447" t="s">
        <v>330</v>
      </c>
      <c r="E40" s="447" t="s">
        <v>331</v>
      </c>
      <c r="F40" s="428"/>
      <c r="G40" s="428"/>
      <c r="H40" s="428"/>
      <c r="I40" s="428"/>
      <c r="J40" s="428">
        <v>8</v>
      </c>
      <c r="K40" s="428">
        <v>4144</v>
      </c>
      <c r="L40" s="428"/>
      <c r="M40" s="428">
        <v>518</v>
      </c>
      <c r="N40" s="428"/>
      <c r="O40" s="428"/>
      <c r="P40" s="448"/>
      <c r="Q40" s="449"/>
    </row>
    <row r="41" spans="1:17" ht="14.4" customHeight="1" x14ac:dyDescent="0.3">
      <c r="A41" s="427" t="s">
        <v>369</v>
      </c>
      <c r="B41" s="447" t="s">
        <v>324</v>
      </c>
      <c r="C41" s="447" t="s">
        <v>325</v>
      </c>
      <c r="D41" s="447" t="s">
        <v>334</v>
      </c>
      <c r="E41" s="447" t="s">
        <v>335</v>
      </c>
      <c r="F41" s="428"/>
      <c r="G41" s="428"/>
      <c r="H41" s="428"/>
      <c r="I41" s="428"/>
      <c r="J41" s="428">
        <v>1</v>
      </c>
      <c r="K41" s="428">
        <v>33.33</v>
      </c>
      <c r="L41" s="428"/>
      <c r="M41" s="428">
        <v>33.33</v>
      </c>
      <c r="N41" s="428"/>
      <c r="O41" s="428"/>
      <c r="P41" s="448"/>
      <c r="Q41" s="449"/>
    </row>
    <row r="42" spans="1:17" ht="14.4" customHeight="1" x14ac:dyDescent="0.3">
      <c r="A42" s="427" t="s">
        <v>369</v>
      </c>
      <c r="B42" s="447" t="s">
        <v>324</v>
      </c>
      <c r="C42" s="447" t="s">
        <v>325</v>
      </c>
      <c r="D42" s="447" t="s">
        <v>336</v>
      </c>
      <c r="E42" s="447" t="s">
        <v>337</v>
      </c>
      <c r="F42" s="428"/>
      <c r="G42" s="428"/>
      <c r="H42" s="428"/>
      <c r="I42" s="428"/>
      <c r="J42" s="428">
        <v>2</v>
      </c>
      <c r="K42" s="428">
        <v>700</v>
      </c>
      <c r="L42" s="428"/>
      <c r="M42" s="428">
        <v>350</v>
      </c>
      <c r="N42" s="428"/>
      <c r="O42" s="428"/>
      <c r="P42" s="448"/>
      <c r="Q42" s="449"/>
    </row>
    <row r="43" spans="1:17" ht="14.4" customHeight="1" thickBot="1" x14ac:dyDescent="0.35">
      <c r="A43" s="431" t="s">
        <v>370</v>
      </c>
      <c r="B43" s="450" t="s">
        <v>324</v>
      </c>
      <c r="C43" s="450" t="s">
        <v>325</v>
      </c>
      <c r="D43" s="450" t="s">
        <v>330</v>
      </c>
      <c r="E43" s="450" t="s">
        <v>331</v>
      </c>
      <c r="F43" s="377"/>
      <c r="G43" s="377"/>
      <c r="H43" s="377"/>
      <c r="I43" s="377"/>
      <c r="J43" s="377">
        <v>1</v>
      </c>
      <c r="K43" s="377">
        <v>518</v>
      </c>
      <c r="L43" s="377"/>
      <c r="M43" s="377">
        <v>518</v>
      </c>
      <c r="N43" s="377"/>
      <c r="O43" s="377"/>
      <c r="P43" s="378"/>
      <c r="Q43" s="38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1" t="s">
        <v>94</v>
      </c>
      <c r="B1" s="271"/>
      <c r="C1" s="272"/>
      <c r="D1" s="272"/>
      <c r="E1" s="272"/>
    </row>
    <row r="2" spans="1:5" ht="14.4" customHeight="1" thickBot="1" x14ac:dyDescent="0.35">
      <c r="A2" s="195" t="s">
        <v>199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1449.4888936693624</v>
      </c>
      <c r="D4" s="130">
        <f ca="1">IF(ISERROR(VLOOKUP("Náklady celkem",INDIRECT("HI!$A:$G"),5,0)),0,VLOOKUP("Náklady celkem",INDIRECT("HI!$A:$G"),5,0))</f>
        <v>1407.0979</v>
      </c>
      <c r="E4" s="131">
        <f ca="1">IF(C4=0,0,D4/C4)</f>
        <v>0.97075452329817435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2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0.14107503888791667</v>
      </c>
      <c r="D7" s="138">
        <f>IF(ISERROR(HI!E5),"",HI!E5)</f>
        <v>0</v>
      </c>
      <c r="E7" s="135">
        <f t="shared" ref="E7:E12" si="0">IF(C7=0,0,D7/C7)</f>
        <v>0</v>
      </c>
    </row>
    <row r="8" spans="1:5" ht="14.4" customHeight="1" x14ac:dyDescent="0.3">
      <c r="A8" s="258" t="str">
        <f>HYPERLINK("#'LŽ Statim'!A1","Podíl statimových žádanek (max. 30%)")</f>
        <v>Podíl statimových žádanek (max. 30%)</v>
      </c>
      <c r="B8" s="256" t="s">
        <v>168</v>
      </c>
      <c r="C8" s="257">
        <v>0.3</v>
      </c>
      <c r="D8" s="257">
        <f>IF('LŽ Statim'!G3="",0,'LŽ Statim'!G3)</f>
        <v>0</v>
      </c>
      <c r="E8" s="135">
        <f>IF(C8=0,0,D8/C8)</f>
        <v>0</v>
      </c>
    </row>
    <row r="9" spans="1:5" ht="14.4" customHeight="1" x14ac:dyDescent="0.3">
      <c r="A9" s="140" t="s">
        <v>109</v>
      </c>
      <c r="B9" s="137"/>
      <c r="C9" s="138"/>
      <c r="D9" s="138"/>
      <c r="E9" s="135"/>
    </row>
    <row r="10" spans="1:5" ht="14.4" customHeight="1" x14ac:dyDescent="0.3">
      <c r="A10" s="140" t="s">
        <v>110</v>
      </c>
      <c r="B10" s="137"/>
      <c r="C10" s="138"/>
      <c r="D10" s="138"/>
      <c r="E10" s="135"/>
    </row>
    <row r="11" spans="1:5" ht="14.4" customHeight="1" x14ac:dyDescent="0.3">
      <c r="A11" s="141" t="s">
        <v>114</v>
      </c>
      <c r="B11" s="137"/>
      <c r="C11" s="134"/>
      <c r="D11" s="134"/>
      <c r="E11" s="135"/>
    </row>
    <row r="12" spans="1:5" ht="14.4" customHeight="1" x14ac:dyDescent="0.3">
      <c r="A12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7" t="s">
        <v>88</v>
      </c>
      <c r="C12" s="138">
        <f>IF(ISERROR(HI!F6),"",HI!F6)</f>
        <v>0.12056669990125</v>
      </c>
      <c r="D12" s="138">
        <f>IF(ISERROR(HI!E6),"",HI!E6)</f>
        <v>0</v>
      </c>
      <c r="E12" s="135">
        <f t="shared" si="0"/>
        <v>0</v>
      </c>
    </row>
    <row r="13" spans="1:5" ht="14.4" customHeight="1" thickBot="1" x14ac:dyDescent="0.35">
      <c r="A13" s="143" t="str">
        <f>HYPERLINK("#HI!A1","Osobní náklady")</f>
        <v>Osobní náklady</v>
      </c>
      <c r="B13" s="137"/>
      <c r="C13" s="134">
        <f ca="1">IF(ISERROR(VLOOKUP("Osobní náklady (Kč) *",INDIRECT("HI!$A:$G"),6,0)),0,VLOOKUP("Osobní náklady (Kč) *",INDIRECT("HI!$A:$G"),6,0))</f>
        <v>1357.9170409841083</v>
      </c>
      <c r="D13" s="134">
        <f ca="1">IF(ISERROR(VLOOKUP("Osobní náklady (Kč) *",INDIRECT("HI!$A:$G"),5,0)),0,VLOOKUP("Osobní náklady (Kč) *",INDIRECT("HI!$A:$G"),5,0))</f>
        <v>1310.9047700000001</v>
      </c>
      <c r="E13" s="135">
        <f ca="1">IF(C13=0,0,D13/C13)</f>
        <v>0.9653791287941732</v>
      </c>
    </row>
    <row r="14" spans="1:5" ht="14.4" customHeight="1" thickBot="1" x14ac:dyDescent="0.35">
      <c r="A14" s="147"/>
      <c r="B14" s="148"/>
      <c r="C14" s="149"/>
      <c r="D14" s="149"/>
      <c r="E14" s="150"/>
    </row>
    <row r="15" spans="1:5" ht="14.4" customHeight="1" thickBot="1" x14ac:dyDescent="0.35">
      <c r="A15" s="151" t="str">
        <f>HYPERLINK("#HI!A1","VÝNOSY CELKEM (v tisících)")</f>
        <v>VÝNOSY CELKEM (v tisících)</v>
      </c>
      <c r="B15" s="152"/>
      <c r="C15" s="153">
        <f ca="1">IF(ISERROR(VLOOKUP("Výnosy celkem",INDIRECT("HI!$A:$G"),6,0)),0,VLOOKUP("Výnosy celkem",INDIRECT("HI!$A:$G"),6,0))</f>
        <v>303.50700000000001</v>
      </c>
      <c r="D15" s="153">
        <f ca="1">IF(ISERROR(VLOOKUP("Výnosy celkem",INDIRECT("HI!$A:$G"),5,0)),0,VLOOKUP("Výnosy celkem",INDIRECT("HI!$A:$G"),5,0))</f>
        <v>344.63233000000002</v>
      </c>
      <c r="E15" s="154">
        <f t="shared" ref="E15:E18" ca="1" si="1">IF(C15=0,0,D15/C15)</f>
        <v>1.1355004332684255</v>
      </c>
    </row>
    <row r="16" spans="1:5" ht="14.4" customHeight="1" x14ac:dyDescent="0.3">
      <c r="A16" s="155" t="str">
        <f>HYPERLINK("#HI!A1","Ambulance (body za výkony + Kč za ZUM a ZULP)")</f>
        <v>Ambulance (body za výkony + Kč za ZUM a ZULP)</v>
      </c>
      <c r="B16" s="133"/>
      <c r="C16" s="134">
        <f ca="1">IF(ISERROR(VLOOKUP("Ambulance *",INDIRECT("HI!$A:$G"),6,0)),0,VLOOKUP("Ambulance *",INDIRECT("HI!$A:$G"),6,0))</f>
        <v>303.50700000000001</v>
      </c>
      <c r="D16" s="134">
        <f ca="1">IF(ISERROR(VLOOKUP("Ambulance *",INDIRECT("HI!$A:$G"),5,0)),0,VLOOKUP("Ambulance *",INDIRECT("HI!$A:$G"),5,0))</f>
        <v>344.63233000000002</v>
      </c>
      <c r="E16" s="135">
        <f t="shared" ca="1" si="1"/>
        <v>1.1355004332684255</v>
      </c>
    </row>
    <row r="17" spans="1:5" ht="14.4" customHeight="1" x14ac:dyDescent="0.3">
      <c r="A17" s="156" t="str">
        <f>HYPERLINK("#'ZV Vykáz.-A'!A1","Zdravotní výkony vykázané u ambulantních pacientů (min. 100 %)")</f>
        <v>Zdravotní výkony vykázané u ambulantních pacientů (min. 100 %)</v>
      </c>
      <c r="B17" s="120" t="s">
        <v>96</v>
      </c>
      <c r="C17" s="139">
        <v>1</v>
      </c>
      <c r="D17" s="139">
        <f>IF(ISERROR(VLOOKUP("Celkem:",'ZV Vykáz.-A'!$A:$S,7,0)),"",VLOOKUP("Celkem:",'ZV Vykáz.-A'!$A:$S,7,0))</f>
        <v>1.1355004332684255</v>
      </c>
      <c r="E17" s="135">
        <f t="shared" si="1"/>
        <v>1.1355004332684255</v>
      </c>
    </row>
    <row r="18" spans="1:5" ht="14.4" customHeight="1" x14ac:dyDescent="0.3">
      <c r="A18" s="156" t="str">
        <f>HYPERLINK("#'ZV Vykáz.-H'!A1","Zdravotní výkony vykázané u hospitalizovaných pacientů (max. 85 %)")</f>
        <v>Zdravotní výkony vykázané u hospitalizovaných pacientů (max. 85 %)</v>
      </c>
      <c r="B18" s="120" t="s">
        <v>98</v>
      </c>
      <c r="C18" s="139">
        <v>0.85</v>
      </c>
      <c r="D18" s="139">
        <f>IF(ISERROR(VLOOKUP("Celkem:",'ZV Vykáz.-H'!$A:$S,7,0)),"",VLOOKUP("Celkem:",'ZV Vykáz.-H'!$A:$S,7,0))</f>
        <v>1.9427373562575154</v>
      </c>
      <c r="E18" s="135">
        <f t="shared" si="1"/>
        <v>2.2855733603029593</v>
      </c>
    </row>
    <row r="19" spans="1:5" ht="14.4" customHeight="1" x14ac:dyDescent="0.3">
      <c r="A19" s="157" t="str">
        <f>HYPERLINK("#HI!A1","Hospitalizace (casemix * 30000)")</f>
        <v>Hospitalizace (casemix * 30000)</v>
      </c>
      <c r="B19" s="137"/>
      <c r="C19" s="134">
        <f ca="1">IF(ISERROR(VLOOKUP("Hospitalizace *",INDIRECT("HI!$A:$G"),6,0)),0,VLOOKUP("Hospitalizace *",INDIRECT("HI!$A:$G"),6,0))</f>
        <v>0</v>
      </c>
      <c r="D19" s="134">
        <f ca="1">IF(ISERROR(VLOOKUP("Hospitalizace *",INDIRECT("HI!$A:$G"),5,0)),0,VLOOKUP("Hospitalizace *",INDIRECT("HI!$A:$G"),5,0))</f>
        <v>0</v>
      </c>
      <c r="E19" s="135">
        <f ca="1">IF(C19=0,0,D19/C19)</f>
        <v>0</v>
      </c>
    </row>
    <row r="20" spans="1:5" ht="14.4" customHeight="1" thickBot="1" x14ac:dyDescent="0.35">
      <c r="A20" s="158" t="s">
        <v>111</v>
      </c>
      <c r="B20" s="144"/>
      <c r="C20" s="145"/>
      <c r="D20" s="145"/>
      <c r="E20" s="146"/>
    </row>
    <row r="21" spans="1:5" ht="14.4" customHeight="1" thickBot="1" x14ac:dyDescent="0.35">
      <c r="A21" s="159"/>
      <c r="B21" s="160"/>
      <c r="C21" s="161"/>
      <c r="D21" s="161"/>
      <c r="E21" s="162"/>
    </row>
    <row r="22" spans="1:5" ht="14.4" customHeight="1" thickBot="1" x14ac:dyDescent="0.35">
      <c r="A22" s="163" t="s">
        <v>112</v>
      </c>
      <c r="B22" s="164"/>
      <c r="C22" s="165"/>
      <c r="D22" s="165"/>
      <c r="E22" s="166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6" priority="20" operator="lessThan">
      <formula>1</formula>
    </cfRule>
  </conditionalFormatting>
  <conditionalFormatting sqref="E8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1" t="s">
        <v>103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95" t="s">
        <v>199</v>
      </c>
      <c r="B2" s="83"/>
      <c r="C2" s="83"/>
      <c r="D2" s="83"/>
      <c r="E2" s="83"/>
      <c r="F2" s="83"/>
    </row>
    <row r="3" spans="1:8" ht="14.4" customHeight="1" x14ac:dyDescent="0.3">
      <c r="A3" s="273"/>
      <c r="B3" s="79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50</v>
      </c>
      <c r="C4" s="276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0.14107503888791667</v>
      </c>
      <c r="G5" s="88">
        <f>E5-F5</f>
        <v>-0.14107503888791667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0.12056669990125</v>
      </c>
      <c r="G6" s="91">
        <f>E6-F6</f>
        <v>-0.12056669990125</v>
      </c>
      <c r="H6" s="95">
        <f>IF(F6&lt;0.00000001,"",E6/F6)</f>
        <v>0</v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1027.1674200000009</v>
      </c>
      <c r="C7" s="31">
        <v>1209.981970000001</v>
      </c>
      <c r="D7" s="8"/>
      <c r="E7" s="90">
        <v>1310.9047700000001</v>
      </c>
      <c r="F7" s="30">
        <v>1357.9170409841083</v>
      </c>
      <c r="G7" s="91">
        <f>E7-F7</f>
        <v>-47.012270984108227</v>
      </c>
      <c r="H7" s="95">
        <f>IF(F7&lt;0.00000001,"",E7/F7)</f>
        <v>0.9653791287941732</v>
      </c>
    </row>
    <row r="8" spans="1:8" ht="14.4" customHeight="1" thickBot="1" x14ac:dyDescent="0.35">
      <c r="A8" s="1" t="s">
        <v>53</v>
      </c>
      <c r="B8" s="11">
        <v>97.321150000000216</v>
      </c>
      <c r="C8" s="33">
        <v>98.769800000000259</v>
      </c>
      <c r="D8" s="8"/>
      <c r="E8" s="92">
        <v>96.193129999999883</v>
      </c>
      <c r="F8" s="32">
        <v>91.310210946464878</v>
      </c>
      <c r="G8" s="93">
        <f>E8-F8</f>
        <v>4.8829190535350051</v>
      </c>
      <c r="H8" s="96">
        <f>IF(F8&lt;0.00000001,"",E8/F8)</f>
        <v>1.0534761556557772</v>
      </c>
    </row>
    <row r="9" spans="1:8" ht="14.4" customHeight="1" thickBot="1" x14ac:dyDescent="0.35">
      <c r="A9" s="2" t="s">
        <v>54</v>
      </c>
      <c r="B9" s="3">
        <v>1124.4885700000011</v>
      </c>
      <c r="C9" s="35">
        <v>1308.7517700000012</v>
      </c>
      <c r="D9" s="8"/>
      <c r="E9" s="3">
        <v>1407.0979</v>
      </c>
      <c r="F9" s="34">
        <v>1449.4888936693624</v>
      </c>
      <c r="G9" s="34">
        <f>E9-F9</f>
        <v>-42.390993669362388</v>
      </c>
      <c r="H9" s="97">
        <f>IF(F9&lt;0.00000001,"",E9/F9)</f>
        <v>0.97075452329817435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303.50700000000001</v>
      </c>
      <c r="C11" s="29">
        <f>IF(ISERROR(VLOOKUP("Celkem:",'ZV Vykáz.-A'!A:F,4,0)),0,VLOOKUP("Celkem:",'ZV Vykáz.-A'!A:F,4,0)/1000)</f>
        <v>352.36233000000004</v>
      </c>
      <c r="D11" s="8"/>
      <c r="E11" s="89">
        <f>IF(ISERROR(VLOOKUP("Celkem:",'ZV Vykáz.-A'!A:F,6,0)),0,VLOOKUP("Celkem:",'ZV Vykáz.-A'!A:F,6,0)/1000)</f>
        <v>344.63233000000002</v>
      </c>
      <c r="F11" s="28">
        <f>B11</f>
        <v>303.50700000000001</v>
      </c>
      <c r="G11" s="88">
        <f>E11-F11</f>
        <v>41.125330000000019</v>
      </c>
      <c r="H11" s="94">
        <f>IF(F11&lt;0.00000001,"",E11/F11)</f>
        <v>1.1355004332684255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303.50700000000001</v>
      </c>
      <c r="C13" s="37">
        <f>SUM(C11:C12)</f>
        <v>352.36233000000004</v>
      </c>
      <c r="D13" s="8"/>
      <c r="E13" s="5">
        <f>SUM(E11:E12)</f>
        <v>344.63233000000002</v>
      </c>
      <c r="F13" s="36">
        <f>SUM(F11:F12)</f>
        <v>303.50700000000001</v>
      </c>
      <c r="G13" s="36">
        <f>E13-F13</f>
        <v>41.125330000000019</v>
      </c>
      <c r="H13" s="98">
        <f>IF(F13&lt;0.00000001,"",E13/F13)</f>
        <v>1.1355004332684255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0.26990670078576229</v>
      </c>
      <c r="C15" s="39">
        <f>IF(C9=0,"",C13/C9)</f>
        <v>0.26923541811141138</v>
      </c>
      <c r="D15" s="8"/>
      <c r="E15" s="6">
        <f>IF(E9=0,"",E13/E9)</f>
        <v>0.24492420179150295</v>
      </c>
      <c r="F15" s="38">
        <f>IF(F9=0,"",F13/F9)</f>
        <v>0.20938897933303646</v>
      </c>
      <c r="G15" s="38">
        <f>IF(ISERROR(F15-E15),"",E15-F15)</f>
        <v>3.5535222458466492E-2</v>
      </c>
      <c r="H15" s="99">
        <f>IF(ISERROR(F15-E15),"",IF(F15&lt;0.00000001,"",E15/F15))</f>
        <v>1.16970913450964</v>
      </c>
    </row>
    <row r="17" spans="1:8" ht="14.4" customHeight="1" x14ac:dyDescent="0.3">
      <c r="A17" s="85" t="s">
        <v>115</v>
      </c>
    </row>
    <row r="18" spans="1:8" ht="14.4" customHeight="1" x14ac:dyDescent="0.3">
      <c r="A18" s="234" t="s">
        <v>145</v>
      </c>
      <c r="B18" s="235"/>
      <c r="C18" s="235"/>
      <c r="D18" s="235"/>
      <c r="E18" s="235"/>
      <c r="F18" s="235"/>
      <c r="G18" s="235"/>
      <c r="H18" s="235"/>
    </row>
    <row r="19" spans="1:8" x14ac:dyDescent="0.3">
      <c r="A19" s="233" t="s">
        <v>144</v>
      </c>
      <c r="B19" s="235"/>
      <c r="C19" s="235"/>
      <c r="D19" s="235"/>
      <c r="E19" s="235"/>
      <c r="F19" s="235"/>
      <c r="G19" s="235"/>
      <c r="H19" s="235"/>
    </row>
    <row r="20" spans="1:8" ht="14.4" customHeight="1" x14ac:dyDescent="0.3">
      <c r="A20" s="86" t="s">
        <v>169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198</v>
      </c>
    </row>
    <row r="23" spans="1:8" ht="14.4" customHeight="1" x14ac:dyDescent="0.3">
      <c r="A23" s="87" t="s">
        <v>117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1" t="s">
        <v>81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4.4" customHeight="1" x14ac:dyDescent="0.3">
      <c r="A2" s="195" t="s">
        <v>199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0.19360538290798482</v>
      </c>
      <c r="C4" s="170">
        <f t="shared" ref="C4:M4" si="0">(C10+C8)/C6</f>
        <v>0.19521907273863118</v>
      </c>
      <c r="D4" s="170">
        <f t="shared" si="0"/>
        <v>0.22973765095439277</v>
      </c>
      <c r="E4" s="170">
        <f t="shared" si="0"/>
        <v>0.24500753423192762</v>
      </c>
      <c r="F4" s="170">
        <f t="shared" si="0"/>
        <v>0.24492418757785081</v>
      </c>
      <c r="G4" s="170">
        <f t="shared" si="0"/>
        <v>0.24492418757785081</v>
      </c>
      <c r="H4" s="170">
        <f t="shared" si="0"/>
        <v>0.24492418757785081</v>
      </c>
      <c r="I4" s="170">
        <f t="shared" si="0"/>
        <v>0.24492418757785081</v>
      </c>
      <c r="J4" s="170">
        <f t="shared" si="0"/>
        <v>0.24492418757785081</v>
      </c>
      <c r="K4" s="170">
        <f t="shared" si="0"/>
        <v>0.24492418757785081</v>
      </c>
      <c r="L4" s="170">
        <f t="shared" si="0"/>
        <v>0.24492418757785081</v>
      </c>
      <c r="M4" s="170">
        <f t="shared" si="0"/>
        <v>0.24492418757785081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265.13549999999998</v>
      </c>
      <c r="C5" s="170">
        <f>IF(ISERROR(VLOOKUP($A5,'Man Tab'!$A:$Q,COLUMN()+2,0)),0,VLOOKUP($A5,'Man Tab'!$A:$Q,COLUMN()+2,0))</f>
        <v>288.12662999999998</v>
      </c>
      <c r="D5" s="170">
        <f>IF(ISERROR(VLOOKUP($A5,'Man Tab'!$A:$Q,COLUMN()+2,0)),0,VLOOKUP($A5,'Man Tab'!$A:$Q,COLUMN()+2,0))</f>
        <v>287.78991000000002</v>
      </c>
      <c r="E5" s="170">
        <f>IF(ISERROR(VLOOKUP($A5,'Man Tab'!$A:$Q,COLUMN()+2,0)),0,VLOOKUP($A5,'Man Tab'!$A:$Q,COLUMN()+2,0))</f>
        <v>285.87106</v>
      </c>
      <c r="F5" s="170">
        <f>IF(ISERROR(VLOOKUP($A5,'Man Tab'!$A:$Q,COLUMN()+2,0)),0,VLOOKUP($A5,'Man Tab'!$A:$Q,COLUMN()+2,0))</f>
        <v>280.1748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265.13549999999998</v>
      </c>
      <c r="C6" s="172">
        <f t="shared" ref="C6:M6" si="1">C5+B6</f>
        <v>553.26212999999996</v>
      </c>
      <c r="D6" s="172">
        <f t="shared" si="1"/>
        <v>841.05204000000003</v>
      </c>
      <c r="E6" s="172">
        <f t="shared" si="1"/>
        <v>1126.9231</v>
      </c>
      <c r="F6" s="172">
        <f t="shared" si="1"/>
        <v>1407.0979</v>
      </c>
      <c r="G6" s="172">
        <f t="shared" si="1"/>
        <v>1407.0979</v>
      </c>
      <c r="H6" s="172">
        <f t="shared" si="1"/>
        <v>1407.0979</v>
      </c>
      <c r="I6" s="172">
        <f t="shared" si="1"/>
        <v>1407.0979</v>
      </c>
      <c r="J6" s="172">
        <f t="shared" si="1"/>
        <v>1407.0979</v>
      </c>
      <c r="K6" s="172">
        <f t="shared" si="1"/>
        <v>1407.0979</v>
      </c>
      <c r="L6" s="172">
        <f t="shared" si="1"/>
        <v>1407.0979</v>
      </c>
      <c r="M6" s="172">
        <f t="shared" si="1"/>
        <v>1407.0979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51331.66</v>
      </c>
      <c r="C9" s="171">
        <v>56675.66</v>
      </c>
      <c r="D9" s="171">
        <v>85214</v>
      </c>
      <c r="E9" s="171">
        <v>82883.33</v>
      </c>
      <c r="F9" s="171">
        <v>68527.66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51.331660000000007</v>
      </c>
      <c r="C10" s="172">
        <f t="shared" ref="C10:M10" si="3">C9/1000+B10</f>
        <v>108.00732000000001</v>
      </c>
      <c r="D10" s="172">
        <f t="shared" si="3"/>
        <v>193.22131999999999</v>
      </c>
      <c r="E10" s="172">
        <f t="shared" si="3"/>
        <v>276.10464999999999</v>
      </c>
      <c r="F10" s="172">
        <f t="shared" si="3"/>
        <v>344.63230999999996</v>
      </c>
      <c r="G10" s="172">
        <f t="shared" si="3"/>
        <v>344.63230999999996</v>
      </c>
      <c r="H10" s="172">
        <f t="shared" si="3"/>
        <v>344.63230999999996</v>
      </c>
      <c r="I10" s="172">
        <f t="shared" si="3"/>
        <v>344.63230999999996</v>
      </c>
      <c r="J10" s="172">
        <f t="shared" si="3"/>
        <v>344.63230999999996</v>
      </c>
      <c r="K10" s="172">
        <f t="shared" si="3"/>
        <v>344.63230999999996</v>
      </c>
      <c r="L10" s="172">
        <f t="shared" si="3"/>
        <v>344.63230999999996</v>
      </c>
      <c r="M10" s="172">
        <f t="shared" si="3"/>
        <v>344.63230999999996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5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0.20938897933303646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0.20938897933303646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80" t="s">
        <v>201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73" customFormat="1" ht="14.4" customHeight="1" thickBot="1" x14ac:dyDescent="0.3">
      <c r="A2" s="195" t="s">
        <v>199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1" t="s">
        <v>6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10"/>
      <c r="Q3" s="112"/>
    </row>
    <row r="4" spans="1:17" ht="14.4" customHeight="1" x14ac:dyDescent="0.3">
      <c r="A4" s="60"/>
      <c r="B4" s="20">
        <v>2016</v>
      </c>
      <c r="C4" s="111" t="s">
        <v>7</v>
      </c>
      <c r="D4" s="101" t="s">
        <v>178</v>
      </c>
      <c r="E4" s="101" t="s">
        <v>179</v>
      </c>
      <c r="F4" s="101" t="s">
        <v>180</v>
      </c>
      <c r="G4" s="101" t="s">
        <v>181</v>
      </c>
      <c r="H4" s="101" t="s">
        <v>182</v>
      </c>
      <c r="I4" s="101" t="s">
        <v>183</v>
      </c>
      <c r="J4" s="101" t="s">
        <v>184</v>
      </c>
      <c r="K4" s="101" t="s">
        <v>185</v>
      </c>
      <c r="L4" s="101" t="s">
        <v>186</v>
      </c>
      <c r="M4" s="101" t="s">
        <v>187</v>
      </c>
      <c r="N4" s="101" t="s">
        <v>188</v>
      </c>
      <c r="O4" s="101" t="s">
        <v>189</v>
      </c>
      <c r="P4" s="283" t="s">
        <v>3</v>
      </c>
      <c r="Q4" s="284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200</v>
      </c>
    </row>
    <row r="7" spans="1:17" ht="14.4" customHeight="1" x14ac:dyDescent="0.3">
      <c r="A7" s="15" t="s">
        <v>12</v>
      </c>
      <c r="B7" s="46">
        <v>0.33858009333099998</v>
      </c>
      <c r="C7" s="47">
        <v>2.8215007776999999E-2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200</v>
      </c>
    </row>
    <row r="9" spans="1:17" ht="14.4" customHeight="1" x14ac:dyDescent="0.3">
      <c r="A9" s="15" t="s">
        <v>14</v>
      </c>
      <c r="B9" s="46">
        <v>0.28936007976299999</v>
      </c>
      <c r="C9" s="47">
        <v>2.4113339979999999E-2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200</v>
      </c>
    </row>
    <row r="11" spans="1:17" ht="14.4" customHeight="1" x14ac:dyDescent="0.3">
      <c r="A11" s="15" t="s">
        <v>16</v>
      </c>
      <c r="B11" s="46">
        <v>9.8668194953920008</v>
      </c>
      <c r="C11" s="47">
        <v>0.82223495794900003</v>
      </c>
      <c r="D11" s="47">
        <v>2.0853999999999999</v>
      </c>
      <c r="E11" s="47">
        <v>1.57389</v>
      </c>
      <c r="F11" s="47">
        <v>0.30249999999999999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3.9617900000000001</v>
      </c>
      <c r="Q11" s="70">
        <v>0.96366372207700002</v>
      </c>
    </row>
    <row r="12" spans="1:17" ht="14.4" customHeight="1" x14ac:dyDescent="0.3">
      <c r="A12" s="15" t="s">
        <v>17</v>
      </c>
      <c r="B12" s="46">
        <v>0.121002909528</v>
      </c>
      <c r="C12" s="47">
        <v>1.0083575794E-2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200</v>
      </c>
    </row>
    <row r="14" spans="1:17" ht="14.4" customHeight="1" x14ac:dyDescent="0.3">
      <c r="A14" s="15" t="s">
        <v>19</v>
      </c>
      <c r="B14" s="46">
        <v>142.169560738618</v>
      </c>
      <c r="C14" s="47">
        <v>11.847463394884</v>
      </c>
      <c r="D14" s="47">
        <v>18.408000000000001</v>
      </c>
      <c r="E14" s="47">
        <v>13.744999999999999</v>
      </c>
      <c r="F14" s="47">
        <v>15.207000000000001</v>
      </c>
      <c r="G14" s="47">
        <v>11.855</v>
      </c>
      <c r="H14" s="47">
        <v>9.9689999999999994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69.183999999999997</v>
      </c>
      <c r="Q14" s="70">
        <v>1.1679124500160001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200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200</v>
      </c>
    </row>
    <row r="17" spans="1:17" ht="14.4" customHeight="1" x14ac:dyDescent="0.3">
      <c r="A17" s="15" t="s">
        <v>22</v>
      </c>
      <c r="B17" s="46">
        <v>3.559076679176</v>
      </c>
      <c r="C17" s="47">
        <v>0.29658972326400002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200</v>
      </c>
    </row>
    <row r="19" spans="1:17" ht="14.4" customHeight="1" x14ac:dyDescent="0.3">
      <c r="A19" s="15" t="s">
        <v>24</v>
      </c>
      <c r="B19" s="46">
        <v>28.072430349047998</v>
      </c>
      <c r="C19" s="47">
        <v>2.3393691957540002</v>
      </c>
      <c r="D19" s="47">
        <v>2.8977200000000001</v>
      </c>
      <c r="E19" s="47">
        <v>1.72668</v>
      </c>
      <c r="F19" s="47">
        <v>3.5070800000000002</v>
      </c>
      <c r="G19" s="47">
        <v>4.8144099999999996</v>
      </c>
      <c r="H19" s="47">
        <v>1.89645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14.84234</v>
      </c>
      <c r="Q19" s="70">
        <v>1.2689181363019999</v>
      </c>
    </row>
    <row r="20" spans="1:17" ht="14.4" customHeight="1" x14ac:dyDescent="0.3">
      <c r="A20" s="15" t="s">
        <v>25</v>
      </c>
      <c r="B20" s="46">
        <v>3259.00089836186</v>
      </c>
      <c r="C20" s="47">
        <v>271.58340819682201</v>
      </c>
      <c r="D20" s="47">
        <v>240.10337999999999</v>
      </c>
      <c r="E20" s="47">
        <v>269.44006000000002</v>
      </c>
      <c r="F20" s="47">
        <v>267.13233000000002</v>
      </c>
      <c r="G20" s="47">
        <v>267.56065000000001</v>
      </c>
      <c r="H20" s="47">
        <v>266.66834999999998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1310.9047700000001</v>
      </c>
      <c r="Q20" s="70">
        <v>0.96537912879400001</v>
      </c>
    </row>
    <row r="21" spans="1:17" ht="14.4" customHeight="1" x14ac:dyDescent="0.3">
      <c r="A21" s="16" t="s">
        <v>26</v>
      </c>
      <c r="B21" s="46">
        <v>20.000049892724999</v>
      </c>
      <c r="C21" s="47">
        <v>1.666670824393</v>
      </c>
      <c r="D21" s="47">
        <v>1.641</v>
      </c>
      <c r="E21" s="47">
        <v>1.641</v>
      </c>
      <c r="F21" s="47">
        <v>1.641</v>
      </c>
      <c r="G21" s="47">
        <v>1.641</v>
      </c>
      <c r="H21" s="47">
        <v>1.641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8.2050000000000001</v>
      </c>
      <c r="Q21" s="70">
        <v>0.98459754378700004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200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/>
    </row>
    <row r="24" spans="1:17" ht="14.4" customHeight="1" x14ac:dyDescent="0.3">
      <c r="A24" s="16" t="s">
        <v>29</v>
      </c>
      <c r="B24" s="46">
        <v>15.355566207023999</v>
      </c>
      <c r="C24" s="47">
        <v>1.2796305172519999</v>
      </c>
      <c r="D24" s="47">
        <v>-5.6843418860808002E-14</v>
      </c>
      <c r="E24" s="47">
        <v>-5.6843418860808002E-14</v>
      </c>
      <c r="F24" s="47">
        <v>-5.6843418860808002E-14</v>
      </c>
      <c r="G24" s="47">
        <v>-5.6843418860808002E-14</v>
      </c>
      <c r="H24" s="47">
        <v>-5.6843418860808002E-14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-2.8421709430404002E-13</v>
      </c>
      <c r="Q24" s="70">
        <v>-4.4421743694325099E-14</v>
      </c>
    </row>
    <row r="25" spans="1:17" ht="14.4" customHeight="1" x14ac:dyDescent="0.3">
      <c r="A25" s="17" t="s">
        <v>30</v>
      </c>
      <c r="B25" s="49">
        <v>3478.77334480647</v>
      </c>
      <c r="C25" s="50">
        <v>289.897778733873</v>
      </c>
      <c r="D25" s="50">
        <v>265.13549999999998</v>
      </c>
      <c r="E25" s="50">
        <v>288.12662999999998</v>
      </c>
      <c r="F25" s="50">
        <v>287.78991000000002</v>
      </c>
      <c r="G25" s="50">
        <v>285.87106</v>
      </c>
      <c r="H25" s="50">
        <v>280.1748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1407.0979</v>
      </c>
      <c r="Q25" s="71">
        <v>0.97075452329800005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34.589320000000001</v>
      </c>
      <c r="E26" s="47">
        <v>32.792200000000001</v>
      </c>
      <c r="F26" s="47">
        <v>36.041350000000001</v>
      </c>
      <c r="G26" s="47">
        <v>36.84863</v>
      </c>
      <c r="H26" s="47">
        <v>32.499490000000002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172.77099000000001</v>
      </c>
      <c r="Q26" s="70" t="s">
        <v>200</v>
      </c>
    </row>
    <row r="27" spans="1:17" ht="14.4" customHeight="1" x14ac:dyDescent="0.3">
      <c r="A27" s="18" t="s">
        <v>32</v>
      </c>
      <c r="B27" s="49">
        <v>3478.77334480647</v>
      </c>
      <c r="C27" s="50">
        <v>289.897778733873</v>
      </c>
      <c r="D27" s="50">
        <v>299.72482000000002</v>
      </c>
      <c r="E27" s="50">
        <v>320.91883000000001</v>
      </c>
      <c r="F27" s="50">
        <v>323.83125999999999</v>
      </c>
      <c r="G27" s="50">
        <v>322.71969000000001</v>
      </c>
      <c r="H27" s="50">
        <v>312.67428999999998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1579.86889</v>
      </c>
      <c r="Q27" s="71">
        <v>1.089948944693</v>
      </c>
    </row>
    <row r="28" spans="1:17" ht="14.4" customHeight="1" x14ac:dyDescent="0.3">
      <c r="A28" s="16" t="s">
        <v>33</v>
      </c>
      <c r="B28" s="46">
        <v>0.96145865957300003</v>
      </c>
      <c r="C28" s="47">
        <v>8.0121554964000002E-2</v>
      </c>
      <c r="D28" s="47">
        <v>0</v>
      </c>
      <c r="E28" s="47">
        <v>0</v>
      </c>
      <c r="F28" s="47">
        <v>0</v>
      </c>
      <c r="G28" s="47">
        <v>0.57393000000000005</v>
      </c>
      <c r="H28" s="47">
        <v>0.19131000000000001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0.76524000000000003</v>
      </c>
      <c r="Q28" s="70">
        <v>1.9101975750210001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200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200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190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0" t="s">
        <v>38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9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1" t="s">
        <v>39</v>
      </c>
      <c r="C3" s="282"/>
      <c r="D3" s="282"/>
      <c r="E3" s="282"/>
      <c r="F3" s="288" t="s">
        <v>40</v>
      </c>
      <c r="G3" s="282"/>
      <c r="H3" s="282"/>
      <c r="I3" s="282"/>
      <c r="J3" s="282"/>
      <c r="K3" s="289"/>
    </row>
    <row r="4" spans="1:11" ht="14.4" customHeight="1" x14ac:dyDescent="0.3">
      <c r="A4" s="60"/>
      <c r="B4" s="286"/>
      <c r="C4" s="287"/>
      <c r="D4" s="287"/>
      <c r="E4" s="287"/>
      <c r="F4" s="290" t="s">
        <v>195</v>
      </c>
      <c r="G4" s="292" t="s">
        <v>41</v>
      </c>
      <c r="H4" s="113" t="s">
        <v>107</v>
      </c>
      <c r="I4" s="290" t="s">
        <v>42</v>
      </c>
      <c r="J4" s="292" t="s">
        <v>172</v>
      </c>
      <c r="K4" s="293" t="s">
        <v>197</v>
      </c>
    </row>
    <row r="5" spans="1:11" ht="42" thickBot="1" x14ac:dyDescent="0.35">
      <c r="A5" s="61"/>
      <c r="B5" s="24" t="s">
        <v>191</v>
      </c>
      <c r="C5" s="25" t="s">
        <v>192</v>
      </c>
      <c r="D5" s="26" t="s">
        <v>193</v>
      </c>
      <c r="E5" s="26" t="s">
        <v>194</v>
      </c>
      <c r="F5" s="291"/>
      <c r="G5" s="291"/>
      <c r="H5" s="25" t="s">
        <v>196</v>
      </c>
      <c r="I5" s="291"/>
      <c r="J5" s="291"/>
      <c r="K5" s="294"/>
    </row>
    <row r="6" spans="1:11" ht="14.4" customHeight="1" thickBot="1" x14ac:dyDescent="0.35">
      <c r="A6" s="352" t="s">
        <v>202</v>
      </c>
      <c r="B6" s="334">
        <v>3338.2951753785601</v>
      </c>
      <c r="C6" s="334">
        <v>3579.7256400000001</v>
      </c>
      <c r="D6" s="335">
        <v>241.43046462144201</v>
      </c>
      <c r="E6" s="336">
        <v>1.07232148505</v>
      </c>
      <c r="F6" s="334">
        <v>3478.77334480647</v>
      </c>
      <c r="G6" s="335">
        <v>1449.4888936693601</v>
      </c>
      <c r="H6" s="337">
        <v>280.1748</v>
      </c>
      <c r="I6" s="334">
        <v>1407.0979</v>
      </c>
      <c r="J6" s="335">
        <v>-42.390993669362999</v>
      </c>
      <c r="K6" s="338">
        <v>0.40448105137399998</v>
      </c>
    </row>
    <row r="7" spans="1:11" ht="14.4" customHeight="1" thickBot="1" x14ac:dyDescent="0.35">
      <c r="A7" s="353" t="s">
        <v>203</v>
      </c>
      <c r="B7" s="334">
        <v>165.03438528450999</v>
      </c>
      <c r="C7" s="334">
        <v>159.03882999999999</v>
      </c>
      <c r="D7" s="335">
        <v>-5.9955552845089999</v>
      </c>
      <c r="E7" s="336">
        <v>0.96367087213799996</v>
      </c>
      <c r="F7" s="334">
        <v>152.78532331663399</v>
      </c>
      <c r="G7" s="335">
        <v>63.660551381929999</v>
      </c>
      <c r="H7" s="337">
        <v>9.9689999999999994</v>
      </c>
      <c r="I7" s="334">
        <v>73.145790000000005</v>
      </c>
      <c r="J7" s="335">
        <v>9.4852386180689994</v>
      </c>
      <c r="K7" s="338">
        <v>0.47874879871999998</v>
      </c>
    </row>
    <row r="8" spans="1:11" ht="14.4" customHeight="1" thickBot="1" x14ac:dyDescent="0.35">
      <c r="A8" s="354" t="s">
        <v>204</v>
      </c>
      <c r="B8" s="334">
        <v>17.260189119102002</v>
      </c>
      <c r="C8" s="334">
        <v>13.970829999999999</v>
      </c>
      <c r="D8" s="335">
        <v>-3.289359119102</v>
      </c>
      <c r="E8" s="336">
        <v>0.80942508240099997</v>
      </c>
      <c r="F8" s="334">
        <v>10.615762578016</v>
      </c>
      <c r="G8" s="335">
        <v>4.4232344075060004</v>
      </c>
      <c r="H8" s="337">
        <v>0</v>
      </c>
      <c r="I8" s="334">
        <v>3.9617900000000001</v>
      </c>
      <c r="J8" s="335">
        <v>-0.46144440750600002</v>
      </c>
      <c r="K8" s="338">
        <v>0.37319881364000002</v>
      </c>
    </row>
    <row r="9" spans="1:11" ht="14.4" customHeight="1" thickBot="1" x14ac:dyDescent="0.35">
      <c r="A9" s="355" t="s">
        <v>205</v>
      </c>
      <c r="B9" s="339">
        <v>0</v>
      </c>
      <c r="C9" s="339">
        <v>0.33857999999999999</v>
      </c>
      <c r="D9" s="340">
        <v>0.33857999999999999</v>
      </c>
      <c r="E9" s="341" t="s">
        <v>206</v>
      </c>
      <c r="F9" s="339">
        <v>0.33858009333099998</v>
      </c>
      <c r="G9" s="340">
        <v>0.14107503888799999</v>
      </c>
      <c r="H9" s="342">
        <v>0</v>
      </c>
      <c r="I9" s="339">
        <v>0</v>
      </c>
      <c r="J9" s="340">
        <v>-0.14107503888799999</v>
      </c>
      <c r="K9" s="343">
        <v>0</v>
      </c>
    </row>
    <row r="10" spans="1:11" ht="14.4" customHeight="1" thickBot="1" x14ac:dyDescent="0.35">
      <c r="A10" s="356" t="s">
        <v>207</v>
      </c>
      <c r="B10" s="334">
        <v>0</v>
      </c>
      <c r="C10" s="334">
        <v>0.33857999999999999</v>
      </c>
      <c r="D10" s="335">
        <v>0.33857999999999999</v>
      </c>
      <c r="E10" s="344" t="s">
        <v>206</v>
      </c>
      <c r="F10" s="334">
        <v>0.33858009333099998</v>
      </c>
      <c r="G10" s="335">
        <v>0.14107503888799999</v>
      </c>
      <c r="H10" s="337">
        <v>0</v>
      </c>
      <c r="I10" s="334">
        <v>0</v>
      </c>
      <c r="J10" s="335">
        <v>-0.14107503888799999</v>
      </c>
      <c r="K10" s="338">
        <v>0</v>
      </c>
    </row>
    <row r="11" spans="1:11" ht="14.4" customHeight="1" thickBot="1" x14ac:dyDescent="0.35">
      <c r="A11" s="355" t="s">
        <v>208</v>
      </c>
      <c r="B11" s="339">
        <v>0</v>
      </c>
      <c r="C11" s="339">
        <v>1.01122</v>
      </c>
      <c r="D11" s="340">
        <v>1.01122</v>
      </c>
      <c r="E11" s="341" t="s">
        <v>206</v>
      </c>
      <c r="F11" s="339">
        <v>0.28936007976299999</v>
      </c>
      <c r="G11" s="340">
        <v>0.120566699901</v>
      </c>
      <c r="H11" s="342">
        <v>0</v>
      </c>
      <c r="I11" s="339">
        <v>0</v>
      </c>
      <c r="J11" s="340">
        <v>-0.120566699901</v>
      </c>
      <c r="K11" s="343">
        <v>0</v>
      </c>
    </row>
    <row r="12" spans="1:11" ht="14.4" customHeight="1" thickBot="1" x14ac:dyDescent="0.35">
      <c r="A12" s="356" t="s">
        <v>209</v>
      </c>
      <c r="B12" s="334">
        <v>0</v>
      </c>
      <c r="C12" s="334">
        <v>0.28936000000000001</v>
      </c>
      <c r="D12" s="335">
        <v>0.28936000000000001</v>
      </c>
      <c r="E12" s="344" t="s">
        <v>206</v>
      </c>
      <c r="F12" s="334">
        <v>0.28936007976299999</v>
      </c>
      <c r="G12" s="335">
        <v>0.120566699901</v>
      </c>
      <c r="H12" s="337">
        <v>0</v>
      </c>
      <c r="I12" s="334">
        <v>0</v>
      </c>
      <c r="J12" s="335">
        <v>-0.120566699901</v>
      </c>
      <c r="K12" s="338">
        <v>0</v>
      </c>
    </row>
    <row r="13" spans="1:11" ht="14.4" customHeight="1" thickBot="1" x14ac:dyDescent="0.35">
      <c r="A13" s="356" t="s">
        <v>210</v>
      </c>
      <c r="B13" s="334">
        <v>0</v>
      </c>
      <c r="C13" s="334">
        <v>0.72185999999999995</v>
      </c>
      <c r="D13" s="335">
        <v>0.72185999999999995</v>
      </c>
      <c r="E13" s="344" t="s">
        <v>206</v>
      </c>
      <c r="F13" s="334">
        <v>0</v>
      </c>
      <c r="G13" s="335">
        <v>0</v>
      </c>
      <c r="H13" s="337">
        <v>0</v>
      </c>
      <c r="I13" s="334">
        <v>0</v>
      </c>
      <c r="J13" s="335">
        <v>0</v>
      </c>
      <c r="K13" s="345" t="s">
        <v>200</v>
      </c>
    </row>
    <row r="14" spans="1:11" ht="14.4" customHeight="1" thickBot="1" x14ac:dyDescent="0.35">
      <c r="A14" s="355" t="s">
        <v>211</v>
      </c>
      <c r="B14" s="339">
        <v>13.260189245092</v>
      </c>
      <c r="C14" s="339">
        <v>9.5557800000000004</v>
      </c>
      <c r="D14" s="340">
        <v>-3.7044092450920001</v>
      </c>
      <c r="E14" s="346">
        <v>0.72063677398299997</v>
      </c>
      <c r="F14" s="339">
        <v>9.8668194953920008</v>
      </c>
      <c r="G14" s="340">
        <v>4.1111747897460003</v>
      </c>
      <c r="H14" s="342">
        <v>0</v>
      </c>
      <c r="I14" s="339">
        <v>3.9617900000000001</v>
      </c>
      <c r="J14" s="340">
        <v>-0.149384789746</v>
      </c>
      <c r="K14" s="343">
        <v>0.401526550865</v>
      </c>
    </row>
    <row r="15" spans="1:11" ht="14.4" customHeight="1" thickBot="1" x14ac:dyDescent="0.35">
      <c r="A15" s="356" t="s">
        <v>212</v>
      </c>
      <c r="B15" s="334">
        <v>0</v>
      </c>
      <c r="C15" s="334">
        <v>1.3</v>
      </c>
      <c r="D15" s="335">
        <v>1.3</v>
      </c>
      <c r="E15" s="344" t="s">
        <v>206</v>
      </c>
      <c r="F15" s="334">
        <v>1.2087396550159999</v>
      </c>
      <c r="G15" s="335">
        <v>0.50364152292300002</v>
      </c>
      <c r="H15" s="337">
        <v>0</v>
      </c>
      <c r="I15" s="334">
        <v>0</v>
      </c>
      <c r="J15" s="335">
        <v>-0.50364152292300002</v>
      </c>
      <c r="K15" s="338">
        <v>0</v>
      </c>
    </row>
    <row r="16" spans="1:11" ht="14.4" customHeight="1" thickBot="1" x14ac:dyDescent="0.35">
      <c r="A16" s="356" t="s">
        <v>213</v>
      </c>
      <c r="B16" s="334">
        <v>3.8952225394590001</v>
      </c>
      <c r="C16" s="334">
        <v>1.2397199999999999</v>
      </c>
      <c r="D16" s="335">
        <v>-2.6555025394589999</v>
      </c>
      <c r="E16" s="336">
        <v>0.31826679668199997</v>
      </c>
      <c r="F16" s="334">
        <v>1.253218695985</v>
      </c>
      <c r="G16" s="335">
        <v>0.52217445665999995</v>
      </c>
      <c r="H16" s="337">
        <v>0</v>
      </c>
      <c r="I16" s="334">
        <v>0.78552999999999995</v>
      </c>
      <c r="J16" s="335">
        <v>0.26335554333900002</v>
      </c>
      <c r="K16" s="338">
        <v>0.626809991357</v>
      </c>
    </row>
    <row r="17" spans="1:11" ht="14.4" customHeight="1" thickBot="1" x14ac:dyDescent="0.35">
      <c r="A17" s="356" t="s">
        <v>214</v>
      </c>
      <c r="B17" s="334">
        <v>5.9999998110139998</v>
      </c>
      <c r="C17" s="334">
        <v>3.5371299999999999</v>
      </c>
      <c r="D17" s="335">
        <v>-2.4628698110139999</v>
      </c>
      <c r="E17" s="336">
        <v>0.58952168523500004</v>
      </c>
      <c r="F17" s="334">
        <v>3.3807647808249999</v>
      </c>
      <c r="G17" s="335">
        <v>1.40865199201</v>
      </c>
      <c r="H17" s="337">
        <v>0</v>
      </c>
      <c r="I17" s="334">
        <v>2.3831099999999998</v>
      </c>
      <c r="J17" s="335">
        <v>0.97445800798899995</v>
      </c>
      <c r="K17" s="338">
        <v>0.70490263431400002</v>
      </c>
    </row>
    <row r="18" spans="1:11" ht="14.4" customHeight="1" thickBot="1" x14ac:dyDescent="0.35">
      <c r="A18" s="356" t="s">
        <v>215</v>
      </c>
      <c r="B18" s="334">
        <v>0.99999996850200001</v>
      </c>
      <c r="C18" s="334">
        <v>2.4467500000000002</v>
      </c>
      <c r="D18" s="335">
        <v>1.4467500314970001</v>
      </c>
      <c r="E18" s="336">
        <v>2.446750077066</v>
      </c>
      <c r="F18" s="334">
        <v>2.693286883941</v>
      </c>
      <c r="G18" s="335">
        <v>1.122202868309</v>
      </c>
      <c r="H18" s="337">
        <v>0</v>
      </c>
      <c r="I18" s="334">
        <v>0</v>
      </c>
      <c r="J18" s="335">
        <v>-1.122202868309</v>
      </c>
      <c r="K18" s="338">
        <v>0</v>
      </c>
    </row>
    <row r="19" spans="1:11" ht="14.4" customHeight="1" thickBot="1" x14ac:dyDescent="0.35">
      <c r="A19" s="356" t="s">
        <v>216</v>
      </c>
      <c r="B19" s="334">
        <v>1.364966957614</v>
      </c>
      <c r="C19" s="334">
        <v>0.97409999999999997</v>
      </c>
      <c r="D19" s="335">
        <v>-0.39086695761399998</v>
      </c>
      <c r="E19" s="336">
        <v>0.71364364870899999</v>
      </c>
      <c r="F19" s="334">
        <v>1.2840284721099999</v>
      </c>
      <c r="G19" s="335">
        <v>0.53501186337899997</v>
      </c>
      <c r="H19" s="337">
        <v>0</v>
      </c>
      <c r="I19" s="334">
        <v>0.54449999999999998</v>
      </c>
      <c r="J19" s="335">
        <v>9.4881366200000004E-3</v>
      </c>
      <c r="K19" s="338">
        <v>0.42405601731300002</v>
      </c>
    </row>
    <row r="20" spans="1:11" ht="14.4" customHeight="1" thickBot="1" x14ac:dyDescent="0.35">
      <c r="A20" s="356" t="s">
        <v>217</v>
      </c>
      <c r="B20" s="334">
        <v>0.99999996850200001</v>
      </c>
      <c r="C20" s="334">
        <v>5.808E-2</v>
      </c>
      <c r="D20" s="335">
        <v>-0.94191996850199999</v>
      </c>
      <c r="E20" s="336">
        <v>5.8080001829E-2</v>
      </c>
      <c r="F20" s="334">
        <v>4.6781007513000003E-2</v>
      </c>
      <c r="G20" s="335">
        <v>1.9492086463000002E-2</v>
      </c>
      <c r="H20" s="337">
        <v>0</v>
      </c>
      <c r="I20" s="334">
        <v>0.24865000000000001</v>
      </c>
      <c r="J20" s="335">
        <v>0.22915791353600001</v>
      </c>
      <c r="K20" s="338">
        <v>0</v>
      </c>
    </row>
    <row r="21" spans="1:11" ht="14.4" customHeight="1" thickBot="1" x14ac:dyDescent="0.35">
      <c r="A21" s="355" t="s">
        <v>218</v>
      </c>
      <c r="B21" s="339">
        <v>0.99999996850200001</v>
      </c>
      <c r="C21" s="339">
        <v>0.1042</v>
      </c>
      <c r="D21" s="340">
        <v>-0.89579996850200005</v>
      </c>
      <c r="E21" s="346">
        <v>0.10420000328200001</v>
      </c>
      <c r="F21" s="339">
        <v>0.121002909528</v>
      </c>
      <c r="G21" s="340">
        <v>5.0417878970000003E-2</v>
      </c>
      <c r="H21" s="342">
        <v>0</v>
      </c>
      <c r="I21" s="339">
        <v>0</v>
      </c>
      <c r="J21" s="340">
        <v>-5.0417878970000003E-2</v>
      </c>
      <c r="K21" s="343">
        <v>0</v>
      </c>
    </row>
    <row r="22" spans="1:11" ht="14.4" customHeight="1" thickBot="1" x14ac:dyDescent="0.35">
      <c r="A22" s="356" t="s">
        <v>219</v>
      </c>
      <c r="B22" s="334">
        <v>0.99999996850200001</v>
      </c>
      <c r="C22" s="334">
        <v>0.1042</v>
      </c>
      <c r="D22" s="335">
        <v>-0.89579996850200005</v>
      </c>
      <c r="E22" s="336">
        <v>0.10420000328200001</v>
      </c>
      <c r="F22" s="334">
        <v>0.121002909528</v>
      </c>
      <c r="G22" s="335">
        <v>5.0417878970000003E-2</v>
      </c>
      <c r="H22" s="337">
        <v>0</v>
      </c>
      <c r="I22" s="334">
        <v>0</v>
      </c>
      <c r="J22" s="335">
        <v>-5.0417878970000003E-2</v>
      </c>
      <c r="K22" s="338">
        <v>0</v>
      </c>
    </row>
    <row r="23" spans="1:11" ht="14.4" customHeight="1" thickBot="1" x14ac:dyDescent="0.35">
      <c r="A23" s="355" t="s">
        <v>220</v>
      </c>
      <c r="B23" s="339">
        <v>2.9999999055069999</v>
      </c>
      <c r="C23" s="339">
        <v>2.9610500000000002</v>
      </c>
      <c r="D23" s="340">
        <v>-3.8949905506999997E-2</v>
      </c>
      <c r="E23" s="346">
        <v>0.98701669775500001</v>
      </c>
      <c r="F23" s="339">
        <v>0</v>
      </c>
      <c r="G23" s="340">
        <v>0</v>
      </c>
      <c r="H23" s="342">
        <v>0</v>
      </c>
      <c r="I23" s="339">
        <v>0</v>
      </c>
      <c r="J23" s="340">
        <v>0</v>
      </c>
      <c r="K23" s="347" t="s">
        <v>200</v>
      </c>
    </row>
    <row r="24" spans="1:11" ht="14.4" customHeight="1" thickBot="1" x14ac:dyDescent="0.35">
      <c r="A24" s="356" t="s">
        <v>221</v>
      </c>
      <c r="B24" s="334">
        <v>2.9999999055069999</v>
      </c>
      <c r="C24" s="334">
        <v>2.9610500000000002</v>
      </c>
      <c r="D24" s="335">
        <v>-3.8949905506999997E-2</v>
      </c>
      <c r="E24" s="336">
        <v>0.98701669775500001</v>
      </c>
      <c r="F24" s="334">
        <v>0</v>
      </c>
      <c r="G24" s="335">
        <v>0</v>
      </c>
      <c r="H24" s="337">
        <v>0</v>
      </c>
      <c r="I24" s="334">
        <v>0</v>
      </c>
      <c r="J24" s="335">
        <v>0</v>
      </c>
      <c r="K24" s="345" t="s">
        <v>200</v>
      </c>
    </row>
    <row r="25" spans="1:11" ht="14.4" customHeight="1" thickBot="1" x14ac:dyDescent="0.35">
      <c r="A25" s="354" t="s">
        <v>19</v>
      </c>
      <c r="B25" s="334">
        <v>147.77419616540701</v>
      </c>
      <c r="C25" s="334">
        <v>145.06800000000001</v>
      </c>
      <c r="D25" s="335">
        <v>-2.7061961654069999</v>
      </c>
      <c r="E25" s="336">
        <v>0.98168695052499999</v>
      </c>
      <c r="F25" s="334">
        <v>142.169560738618</v>
      </c>
      <c r="G25" s="335">
        <v>59.237316974423997</v>
      </c>
      <c r="H25" s="337">
        <v>9.9689999999999994</v>
      </c>
      <c r="I25" s="334">
        <v>69.183999999999997</v>
      </c>
      <c r="J25" s="335">
        <v>9.9466830255750001</v>
      </c>
      <c r="K25" s="338">
        <v>0.48663018750600001</v>
      </c>
    </row>
    <row r="26" spans="1:11" ht="14.4" customHeight="1" thickBot="1" x14ac:dyDescent="0.35">
      <c r="A26" s="355" t="s">
        <v>222</v>
      </c>
      <c r="B26" s="339">
        <v>147.77419616540701</v>
      </c>
      <c r="C26" s="339">
        <v>145.06800000000001</v>
      </c>
      <c r="D26" s="340">
        <v>-2.7061961654069999</v>
      </c>
      <c r="E26" s="346">
        <v>0.98168695052499999</v>
      </c>
      <c r="F26" s="339">
        <v>142.169560738618</v>
      </c>
      <c r="G26" s="340">
        <v>59.237316974423997</v>
      </c>
      <c r="H26" s="342">
        <v>9.9689999999999994</v>
      </c>
      <c r="I26" s="339">
        <v>69.183999999999997</v>
      </c>
      <c r="J26" s="340">
        <v>9.9466830255750001</v>
      </c>
      <c r="K26" s="343">
        <v>0.48663018750600001</v>
      </c>
    </row>
    <row r="27" spans="1:11" ht="14.4" customHeight="1" thickBot="1" x14ac:dyDescent="0.35">
      <c r="A27" s="356" t="s">
        <v>223</v>
      </c>
      <c r="B27" s="334">
        <v>26.774199976613001</v>
      </c>
      <c r="C27" s="334">
        <v>26.776</v>
      </c>
      <c r="D27" s="335">
        <v>1.800023386E-3</v>
      </c>
      <c r="E27" s="336">
        <v>1.0000672297719999</v>
      </c>
      <c r="F27" s="334">
        <v>26.417295829295998</v>
      </c>
      <c r="G27" s="335">
        <v>11.00720659554</v>
      </c>
      <c r="H27" s="337">
        <v>1.9970000000000001</v>
      </c>
      <c r="I27" s="334">
        <v>9.8520000000000003</v>
      </c>
      <c r="J27" s="335">
        <v>-1.1552065955399999</v>
      </c>
      <c r="K27" s="338">
        <v>0.37293749003100002</v>
      </c>
    </row>
    <row r="28" spans="1:11" ht="14.4" customHeight="1" thickBot="1" x14ac:dyDescent="0.35">
      <c r="A28" s="356" t="s">
        <v>224</v>
      </c>
      <c r="B28" s="334">
        <v>59.999998110145</v>
      </c>
      <c r="C28" s="334">
        <v>53.572000000000003</v>
      </c>
      <c r="D28" s="335">
        <v>-6.4279981101450003</v>
      </c>
      <c r="E28" s="336">
        <v>0.89286669478900005</v>
      </c>
      <c r="F28" s="334">
        <v>51.881260178536998</v>
      </c>
      <c r="G28" s="335">
        <v>21.617191741056999</v>
      </c>
      <c r="H28" s="337">
        <v>4.7140000000000004</v>
      </c>
      <c r="I28" s="334">
        <v>24.023</v>
      </c>
      <c r="J28" s="335">
        <v>2.4058082589419998</v>
      </c>
      <c r="K28" s="338">
        <v>0.46303809732700002</v>
      </c>
    </row>
    <row r="29" spans="1:11" ht="14.4" customHeight="1" thickBot="1" x14ac:dyDescent="0.35">
      <c r="A29" s="356" t="s">
        <v>225</v>
      </c>
      <c r="B29" s="334">
        <v>60.999998078647998</v>
      </c>
      <c r="C29" s="334">
        <v>64.72</v>
      </c>
      <c r="D29" s="335">
        <v>3.7200019213509998</v>
      </c>
      <c r="E29" s="336">
        <v>1.0609836399749999</v>
      </c>
      <c r="F29" s="334">
        <v>63.871004730784001</v>
      </c>
      <c r="G29" s="335">
        <v>26.612918637825999</v>
      </c>
      <c r="H29" s="337">
        <v>3.258</v>
      </c>
      <c r="I29" s="334">
        <v>35.308999999999997</v>
      </c>
      <c r="J29" s="335">
        <v>8.6960813621730004</v>
      </c>
      <c r="K29" s="338">
        <v>0.55281735662099996</v>
      </c>
    </row>
    <row r="30" spans="1:11" ht="14.4" customHeight="1" thickBot="1" x14ac:dyDescent="0.35">
      <c r="A30" s="357" t="s">
        <v>226</v>
      </c>
      <c r="B30" s="339">
        <v>41.260925698005998</v>
      </c>
      <c r="C30" s="339">
        <v>30.501090000000001</v>
      </c>
      <c r="D30" s="340">
        <v>-10.759835698006</v>
      </c>
      <c r="E30" s="346">
        <v>0.73922456861999997</v>
      </c>
      <c r="F30" s="339">
        <v>31.631507028224998</v>
      </c>
      <c r="G30" s="340">
        <v>13.179794595093</v>
      </c>
      <c r="H30" s="342">
        <v>1.89645</v>
      </c>
      <c r="I30" s="339">
        <v>14.84234</v>
      </c>
      <c r="J30" s="340">
        <v>1.662545404906</v>
      </c>
      <c r="K30" s="343">
        <v>0.46922645787099998</v>
      </c>
    </row>
    <row r="31" spans="1:11" ht="14.4" customHeight="1" thickBot="1" x14ac:dyDescent="0.35">
      <c r="A31" s="354" t="s">
        <v>22</v>
      </c>
      <c r="B31" s="334">
        <v>13.559512816128001</v>
      </c>
      <c r="C31" s="334">
        <v>3.1000200000000002</v>
      </c>
      <c r="D31" s="335">
        <v>-10.459492816128</v>
      </c>
      <c r="E31" s="336">
        <v>0.228623258227</v>
      </c>
      <c r="F31" s="334">
        <v>3.559076679176</v>
      </c>
      <c r="G31" s="335">
        <v>1.4829486163229999</v>
      </c>
      <c r="H31" s="337">
        <v>0</v>
      </c>
      <c r="I31" s="334">
        <v>0</v>
      </c>
      <c r="J31" s="335">
        <v>-1.4829486163229999</v>
      </c>
      <c r="K31" s="338">
        <v>0</v>
      </c>
    </row>
    <row r="32" spans="1:11" ht="14.4" customHeight="1" thickBot="1" x14ac:dyDescent="0.35">
      <c r="A32" s="358" t="s">
        <v>227</v>
      </c>
      <c r="B32" s="334">
        <v>13.559512816128001</v>
      </c>
      <c r="C32" s="334">
        <v>3.1000200000000002</v>
      </c>
      <c r="D32" s="335">
        <v>-10.459492816128</v>
      </c>
      <c r="E32" s="336">
        <v>0.228623258227</v>
      </c>
      <c r="F32" s="334">
        <v>3.559076679176</v>
      </c>
      <c r="G32" s="335">
        <v>1.4829486163229999</v>
      </c>
      <c r="H32" s="337">
        <v>0</v>
      </c>
      <c r="I32" s="334">
        <v>0</v>
      </c>
      <c r="J32" s="335">
        <v>-1.4829486163229999</v>
      </c>
      <c r="K32" s="338">
        <v>0</v>
      </c>
    </row>
    <row r="33" spans="1:11" ht="14.4" customHeight="1" thickBot="1" x14ac:dyDescent="0.35">
      <c r="A33" s="356" t="s">
        <v>228</v>
      </c>
      <c r="B33" s="334">
        <v>11.999999622029</v>
      </c>
      <c r="C33" s="334">
        <v>2.1901000000000002</v>
      </c>
      <c r="D33" s="335">
        <v>-9.8098996220290005</v>
      </c>
      <c r="E33" s="336">
        <v>0.182508339081</v>
      </c>
      <c r="F33" s="334">
        <v>2.250851173724</v>
      </c>
      <c r="G33" s="335">
        <v>0.93785465571799997</v>
      </c>
      <c r="H33" s="337">
        <v>0</v>
      </c>
      <c r="I33" s="334">
        <v>0</v>
      </c>
      <c r="J33" s="335">
        <v>-0.93785465571799997</v>
      </c>
      <c r="K33" s="338">
        <v>0</v>
      </c>
    </row>
    <row r="34" spans="1:11" ht="14.4" customHeight="1" thickBot="1" x14ac:dyDescent="0.35">
      <c r="A34" s="356" t="s">
        <v>229</v>
      </c>
      <c r="B34" s="334">
        <v>1.5595131940989999</v>
      </c>
      <c r="C34" s="334">
        <v>0.90991999999899997</v>
      </c>
      <c r="D34" s="335">
        <v>-0.64959319409899996</v>
      </c>
      <c r="E34" s="336">
        <v>0.58346412421600002</v>
      </c>
      <c r="F34" s="334">
        <v>1.308225505452</v>
      </c>
      <c r="G34" s="335">
        <v>0.54509396060500004</v>
      </c>
      <c r="H34" s="337">
        <v>0</v>
      </c>
      <c r="I34" s="334">
        <v>0</v>
      </c>
      <c r="J34" s="335">
        <v>-0.54509396060500004</v>
      </c>
      <c r="K34" s="338">
        <v>0</v>
      </c>
    </row>
    <row r="35" spans="1:11" ht="14.4" customHeight="1" thickBot="1" x14ac:dyDescent="0.35">
      <c r="A35" s="359" t="s">
        <v>23</v>
      </c>
      <c r="B35" s="339">
        <v>0</v>
      </c>
      <c r="C35" s="339">
        <v>4.8620000000000001</v>
      </c>
      <c r="D35" s="340">
        <v>4.8620000000000001</v>
      </c>
      <c r="E35" s="341" t="s">
        <v>200</v>
      </c>
      <c r="F35" s="339">
        <v>0</v>
      </c>
      <c r="G35" s="340">
        <v>0</v>
      </c>
      <c r="H35" s="342">
        <v>0</v>
      </c>
      <c r="I35" s="339">
        <v>0</v>
      </c>
      <c r="J35" s="340">
        <v>0</v>
      </c>
      <c r="K35" s="347" t="s">
        <v>200</v>
      </c>
    </row>
    <row r="36" spans="1:11" ht="14.4" customHeight="1" thickBot="1" x14ac:dyDescent="0.35">
      <c r="A36" s="355" t="s">
        <v>230</v>
      </c>
      <c r="B36" s="339">
        <v>0</v>
      </c>
      <c r="C36" s="339">
        <v>4.8620000000000001</v>
      </c>
      <c r="D36" s="340">
        <v>4.8620000000000001</v>
      </c>
      <c r="E36" s="341" t="s">
        <v>200</v>
      </c>
      <c r="F36" s="339">
        <v>0</v>
      </c>
      <c r="G36" s="340">
        <v>0</v>
      </c>
      <c r="H36" s="342">
        <v>0</v>
      </c>
      <c r="I36" s="339">
        <v>0</v>
      </c>
      <c r="J36" s="340">
        <v>0</v>
      </c>
      <c r="K36" s="347" t="s">
        <v>200</v>
      </c>
    </row>
    <row r="37" spans="1:11" ht="14.4" customHeight="1" thickBot="1" x14ac:dyDescent="0.35">
      <c r="A37" s="356" t="s">
        <v>231</v>
      </c>
      <c r="B37" s="334">
        <v>0</v>
      </c>
      <c r="C37" s="334">
        <v>4.8620000000000001</v>
      </c>
      <c r="D37" s="335">
        <v>4.8620000000000001</v>
      </c>
      <c r="E37" s="344" t="s">
        <v>200</v>
      </c>
      <c r="F37" s="334">
        <v>0</v>
      </c>
      <c r="G37" s="335">
        <v>0</v>
      </c>
      <c r="H37" s="337">
        <v>0</v>
      </c>
      <c r="I37" s="334">
        <v>0</v>
      </c>
      <c r="J37" s="335">
        <v>0</v>
      </c>
      <c r="K37" s="345" t="s">
        <v>200</v>
      </c>
    </row>
    <row r="38" spans="1:11" ht="14.4" customHeight="1" thickBot="1" x14ac:dyDescent="0.35">
      <c r="A38" s="354" t="s">
        <v>24</v>
      </c>
      <c r="B38" s="334">
        <v>27.701412881877999</v>
      </c>
      <c r="C38" s="334">
        <v>22.539069999999999</v>
      </c>
      <c r="D38" s="335">
        <v>-5.1623428818769996</v>
      </c>
      <c r="E38" s="336">
        <v>0.81364333639200004</v>
      </c>
      <c r="F38" s="334">
        <v>28.072430349047998</v>
      </c>
      <c r="G38" s="335">
        <v>11.69684597877</v>
      </c>
      <c r="H38" s="337">
        <v>1.89645</v>
      </c>
      <c r="I38" s="334">
        <v>14.84234</v>
      </c>
      <c r="J38" s="335">
        <v>3.1454940212290001</v>
      </c>
      <c r="K38" s="338">
        <v>0.52871589012599995</v>
      </c>
    </row>
    <row r="39" spans="1:11" ht="14.4" customHeight="1" thickBot="1" x14ac:dyDescent="0.35">
      <c r="A39" s="355" t="s">
        <v>232</v>
      </c>
      <c r="B39" s="339">
        <v>0.10588701725000001</v>
      </c>
      <c r="C39" s="339">
        <v>0.27300000000000002</v>
      </c>
      <c r="D39" s="340">
        <v>0.16711298274899999</v>
      </c>
      <c r="E39" s="346">
        <v>2.5782197580939998</v>
      </c>
      <c r="F39" s="339">
        <v>0.125354437259</v>
      </c>
      <c r="G39" s="340">
        <v>5.2231015524000002E-2</v>
      </c>
      <c r="H39" s="342">
        <v>0</v>
      </c>
      <c r="I39" s="339">
        <v>0</v>
      </c>
      <c r="J39" s="340">
        <v>-5.2231015524000002E-2</v>
      </c>
      <c r="K39" s="343">
        <v>0</v>
      </c>
    </row>
    <row r="40" spans="1:11" ht="14.4" customHeight="1" thickBot="1" x14ac:dyDescent="0.35">
      <c r="A40" s="356" t="s">
        <v>233</v>
      </c>
      <c r="B40" s="334">
        <v>0.10588701725000001</v>
      </c>
      <c r="C40" s="334">
        <v>0.27300000000000002</v>
      </c>
      <c r="D40" s="335">
        <v>0.16711298274899999</v>
      </c>
      <c r="E40" s="336">
        <v>2.5782197580939998</v>
      </c>
      <c r="F40" s="334">
        <v>0.125354437259</v>
      </c>
      <c r="G40" s="335">
        <v>5.2231015524000002E-2</v>
      </c>
      <c r="H40" s="337">
        <v>0</v>
      </c>
      <c r="I40" s="334">
        <v>0</v>
      </c>
      <c r="J40" s="335">
        <v>-5.2231015524000002E-2</v>
      </c>
      <c r="K40" s="338">
        <v>0</v>
      </c>
    </row>
    <row r="41" spans="1:11" ht="14.4" customHeight="1" thickBot="1" x14ac:dyDescent="0.35">
      <c r="A41" s="355" t="s">
        <v>234</v>
      </c>
      <c r="B41" s="339">
        <v>7.0273589625220003</v>
      </c>
      <c r="C41" s="339">
        <v>1.28616</v>
      </c>
      <c r="D41" s="340">
        <v>-5.7411989625219997</v>
      </c>
      <c r="E41" s="346">
        <v>0.18302181614099999</v>
      </c>
      <c r="F41" s="339">
        <v>1.338401306695</v>
      </c>
      <c r="G41" s="340">
        <v>0.557667211123</v>
      </c>
      <c r="H41" s="342">
        <v>0.40838000000000002</v>
      </c>
      <c r="I41" s="339">
        <v>2.2698299999999998</v>
      </c>
      <c r="J41" s="340">
        <v>1.712162788876</v>
      </c>
      <c r="K41" s="343">
        <v>1.695926317946</v>
      </c>
    </row>
    <row r="42" spans="1:11" ht="14.4" customHeight="1" thickBot="1" x14ac:dyDescent="0.35">
      <c r="A42" s="356" t="s">
        <v>235</v>
      </c>
      <c r="B42" s="334">
        <v>0.22710996989500001</v>
      </c>
      <c r="C42" s="334">
        <v>0.1273</v>
      </c>
      <c r="D42" s="335">
        <v>-9.9809969895000003E-2</v>
      </c>
      <c r="E42" s="336">
        <v>0.56052140757299995</v>
      </c>
      <c r="F42" s="334">
        <v>6.3936970114E-2</v>
      </c>
      <c r="G42" s="335">
        <v>2.6640404214000001E-2</v>
      </c>
      <c r="H42" s="337">
        <v>9.4999999999999998E-3</v>
      </c>
      <c r="I42" s="334">
        <v>4.9399999999999999E-2</v>
      </c>
      <c r="J42" s="335">
        <v>2.2759595785E-2</v>
      </c>
      <c r="K42" s="338">
        <v>0.77263592427299999</v>
      </c>
    </row>
    <row r="43" spans="1:11" ht="14.4" customHeight="1" thickBot="1" x14ac:dyDescent="0.35">
      <c r="A43" s="356" t="s">
        <v>236</v>
      </c>
      <c r="B43" s="334">
        <v>6.8002489926259999</v>
      </c>
      <c r="C43" s="334">
        <v>1.15886</v>
      </c>
      <c r="D43" s="335">
        <v>-5.6413889926260001</v>
      </c>
      <c r="E43" s="336">
        <v>0.170414348247</v>
      </c>
      <c r="F43" s="334">
        <v>1.274464336581</v>
      </c>
      <c r="G43" s="335">
        <v>0.53102680690799997</v>
      </c>
      <c r="H43" s="337">
        <v>0.39888000000000001</v>
      </c>
      <c r="I43" s="334">
        <v>2.2204299999999999</v>
      </c>
      <c r="J43" s="335">
        <v>1.6894031930910001</v>
      </c>
      <c r="K43" s="338">
        <v>1.742245691987</v>
      </c>
    </row>
    <row r="44" spans="1:11" ht="14.4" customHeight="1" thickBot="1" x14ac:dyDescent="0.35">
      <c r="A44" s="355" t="s">
        <v>237</v>
      </c>
      <c r="B44" s="339">
        <v>3.9999998740090001</v>
      </c>
      <c r="C44" s="339">
        <v>3.78</v>
      </c>
      <c r="D44" s="340">
        <v>-0.21999987400900001</v>
      </c>
      <c r="E44" s="346">
        <v>0.94500002976499997</v>
      </c>
      <c r="F44" s="339">
        <v>4.0000011026219999</v>
      </c>
      <c r="G44" s="340">
        <v>1.6666671260920001</v>
      </c>
      <c r="H44" s="342">
        <v>0</v>
      </c>
      <c r="I44" s="339">
        <v>1.89</v>
      </c>
      <c r="J44" s="340">
        <v>0.22333287390699999</v>
      </c>
      <c r="K44" s="343">
        <v>0.47249986975199998</v>
      </c>
    </row>
    <row r="45" spans="1:11" ht="14.4" customHeight="1" thickBot="1" x14ac:dyDescent="0.35">
      <c r="A45" s="356" t="s">
        <v>238</v>
      </c>
      <c r="B45" s="334">
        <v>3.9999998740090001</v>
      </c>
      <c r="C45" s="334">
        <v>3.78</v>
      </c>
      <c r="D45" s="335">
        <v>-0.21999987400900001</v>
      </c>
      <c r="E45" s="336">
        <v>0.94500002976499997</v>
      </c>
      <c r="F45" s="334">
        <v>4.0000011026219999</v>
      </c>
      <c r="G45" s="335">
        <v>1.6666671260920001</v>
      </c>
      <c r="H45" s="337">
        <v>0</v>
      </c>
      <c r="I45" s="334">
        <v>1.89</v>
      </c>
      <c r="J45" s="335">
        <v>0.22333287390699999</v>
      </c>
      <c r="K45" s="338">
        <v>0.47249986975199998</v>
      </c>
    </row>
    <row r="46" spans="1:11" ht="14.4" customHeight="1" thickBot="1" x14ac:dyDescent="0.35">
      <c r="A46" s="355" t="s">
        <v>239</v>
      </c>
      <c r="B46" s="339">
        <v>16.568167028095999</v>
      </c>
      <c r="C46" s="339">
        <v>17.199909999999999</v>
      </c>
      <c r="D46" s="340">
        <v>0.63174297190299999</v>
      </c>
      <c r="E46" s="346">
        <v>1.0381299253459999</v>
      </c>
      <c r="F46" s="339">
        <v>17.608672124190999</v>
      </c>
      <c r="G46" s="340">
        <v>7.3369467184130004</v>
      </c>
      <c r="H46" s="342">
        <v>1.48807</v>
      </c>
      <c r="I46" s="339">
        <v>7.4425100000000004</v>
      </c>
      <c r="J46" s="340">
        <v>0.10556328158599999</v>
      </c>
      <c r="K46" s="343">
        <v>0.42266162647</v>
      </c>
    </row>
    <row r="47" spans="1:11" ht="14.4" customHeight="1" thickBot="1" x14ac:dyDescent="0.35">
      <c r="A47" s="356" t="s">
        <v>240</v>
      </c>
      <c r="B47" s="334">
        <v>16.568167028095999</v>
      </c>
      <c r="C47" s="334">
        <v>17.199909999999999</v>
      </c>
      <c r="D47" s="335">
        <v>0.63174297190299999</v>
      </c>
      <c r="E47" s="336">
        <v>1.0381299253459999</v>
      </c>
      <c r="F47" s="334">
        <v>17.608672124190999</v>
      </c>
      <c r="G47" s="335">
        <v>7.3369467184130004</v>
      </c>
      <c r="H47" s="337">
        <v>1.48807</v>
      </c>
      <c r="I47" s="334">
        <v>7.4425100000000004</v>
      </c>
      <c r="J47" s="335">
        <v>0.10556328158599999</v>
      </c>
      <c r="K47" s="338">
        <v>0.42266162647</v>
      </c>
    </row>
    <row r="48" spans="1:11" ht="14.4" customHeight="1" thickBot="1" x14ac:dyDescent="0.35">
      <c r="A48" s="355" t="s">
        <v>241</v>
      </c>
      <c r="B48" s="339">
        <v>0</v>
      </c>
      <c r="C48" s="339">
        <v>0</v>
      </c>
      <c r="D48" s="340">
        <v>0</v>
      </c>
      <c r="E48" s="341" t="s">
        <v>200</v>
      </c>
      <c r="F48" s="339">
        <v>5.0000013782780002</v>
      </c>
      <c r="G48" s="340">
        <v>2.0833339076150001</v>
      </c>
      <c r="H48" s="342">
        <v>0</v>
      </c>
      <c r="I48" s="339">
        <v>3.24</v>
      </c>
      <c r="J48" s="340">
        <v>1.156666092384</v>
      </c>
      <c r="K48" s="343">
        <v>0.64799982137500001</v>
      </c>
    </row>
    <row r="49" spans="1:11" ht="14.4" customHeight="1" thickBot="1" x14ac:dyDescent="0.35">
      <c r="A49" s="356" t="s">
        <v>242</v>
      </c>
      <c r="B49" s="334">
        <v>0</v>
      </c>
      <c r="C49" s="334">
        <v>0</v>
      </c>
      <c r="D49" s="335">
        <v>0</v>
      </c>
      <c r="E49" s="344" t="s">
        <v>200</v>
      </c>
      <c r="F49" s="334">
        <v>5.0000013782780002</v>
      </c>
      <c r="G49" s="335">
        <v>2.0833339076150001</v>
      </c>
      <c r="H49" s="337">
        <v>0</v>
      </c>
      <c r="I49" s="334">
        <v>3.24</v>
      </c>
      <c r="J49" s="335">
        <v>1.156666092384</v>
      </c>
      <c r="K49" s="338">
        <v>0.64799982137500001</v>
      </c>
    </row>
    <row r="50" spans="1:11" ht="14.4" customHeight="1" thickBot="1" x14ac:dyDescent="0.35">
      <c r="A50" s="353" t="s">
        <v>25</v>
      </c>
      <c r="B50" s="334">
        <v>3111.99990197954</v>
      </c>
      <c r="C50" s="334">
        <v>3342.1520700000001</v>
      </c>
      <c r="D50" s="335">
        <v>230.15216802045799</v>
      </c>
      <c r="E50" s="336">
        <v>1.073956354521</v>
      </c>
      <c r="F50" s="334">
        <v>3259.00089836186</v>
      </c>
      <c r="G50" s="335">
        <v>1357.9170409841099</v>
      </c>
      <c r="H50" s="337">
        <v>266.66834999999998</v>
      </c>
      <c r="I50" s="334">
        <v>1310.9047700000001</v>
      </c>
      <c r="J50" s="335">
        <v>-47.012270984109001</v>
      </c>
      <c r="K50" s="338">
        <v>0.40224130366400002</v>
      </c>
    </row>
    <row r="51" spans="1:11" ht="14.4" customHeight="1" thickBot="1" x14ac:dyDescent="0.35">
      <c r="A51" s="359" t="s">
        <v>243</v>
      </c>
      <c r="B51" s="339">
        <v>2306.99992733509</v>
      </c>
      <c r="C51" s="339">
        <v>2479</v>
      </c>
      <c r="D51" s="340">
        <v>172.000072664909</v>
      </c>
      <c r="E51" s="346">
        <v>1.0745557338889999</v>
      </c>
      <c r="F51" s="339">
        <v>2407.00066350322</v>
      </c>
      <c r="G51" s="340">
        <v>1002.91694312634</v>
      </c>
      <c r="H51" s="342">
        <v>196.80199999999999</v>
      </c>
      <c r="I51" s="339">
        <v>968.98900000000003</v>
      </c>
      <c r="J51" s="340">
        <v>-33.927943126342001</v>
      </c>
      <c r="K51" s="343">
        <v>0.402571139548</v>
      </c>
    </row>
    <row r="52" spans="1:11" ht="14.4" customHeight="1" thickBot="1" x14ac:dyDescent="0.35">
      <c r="A52" s="355" t="s">
        <v>244</v>
      </c>
      <c r="B52" s="339">
        <v>2299.9999275555701</v>
      </c>
      <c r="C52" s="339">
        <v>2465.7689999999998</v>
      </c>
      <c r="D52" s="340">
        <v>165.769072444426</v>
      </c>
      <c r="E52" s="346">
        <v>1.0720735120280001</v>
      </c>
      <c r="F52" s="339">
        <v>2400.0006615736302</v>
      </c>
      <c r="G52" s="340">
        <v>1000.00027565568</v>
      </c>
      <c r="H52" s="342">
        <v>196.80199999999999</v>
      </c>
      <c r="I52" s="339">
        <v>962.85799999999995</v>
      </c>
      <c r="J52" s="340">
        <v>-37.142275655680002</v>
      </c>
      <c r="K52" s="343">
        <v>0.40119072274200002</v>
      </c>
    </row>
    <row r="53" spans="1:11" ht="14.4" customHeight="1" thickBot="1" x14ac:dyDescent="0.35">
      <c r="A53" s="356" t="s">
        <v>245</v>
      </c>
      <c r="B53" s="334">
        <v>2299.9999275555701</v>
      </c>
      <c r="C53" s="334">
        <v>2465.7689999999998</v>
      </c>
      <c r="D53" s="335">
        <v>165.769072444426</v>
      </c>
      <c r="E53" s="336">
        <v>1.0720735120280001</v>
      </c>
      <c r="F53" s="334">
        <v>2400.0006615736302</v>
      </c>
      <c r="G53" s="335">
        <v>1000.00027565568</v>
      </c>
      <c r="H53" s="337">
        <v>196.80199999999999</v>
      </c>
      <c r="I53" s="334">
        <v>962.85799999999995</v>
      </c>
      <c r="J53" s="335">
        <v>-37.142275655680002</v>
      </c>
      <c r="K53" s="338">
        <v>0.40119072274200002</v>
      </c>
    </row>
    <row r="54" spans="1:11" ht="14.4" customHeight="1" thickBot="1" x14ac:dyDescent="0.35">
      <c r="A54" s="355" t="s">
        <v>246</v>
      </c>
      <c r="B54" s="339">
        <v>6.9999997795160001</v>
      </c>
      <c r="C54" s="339">
        <v>13.231</v>
      </c>
      <c r="D54" s="340">
        <v>6.2310002204829997</v>
      </c>
      <c r="E54" s="346">
        <v>1.8901429166770001</v>
      </c>
      <c r="F54" s="339">
        <v>7.0000019295889997</v>
      </c>
      <c r="G54" s="340">
        <v>2.9166674706619999</v>
      </c>
      <c r="H54" s="342">
        <v>0</v>
      </c>
      <c r="I54" s="339">
        <v>6.1310000000000002</v>
      </c>
      <c r="J54" s="340">
        <v>3.2143325293370002</v>
      </c>
      <c r="K54" s="343">
        <v>0.87585690142200001</v>
      </c>
    </row>
    <row r="55" spans="1:11" ht="14.4" customHeight="1" thickBot="1" x14ac:dyDescent="0.35">
      <c r="A55" s="356" t="s">
        <v>247</v>
      </c>
      <c r="B55" s="334">
        <v>6.9999997795160001</v>
      </c>
      <c r="C55" s="334">
        <v>13.231</v>
      </c>
      <c r="D55" s="335">
        <v>6.2310002204829997</v>
      </c>
      <c r="E55" s="336">
        <v>1.8901429166770001</v>
      </c>
      <c r="F55" s="334">
        <v>7.0000019295889997</v>
      </c>
      <c r="G55" s="335">
        <v>2.9166674706619999</v>
      </c>
      <c r="H55" s="337">
        <v>0</v>
      </c>
      <c r="I55" s="334">
        <v>6.1310000000000002</v>
      </c>
      <c r="J55" s="335">
        <v>3.2143325293370002</v>
      </c>
      <c r="K55" s="338">
        <v>0.87585690142200001</v>
      </c>
    </row>
    <row r="56" spans="1:11" ht="14.4" customHeight="1" thickBot="1" x14ac:dyDescent="0.35">
      <c r="A56" s="354" t="s">
        <v>248</v>
      </c>
      <c r="B56" s="334">
        <v>781.99997536889498</v>
      </c>
      <c r="C56" s="334">
        <v>838.36306999999999</v>
      </c>
      <c r="D56" s="335">
        <v>56.363094631103998</v>
      </c>
      <c r="E56" s="336">
        <v>1.072075570852</v>
      </c>
      <c r="F56" s="334">
        <v>816.00022493503502</v>
      </c>
      <c r="G56" s="335">
        <v>340.00009372293101</v>
      </c>
      <c r="H56" s="337">
        <v>66.91377</v>
      </c>
      <c r="I56" s="334">
        <v>327.37849</v>
      </c>
      <c r="J56" s="335">
        <v>-12.621603722931001</v>
      </c>
      <c r="K56" s="338">
        <v>0.40119901930899998</v>
      </c>
    </row>
    <row r="57" spans="1:11" ht="14.4" customHeight="1" thickBot="1" x14ac:dyDescent="0.35">
      <c r="A57" s="355" t="s">
        <v>249</v>
      </c>
      <c r="B57" s="339">
        <v>206.99999348000199</v>
      </c>
      <c r="C57" s="339">
        <v>221.92080999999999</v>
      </c>
      <c r="D57" s="340">
        <v>14.920816519998001</v>
      </c>
      <c r="E57" s="346">
        <v>1.072081241497</v>
      </c>
      <c r="F57" s="339">
        <v>216.000059541627</v>
      </c>
      <c r="G57" s="340">
        <v>90.000024809010995</v>
      </c>
      <c r="H57" s="342">
        <v>17.713270000000001</v>
      </c>
      <c r="I57" s="339">
        <v>86.663989999999998</v>
      </c>
      <c r="J57" s="340">
        <v>-3.3360348090110001</v>
      </c>
      <c r="K57" s="343">
        <v>0.40122206532600002</v>
      </c>
    </row>
    <row r="58" spans="1:11" ht="14.4" customHeight="1" thickBot="1" x14ac:dyDescent="0.35">
      <c r="A58" s="356" t="s">
        <v>250</v>
      </c>
      <c r="B58" s="334">
        <v>206.99999348000199</v>
      </c>
      <c r="C58" s="334">
        <v>221.92080999999999</v>
      </c>
      <c r="D58" s="335">
        <v>14.920816519998001</v>
      </c>
      <c r="E58" s="336">
        <v>1.072081241497</v>
      </c>
      <c r="F58" s="334">
        <v>216.000059541627</v>
      </c>
      <c r="G58" s="335">
        <v>90.000024809010995</v>
      </c>
      <c r="H58" s="337">
        <v>17.713270000000001</v>
      </c>
      <c r="I58" s="334">
        <v>86.663989999999998</v>
      </c>
      <c r="J58" s="335">
        <v>-3.3360348090110001</v>
      </c>
      <c r="K58" s="338">
        <v>0.40122206532600002</v>
      </c>
    </row>
    <row r="59" spans="1:11" ht="14.4" customHeight="1" thickBot="1" x14ac:dyDescent="0.35">
      <c r="A59" s="355" t="s">
        <v>251</v>
      </c>
      <c r="B59" s="339">
        <v>574.99998188889401</v>
      </c>
      <c r="C59" s="339">
        <v>616.44226000000003</v>
      </c>
      <c r="D59" s="340">
        <v>41.442278111105999</v>
      </c>
      <c r="E59" s="346">
        <v>1.072073529419</v>
      </c>
      <c r="F59" s="339">
        <v>600.000165393408</v>
      </c>
      <c r="G59" s="340">
        <v>250.00006891391999</v>
      </c>
      <c r="H59" s="342">
        <v>49.200499999999998</v>
      </c>
      <c r="I59" s="339">
        <v>240.71449999999999</v>
      </c>
      <c r="J59" s="340">
        <v>-9.2855689139200006</v>
      </c>
      <c r="K59" s="343">
        <v>0.40119072274200002</v>
      </c>
    </row>
    <row r="60" spans="1:11" ht="14.4" customHeight="1" thickBot="1" x14ac:dyDescent="0.35">
      <c r="A60" s="356" t="s">
        <v>252</v>
      </c>
      <c r="B60" s="334">
        <v>574.99998188889401</v>
      </c>
      <c r="C60" s="334">
        <v>616.44226000000003</v>
      </c>
      <c r="D60" s="335">
        <v>41.442278111105999</v>
      </c>
      <c r="E60" s="336">
        <v>1.072073529419</v>
      </c>
      <c r="F60" s="334">
        <v>600.000165393408</v>
      </c>
      <c r="G60" s="335">
        <v>250.00006891391999</v>
      </c>
      <c r="H60" s="337">
        <v>49.200499999999998</v>
      </c>
      <c r="I60" s="334">
        <v>240.71449999999999</v>
      </c>
      <c r="J60" s="335">
        <v>-9.2855689139200006</v>
      </c>
      <c r="K60" s="338">
        <v>0.40119072274200002</v>
      </c>
    </row>
    <row r="61" spans="1:11" ht="14.4" customHeight="1" thickBot="1" x14ac:dyDescent="0.35">
      <c r="A61" s="354" t="s">
        <v>253</v>
      </c>
      <c r="B61" s="334">
        <v>22.999999275554998</v>
      </c>
      <c r="C61" s="334">
        <v>24.789000000000001</v>
      </c>
      <c r="D61" s="335">
        <v>1.789000724444</v>
      </c>
      <c r="E61" s="336">
        <v>1.0777826426429999</v>
      </c>
      <c r="F61" s="334">
        <v>36.000009923603997</v>
      </c>
      <c r="G61" s="335">
        <v>15.000004134835001</v>
      </c>
      <c r="H61" s="337">
        <v>2.9525800000000002</v>
      </c>
      <c r="I61" s="334">
        <v>14.537280000000001</v>
      </c>
      <c r="J61" s="335">
        <v>-0.46272413483500002</v>
      </c>
      <c r="K61" s="338">
        <v>0.403813222019</v>
      </c>
    </row>
    <row r="62" spans="1:11" ht="14.4" customHeight="1" thickBot="1" x14ac:dyDescent="0.35">
      <c r="A62" s="355" t="s">
        <v>254</v>
      </c>
      <c r="B62" s="339">
        <v>22.999999275554998</v>
      </c>
      <c r="C62" s="339">
        <v>24.789000000000001</v>
      </c>
      <c r="D62" s="340">
        <v>1.789000724444</v>
      </c>
      <c r="E62" s="346">
        <v>1.0777826426429999</v>
      </c>
      <c r="F62" s="339">
        <v>36.000009923603997</v>
      </c>
      <c r="G62" s="340">
        <v>15.000004134835001</v>
      </c>
      <c r="H62" s="342">
        <v>2.9525800000000002</v>
      </c>
      <c r="I62" s="339">
        <v>14.537280000000001</v>
      </c>
      <c r="J62" s="340">
        <v>-0.46272413483500002</v>
      </c>
      <c r="K62" s="343">
        <v>0.403813222019</v>
      </c>
    </row>
    <row r="63" spans="1:11" ht="14.4" customHeight="1" thickBot="1" x14ac:dyDescent="0.35">
      <c r="A63" s="356" t="s">
        <v>255</v>
      </c>
      <c r="B63" s="334">
        <v>22.999999275554998</v>
      </c>
      <c r="C63" s="334">
        <v>24.789000000000001</v>
      </c>
      <c r="D63" s="335">
        <v>1.789000724444</v>
      </c>
      <c r="E63" s="336">
        <v>1.0777826426429999</v>
      </c>
      <c r="F63" s="334">
        <v>36.000009923603997</v>
      </c>
      <c r="G63" s="335">
        <v>15.000004134835001</v>
      </c>
      <c r="H63" s="337">
        <v>2.9525800000000002</v>
      </c>
      <c r="I63" s="334">
        <v>14.537280000000001</v>
      </c>
      <c r="J63" s="335">
        <v>-0.46272413483500002</v>
      </c>
      <c r="K63" s="338">
        <v>0.403813222019</v>
      </c>
    </row>
    <row r="64" spans="1:11" ht="14.4" customHeight="1" thickBot="1" x14ac:dyDescent="0.35">
      <c r="A64" s="353" t="s">
        <v>256</v>
      </c>
      <c r="B64" s="334">
        <v>0</v>
      </c>
      <c r="C64" s="334">
        <v>15.359249999999999</v>
      </c>
      <c r="D64" s="335">
        <v>15.359249999999999</v>
      </c>
      <c r="E64" s="344" t="s">
        <v>200</v>
      </c>
      <c r="F64" s="334">
        <v>15.355566207024999</v>
      </c>
      <c r="G64" s="335">
        <v>6.3981525862600002</v>
      </c>
      <c r="H64" s="337">
        <v>0</v>
      </c>
      <c r="I64" s="334">
        <v>0</v>
      </c>
      <c r="J64" s="335">
        <v>-6.3981525862600002</v>
      </c>
      <c r="K64" s="338">
        <v>0</v>
      </c>
    </row>
    <row r="65" spans="1:11" ht="14.4" customHeight="1" thickBot="1" x14ac:dyDescent="0.35">
      <c r="A65" s="354" t="s">
        <v>257</v>
      </c>
      <c r="B65" s="334">
        <v>0</v>
      </c>
      <c r="C65" s="334">
        <v>15.359249999999999</v>
      </c>
      <c r="D65" s="335">
        <v>15.359249999999999</v>
      </c>
      <c r="E65" s="344" t="s">
        <v>200</v>
      </c>
      <c r="F65" s="334">
        <v>15.355566207024999</v>
      </c>
      <c r="G65" s="335">
        <v>6.3981525862600002</v>
      </c>
      <c r="H65" s="337">
        <v>0</v>
      </c>
      <c r="I65" s="334">
        <v>0</v>
      </c>
      <c r="J65" s="335">
        <v>-6.3981525862600002</v>
      </c>
      <c r="K65" s="338">
        <v>0</v>
      </c>
    </row>
    <row r="66" spans="1:11" ht="14.4" customHeight="1" thickBot="1" x14ac:dyDescent="0.35">
      <c r="A66" s="355" t="s">
        <v>258</v>
      </c>
      <c r="B66" s="339">
        <v>0</v>
      </c>
      <c r="C66" s="339">
        <v>3.3592499999999998</v>
      </c>
      <c r="D66" s="340">
        <v>3.3592499999999998</v>
      </c>
      <c r="E66" s="341" t="s">
        <v>206</v>
      </c>
      <c r="F66" s="339">
        <v>1.9717371097</v>
      </c>
      <c r="G66" s="340">
        <v>0.82155712904099998</v>
      </c>
      <c r="H66" s="342">
        <v>0</v>
      </c>
      <c r="I66" s="339">
        <v>0</v>
      </c>
      <c r="J66" s="340">
        <v>-0.82155712904099998</v>
      </c>
      <c r="K66" s="343">
        <v>0</v>
      </c>
    </row>
    <row r="67" spans="1:11" ht="14.4" customHeight="1" thickBot="1" x14ac:dyDescent="0.35">
      <c r="A67" s="356" t="s">
        <v>259</v>
      </c>
      <c r="B67" s="334">
        <v>0</v>
      </c>
      <c r="C67" s="334">
        <v>1.1092500000000001</v>
      </c>
      <c r="D67" s="335">
        <v>1.1092500000000001</v>
      </c>
      <c r="E67" s="344" t="s">
        <v>206</v>
      </c>
      <c r="F67" s="334">
        <v>0</v>
      </c>
      <c r="G67" s="335">
        <v>0</v>
      </c>
      <c r="H67" s="337">
        <v>0</v>
      </c>
      <c r="I67" s="334">
        <v>0</v>
      </c>
      <c r="J67" s="335">
        <v>0</v>
      </c>
      <c r="K67" s="345" t="s">
        <v>200</v>
      </c>
    </row>
    <row r="68" spans="1:11" ht="14.4" customHeight="1" thickBot="1" x14ac:dyDescent="0.35">
      <c r="A68" s="356" t="s">
        <v>260</v>
      </c>
      <c r="B68" s="334">
        <v>0</v>
      </c>
      <c r="C68" s="334">
        <v>2.25</v>
      </c>
      <c r="D68" s="335">
        <v>2.25</v>
      </c>
      <c r="E68" s="344" t="s">
        <v>206</v>
      </c>
      <c r="F68" s="334">
        <v>1.9717371097</v>
      </c>
      <c r="G68" s="335">
        <v>0.82155712904099998</v>
      </c>
      <c r="H68" s="337">
        <v>0</v>
      </c>
      <c r="I68" s="334">
        <v>0</v>
      </c>
      <c r="J68" s="335">
        <v>-0.82155712904099998</v>
      </c>
      <c r="K68" s="338">
        <v>0</v>
      </c>
    </row>
    <row r="69" spans="1:11" ht="14.4" customHeight="1" thickBot="1" x14ac:dyDescent="0.35">
      <c r="A69" s="358" t="s">
        <v>261</v>
      </c>
      <c r="B69" s="334">
        <v>0</v>
      </c>
      <c r="C69" s="334">
        <v>12</v>
      </c>
      <c r="D69" s="335">
        <v>12</v>
      </c>
      <c r="E69" s="344" t="s">
        <v>200</v>
      </c>
      <c r="F69" s="334">
        <v>13.383829097324</v>
      </c>
      <c r="G69" s="335">
        <v>5.5765954572179997</v>
      </c>
      <c r="H69" s="337">
        <v>0</v>
      </c>
      <c r="I69" s="334">
        <v>0</v>
      </c>
      <c r="J69" s="335">
        <v>-5.5765954572179997</v>
      </c>
      <c r="K69" s="338">
        <v>0</v>
      </c>
    </row>
    <row r="70" spans="1:11" ht="14.4" customHeight="1" thickBot="1" x14ac:dyDescent="0.35">
      <c r="A70" s="356" t="s">
        <v>262</v>
      </c>
      <c r="B70" s="334">
        <v>0</v>
      </c>
      <c r="C70" s="334">
        <v>12</v>
      </c>
      <c r="D70" s="335">
        <v>12</v>
      </c>
      <c r="E70" s="344" t="s">
        <v>200</v>
      </c>
      <c r="F70" s="334">
        <v>13.383829097324</v>
      </c>
      <c r="G70" s="335">
        <v>5.5765954572179997</v>
      </c>
      <c r="H70" s="337">
        <v>0</v>
      </c>
      <c r="I70" s="334">
        <v>0</v>
      </c>
      <c r="J70" s="335">
        <v>-5.5765954572179997</v>
      </c>
      <c r="K70" s="338">
        <v>0</v>
      </c>
    </row>
    <row r="71" spans="1:11" ht="14.4" customHeight="1" thickBot="1" x14ac:dyDescent="0.35">
      <c r="A71" s="353" t="s">
        <v>263</v>
      </c>
      <c r="B71" s="334">
        <v>19.999962416498999</v>
      </c>
      <c r="C71" s="334">
        <v>32.674399999999999</v>
      </c>
      <c r="D71" s="335">
        <v>12.6744375835</v>
      </c>
      <c r="E71" s="336">
        <v>1.6337230700509999</v>
      </c>
      <c r="F71" s="334">
        <v>20.000049892724999</v>
      </c>
      <c r="G71" s="335">
        <v>8.3333541219680001</v>
      </c>
      <c r="H71" s="337">
        <v>1.641</v>
      </c>
      <c r="I71" s="334">
        <v>8.2050000000000001</v>
      </c>
      <c r="J71" s="335">
        <v>-0.128354121968</v>
      </c>
      <c r="K71" s="338">
        <v>0.41024897657800002</v>
      </c>
    </row>
    <row r="72" spans="1:11" ht="14.4" customHeight="1" thickBot="1" x14ac:dyDescent="0.35">
      <c r="A72" s="354" t="s">
        <v>264</v>
      </c>
      <c r="B72" s="334">
        <v>19.999962416498999</v>
      </c>
      <c r="C72" s="334">
        <v>19.681000000000001</v>
      </c>
      <c r="D72" s="335">
        <v>-0.31896241649899998</v>
      </c>
      <c r="E72" s="336">
        <v>0.984051849205</v>
      </c>
      <c r="F72" s="334">
        <v>20.000049892724999</v>
      </c>
      <c r="G72" s="335">
        <v>8.3333541219680001</v>
      </c>
      <c r="H72" s="337">
        <v>1.641</v>
      </c>
      <c r="I72" s="334">
        <v>8.2050000000000001</v>
      </c>
      <c r="J72" s="335">
        <v>-0.128354121968</v>
      </c>
      <c r="K72" s="338">
        <v>0.41024897657800002</v>
      </c>
    </row>
    <row r="73" spans="1:11" ht="14.4" customHeight="1" thickBot="1" x14ac:dyDescent="0.35">
      <c r="A73" s="355" t="s">
        <v>265</v>
      </c>
      <c r="B73" s="339">
        <v>19.999962416498999</v>
      </c>
      <c r="C73" s="339">
        <v>19.681000000000001</v>
      </c>
      <c r="D73" s="340">
        <v>-0.31896241649899998</v>
      </c>
      <c r="E73" s="346">
        <v>0.984051849205</v>
      </c>
      <c r="F73" s="339">
        <v>20.000049892724999</v>
      </c>
      <c r="G73" s="340">
        <v>8.3333541219680001</v>
      </c>
      <c r="H73" s="342">
        <v>1.641</v>
      </c>
      <c r="I73" s="339">
        <v>8.2050000000000001</v>
      </c>
      <c r="J73" s="340">
        <v>-0.128354121968</v>
      </c>
      <c r="K73" s="343">
        <v>0.41024897657800002</v>
      </c>
    </row>
    <row r="74" spans="1:11" ht="14.4" customHeight="1" thickBot="1" x14ac:dyDescent="0.35">
      <c r="A74" s="356" t="s">
        <v>266</v>
      </c>
      <c r="B74" s="334">
        <v>16.99999946454</v>
      </c>
      <c r="C74" s="334">
        <v>17.077000000000002</v>
      </c>
      <c r="D74" s="335">
        <v>7.7000535459E-2</v>
      </c>
      <c r="E74" s="336">
        <v>1.004529443404</v>
      </c>
      <c r="F74" s="334">
        <v>17.000042408816</v>
      </c>
      <c r="G74" s="335">
        <v>7.0833510036730001</v>
      </c>
      <c r="H74" s="337">
        <v>1.4239999999999999</v>
      </c>
      <c r="I74" s="334">
        <v>7.12</v>
      </c>
      <c r="J74" s="335">
        <v>3.6648996326000001E-2</v>
      </c>
      <c r="K74" s="338">
        <v>0.418822484602</v>
      </c>
    </row>
    <row r="75" spans="1:11" ht="14.4" customHeight="1" thickBot="1" x14ac:dyDescent="0.35">
      <c r="A75" s="356" t="s">
        <v>267</v>
      </c>
      <c r="B75" s="334">
        <v>2.999962951958</v>
      </c>
      <c r="C75" s="334">
        <v>2.6040000000000001</v>
      </c>
      <c r="D75" s="335">
        <v>-0.39596295195800002</v>
      </c>
      <c r="E75" s="336">
        <v>0.86801071936499996</v>
      </c>
      <c r="F75" s="334">
        <v>3.000007483908</v>
      </c>
      <c r="G75" s="335">
        <v>1.250003118295</v>
      </c>
      <c r="H75" s="337">
        <v>0.217</v>
      </c>
      <c r="I75" s="334">
        <v>1.085</v>
      </c>
      <c r="J75" s="335">
        <v>-0.165003118295</v>
      </c>
      <c r="K75" s="338">
        <v>0.36166576444199999</v>
      </c>
    </row>
    <row r="76" spans="1:11" ht="14.4" customHeight="1" thickBot="1" x14ac:dyDescent="0.35">
      <c r="A76" s="354" t="s">
        <v>268</v>
      </c>
      <c r="B76" s="334">
        <v>0</v>
      </c>
      <c r="C76" s="334">
        <v>12.993399999999999</v>
      </c>
      <c r="D76" s="335">
        <v>12.993399999999999</v>
      </c>
      <c r="E76" s="344" t="s">
        <v>200</v>
      </c>
      <c r="F76" s="334">
        <v>0</v>
      </c>
      <c r="G76" s="335">
        <v>0</v>
      </c>
      <c r="H76" s="337">
        <v>0</v>
      </c>
      <c r="I76" s="334">
        <v>0</v>
      </c>
      <c r="J76" s="335">
        <v>0</v>
      </c>
      <c r="K76" s="345" t="s">
        <v>200</v>
      </c>
    </row>
    <row r="77" spans="1:11" ht="14.4" customHeight="1" thickBot="1" x14ac:dyDescent="0.35">
      <c r="A77" s="355" t="s">
        <v>269</v>
      </c>
      <c r="B77" s="339">
        <v>0</v>
      </c>
      <c r="C77" s="339">
        <v>12.993399999999999</v>
      </c>
      <c r="D77" s="340">
        <v>12.993399999999999</v>
      </c>
      <c r="E77" s="341" t="s">
        <v>206</v>
      </c>
      <c r="F77" s="339">
        <v>0</v>
      </c>
      <c r="G77" s="340">
        <v>0</v>
      </c>
      <c r="H77" s="342">
        <v>0</v>
      </c>
      <c r="I77" s="339">
        <v>0</v>
      </c>
      <c r="J77" s="340">
        <v>0</v>
      </c>
      <c r="K77" s="347" t="s">
        <v>200</v>
      </c>
    </row>
    <row r="78" spans="1:11" ht="14.4" customHeight="1" thickBot="1" x14ac:dyDescent="0.35">
      <c r="A78" s="356" t="s">
        <v>270</v>
      </c>
      <c r="B78" s="334">
        <v>0</v>
      </c>
      <c r="C78" s="334">
        <v>12.993399999999999</v>
      </c>
      <c r="D78" s="335">
        <v>12.993399999999999</v>
      </c>
      <c r="E78" s="344" t="s">
        <v>206</v>
      </c>
      <c r="F78" s="334">
        <v>0</v>
      </c>
      <c r="G78" s="335">
        <v>0</v>
      </c>
      <c r="H78" s="337">
        <v>0</v>
      </c>
      <c r="I78" s="334">
        <v>0</v>
      </c>
      <c r="J78" s="335">
        <v>0</v>
      </c>
      <c r="K78" s="345" t="s">
        <v>200</v>
      </c>
    </row>
    <row r="79" spans="1:11" ht="14.4" customHeight="1" thickBot="1" x14ac:dyDescent="0.35">
      <c r="A79" s="352" t="s">
        <v>271</v>
      </c>
      <c r="B79" s="334">
        <v>1875.56638655706</v>
      </c>
      <c r="C79" s="334">
        <v>2228.2720199999999</v>
      </c>
      <c r="D79" s="335">
        <v>352.70563344293998</v>
      </c>
      <c r="E79" s="336">
        <v>1.188052865508</v>
      </c>
      <c r="F79" s="334">
        <v>2339.7759372309401</v>
      </c>
      <c r="G79" s="335">
        <v>974.90664051289104</v>
      </c>
      <c r="H79" s="337">
        <v>161.34324000000001</v>
      </c>
      <c r="I79" s="334">
        <v>944.29969000000006</v>
      </c>
      <c r="J79" s="335">
        <v>-30.606950512891</v>
      </c>
      <c r="K79" s="338">
        <v>0.40358552072100001</v>
      </c>
    </row>
    <row r="80" spans="1:11" ht="14.4" customHeight="1" thickBot="1" x14ac:dyDescent="0.35">
      <c r="A80" s="353" t="s">
        <v>272</v>
      </c>
      <c r="B80" s="334">
        <v>1861.56638655706</v>
      </c>
      <c r="C80" s="334">
        <v>2221.0406200000002</v>
      </c>
      <c r="D80" s="335">
        <v>359.47423344293998</v>
      </c>
      <c r="E80" s="336">
        <v>1.1931030964230001</v>
      </c>
      <c r="F80" s="334">
        <v>2333.9616925863502</v>
      </c>
      <c r="G80" s="335">
        <v>972.48403857764595</v>
      </c>
      <c r="H80" s="337">
        <v>161.34324000000001</v>
      </c>
      <c r="I80" s="334">
        <v>942.85341000000005</v>
      </c>
      <c r="J80" s="335">
        <v>-29.630628577644998</v>
      </c>
      <c r="K80" s="338">
        <v>0.40397124468399997</v>
      </c>
    </row>
    <row r="81" spans="1:11" ht="14.4" customHeight="1" thickBot="1" x14ac:dyDescent="0.35">
      <c r="A81" s="354" t="s">
        <v>273</v>
      </c>
      <c r="B81" s="334">
        <v>1861.56638655706</v>
      </c>
      <c r="C81" s="334">
        <v>2221.0406200000002</v>
      </c>
      <c r="D81" s="335">
        <v>359.47423344293998</v>
      </c>
      <c r="E81" s="336">
        <v>1.1931030964230001</v>
      </c>
      <c r="F81" s="334">
        <v>2333.9616925863502</v>
      </c>
      <c r="G81" s="335">
        <v>972.48403857764595</v>
      </c>
      <c r="H81" s="337">
        <v>161.34324000000001</v>
      </c>
      <c r="I81" s="334">
        <v>942.85341000000005</v>
      </c>
      <c r="J81" s="335">
        <v>-29.630628577644998</v>
      </c>
      <c r="K81" s="338">
        <v>0.40397124468399997</v>
      </c>
    </row>
    <row r="82" spans="1:11" ht="14.4" customHeight="1" thickBot="1" x14ac:dyDescent="0.35">
      <c r="A82" s="355" t="s">
        <v>274</v>
      </c>
      <c r="B82" s="339">
        <v>0</v>
      </c>
      <c r="C82" s="339">
        <v>0.98524</v>
      </c>
      <c r="D82" s="340">
        <v>0.98524</v>
      </c>
      <c r="E82" s="341" t="s">
        <v>206</v>
      </c>
      <c r="F82" s="339">
        <v>0.96145865957300003</v>
      </c>
      <c r="G82" s="340">
        <v>0.400607774822</v>
      </c>
      <c r="H82" s="342">
        <v>0.19131000000000001</v>
      </c>
      <c r="I82" s="339">
        <v>0.76524000000000003</v>
      </c>
      <c r="J82" s="340">
        <v>0.364632225177</v>
      </c>
      <c r="K82" s="343">
        <v>0.79591565625899996</v>
      </c>
    </row>
    <row r="83" spans="1:11" ht="14.4" customHeight="1" thickBot="1" x14ac:dyDescent="0.35">
      <c r="A83" s="356" t="s">
        <v>275</v>
      </c>
      <c r="B83" s="334">
        <v>0</v>
      </c>
      <c r="C83" s="334">
        <v>0.98524</v>
      </c>
      <c r="D83" s="335">
        <v>0.98524</v>
      </c>
      <c r="E83" s="344" t="s">
        <v>206</v>
      </c>
      <c r="F83" s="334">
        <v>0.96145865957300003</v>
      </c>
      <c r="G83" s="335">
        <v>0.400607774822</v>
      </c>
      <c r="H83" s="337">
        <v>0.19131000000000001</v>
      </c>
      <c r="I83" s="334">
        <v>0.76524000000000003</v>
      </c>
      <c r="J83" s="335">
        <v>0.364632225177</v>
      </c>
      <c r="K83" s="338">
        <v>0.79591565625899996</v>
      </c>
    </row>
    <row r="84" spans="1:11" ht="14.4" customHeight="1" thickBot="1" x14ac:dyDescent="0.35">
      <c r="A84" s="355" t="s">
        <v>276</v>
      </c>
      <c r="B84" s="339">
        <v>1.5663865565740001</v>
      </c>
      <c r="C84" s="339">
        <v>6.734</v>
      </c>
      <c r="D84" s="340">
        <v>5.1676134434250001</v>
      </c>
      <c r="E84" s="346">
        <v>4.2990665182469998</v>
      </c>
      <c r="F84" s="339">
        <v>7.0000007018800003</v>
      </c>
      <c r="G84" s="340">
        <v>2.9166669591160002</v>
      </c>
      <c r="H84" s="342">
        <v>0</v>
      </c>
      <c r="I84" s="339">
        <v>9.1344600000000007</v>
      </c>
      <c r="J84" s="340">
        <v>6.2177930408830004</v>
      </c>
      <c r="K84" s="343">
        <v>1.3049227263000001</v>
      </c>
    </row>
    <row r="85" spans="1:11" ht="14.4" customHeight="1" thickBot="1" x14ac:dyDescent="0.35">
      <c r="A85" s="356" t="s">
        <v>277</v>
      </c>
      <c r="B85" s="334">
        <v>1.5663865565740001</v>
      </c>
      <c r="C85" s="334">
        <v>6.734</v>
      </c>
      <c r="D85" s="335">
        <v>5.1676134434250001</v>
      </c>
      <c r="E85" s="336">
        <v>4.2990665182469998</v>
      </c>
      <c r="F85" s="334">
        <v>7.0000007018800003</v>
      </c>
      <c r="G85" s="335">
        <v>2.9166669591160002</v>
      </c>
      <c r="H85" s="337">
        <v>0</v>
      </c>
      <c r="I85" s="334">
        <v>9.1344600000000007</v>
      </c>
      <c r="J85" s="335">
        <v>6.2177930408830004</v>
      </c>
      <c r="K85" s="338">
        <v>1.3049227263000001</v>
      </c>
    </row>
    <row r="86" spans="1:11" ht="14.4" customHeight="1" thickBot="1" x14ac:dyDescent="0.35">
      <c r="A86" s="355" t="s">
        <v>278</v>
      </c>
      <c r="B86" s="339">
        <v>1860.00000000049</v>
      </c>
      <c r="C86" s="339">
        <v>2078.0689200000002</v>
      </c>
      <c r="D86" s="340">
        <v>218.06891999951401</v>
      </c>
      <c r="E86" s="346">
        <v>1.117241354838</v>
      </c>
      <c r="F86" s="339">
        <v>2326.0002332249001</v>
      </c>
      <c r="G86" s="340">
        <v>969.16676384370703</v>
      </c>
      <c r="H86" s="342">
        <v>138.5881</v>
      </c>
      <c r="I86" s="339">
        <v>907.74825999999996</v>
      </c>
      <c r="J86" s="340">
        <v>-61.418503843707001</v>
      </c>
      <c r="K86" s="343">
        <v>0.39026146559800001</v>
      </c>
    </row>
    <row r="87" spans="1:11" ht="14.4" customHeight="1" thickBot="1" x14ac:dyDescent="0.35">
      <c r="A87" s="356" t="s">
        <v>279</v>
      </c>
      <c r="B87" s="334">
        <v>686.00000000017906</v>
      </c>
      <c r="C87" s="334">
        <v>816.63999000000001</v>
      </c>
      <c r="D87" s="335">
        <v>130.63998999982101</v>
      </c>
      <c r="E87" s="336">
        <v>1.1904373032060001</v>
      </c>
      <c r="F87" s="334">
        <v>1000.00010026866</v>
      </c>
      <c r="G87" s="335">
        <v>416.66670844527403</v>
      </c>
      <c r="H87" s="337">
        <v>46.91807</v>
      </c>
      <c r="I87" s="334">
        <v>377.02850999999998</v>
      </c>
      <c r="J87" s="335">
        <v>-39.638198445272998</v>
      </c>
      <c r="K87" s="338">
        <v>0.37702847219500002</v>
      </c>
    </row>
    <row r="88" spans="1:11" ht="14.4" customHeight="1" thickBot="1" x14ac:dyDescent="0.35">
      <c r="A88" s="356" t="s">
        <v>280</v>
      </c>
      <c r="B88" s="334">
        <v>1174.0000000003099</v>
      </c>
      <c r="C88" s="334">
        <v>1261.42893</v>
      </c>
      <c r="D88" s="335">
        <v>87.428929999692997</v>
      </c>
      <c r="E88" s="336">
        <v>1.0744709795559999</v>
      </c>
      <c r="F88" s="334">
        <v>1326.0001329562399</v>
      </c>
      <c r="G88" s="335">
        <v>552.50005539843301</v>
      </c>
      <c r="H88" s="337">
        <v>91.670029999999997</v>
      </c>
      <c r="I88" s="334">
        <v>530.71974999999998</v>
      </c>
      <c r="J88" s="335">
        <v>-21.780305398433001</v>
      </c>
      <c r="K88" s="338">
        <v>0.40024109863099999</v>
      </c>
    </row>
    <row r="89" spans="1:11" ht="14.4" customHeight="1" thickBot="1" x14ac:dyDescent="0.35">
      <c r="A89" s="355" t="s">
        <v>281</v>
      </c>
      <c r="B89" s="339">
        <v>0</v>
      </c>
      <c r="C89" s="339">
        <v>135.25246000000001</v>
      </c>
      <c r="D89" s="340">
        <v>135.25246000000001</v>
      </c>
      <c r="E89" s="341" t="s">
        <v>200</v>
      </c>
      <c r="F89" s="339">
        <v>0</v>
      </c>
      <c r="G89" s="340">
        <v>0</v>
      </c>
      <c r="H89" s="342">
        <v>22.563829999999999</v>
      </c>
      <c r="I89" s="339">
        <v>25.205449999999999</v>
      </c>
      <c r="J89" s="340">
        <v>25.205449999999999</v>
      </c>
      <c r="K89" s="347" t="s">
        <v>200</v>
      </c>
    </row>
    <row r="90" spans="1:11" ht="14.4" customHeight="1" thickBot="1" x14ac:dyDescent="0.35">
      <c r="A90" s="356" t="s">
        <v>282</v>
      </c>
      <c r="B90" s="334">
        <v>0</v>
      </c>
      <c r="C90" s="334">
        <v>21.508310000000002</v>
      </c>
      <c r="D90" s="335">
        <v>21.508310000000002</v>
      </c>
      <c r="E90" s="344" t="s">
        <v>200</v>
      </c>
      <c r="F90" s="334">
        <v>0</v>
      </c>
      <c r="G90" s="335">
        <v>0</v>
      </c>
      <c r="H90" s="337">
        <v>15.700760000000001</v>
      </c>
      <c r="I90" s="334">
        <v>15.700760000000001</v>
      </c>
      <c r="J90" s="335">
        <v>15.700760000000001</v>
      </c>
      <c r="K90" s="345" t="s">
        <v>200</v>
      </c>
    </row>
    <row r="91" spans="1:11" ht="14.4" customHeight="1" thickBot="1" x14ac:dyDescent="0.35">
      <c r="A91" s="356" t="s">
        <v>283</v>
      </c>
      <c r="B91" s="334">
        <v>0</v>
      </c>
      <c r="C91" s="334">
        <v>113.74415</v>
      </c>
      <c r="D91" s="335">
        <v>113.74415</v>
      </c>
      <c r="E91" s="344" t="s">
        <v>200</v>
      </c>
      <c r="F91" s="334">
        <v>0</v>
      </c>
      <c r="G91" s="335">
        <v>0</v>
      </c>
      <c r="H91" s="337">
        <v>6.8630699999999996</v>
      </c>
      <c r="I91" s="334">
        <v>9.5046900000000001</v>
      </c>
      <c r="J91" s="335">
        <v>9.5046900000000001</v>
      </c>
      <c r="K91" s="345" t="s">
        <v>200</v>
      </c>
    </row>
    <row r="92" spans="1:11" ht="14.4" customHeight="1" thickBot="1" x14ac:dyDescent="0.35">
      <c r="A92" s="353" t="s">
        <v>284</v>
      </c>
      <c r="B92" s="334">
        <v>14</v>
      </c>
      <c r="C92" s="334">
        <v>7.2313999999999998</v>
      </c>
      <c r="D92" s="335">
        <v>-6.7686000000000002</v>
      </c>
      <c r="E92" s="336">
        <v>0.51652857142800002</v>
      </c>
      <c r="F92" s="334">
        <v>5.8142446445880003</v>
      </c>
      <c r="G92" s="335">
        <v>2.4226019352449999</v>
      </c>
      <c r="H92" s="337">
        <v>0</v>
      </c>
      <c r="I92" s="334">
        <v>1.44628</v>
      </c>
      <c r="J92" s="335">
        <v>-0.97632193524499999</v>
      </c>
      <c r="K92" s="338">
        <v>0.24874770299599999</v>
      </c>
    </row>
    <row r="93" spans="1:11" ht="14.4" customHeight="1" thickBot="1" x14ac:dyDescent="0.35">
      <c r="A93" s="359" t="s">
        <v>285</v>
      </c>
      <c r="B93" s="339">
        <v>14</v>
      </c>
      <c r="C93" s="339">
        <v>7.2313999999999998</v>
      </c>
      <c r="D93" s="340">
        <v>-6.7686000000000002</v>
      </c>
      <c r="E93" s="346">
        <v>0.51652857142800002</v>
      </c>
      <c r="F93" s="339">
        <v>5.8142446445880003</v>
      </c>
      <c r="G93" s="340">
        <v>2.4226019352449999</v>
      </c>
      <c r="H93" s="342">
        <v>0</v>
      </c>
      <c r="I93" s="339">
        <v>1.44628</v>
      </c>
      <c r="J93" s="340">
        <v>-0.97632193524499999</v>
      </c>
      <c r="K93" s="343">
        <v>0.24874770299599999</v>
      </c>
    </row>
    <row r="94" spans="1:11" ht="14.4" customHeight="1" thickBot="1" x14ac:dyDescent="0.35">
      <c r="A94" s="355" t="s">
        <v>286</v>
      </c>
      <c r="B94" s="339">
        <v>0</v>
      </c>
      <c r="C94" s="339">
        <v>-1E-4</v>
      </c>
      <c r="D94" s="340">
        <v>-1E-4</v>
      </c>
      <c r="E94" s="341" t="s">
        <v>200</v>
      </c>
      <c r="F94" s="339">
        <v>0</v>
      </c>
      <c r="G94" s="340">
        <v>0</v>
      </c>
      <c r="H94" s="342">
        <v>0</v>
      </c>
      <c r="I94" s="339">
        <v>-2.0000000000000002E-5</v>
      </c>
      <c r="J94" s="340">
        <v>-2.0000000000000002E-5</v>
      </c>
      <c r="K94" s="347" t="s">
        <v>200</v>
      </c>
    </row>
    <row r="95" spans="1:11" ht="14.4" customHeight="1" thickBot="1" x14ac:dyDescent="0.35">
      <c r="A95" s="356" t="s">
        <v>287</v>
      </c>
      <c r="B95" s="334">
        <v>0</v>
      </c>
      <c r="C95" s="334">
        <v>-1E-4</v>
      </c>
      <c r="D95" s="335">
        <v>-1E-4</v>
      </c>
      <c r="E95" s="344" t="s">
        <v>200</v>
      </c>
      <c r="F95" s="334">
        <v>0</v>
      </c>
      <c r="G95" s="335">
        <v>0</v>
      </c>
      <c r="H95" s="337">
        <v>0</v>
      </c>
      <c r="I95" s="334">
        <v>-2.0000000000000002E-5</v>
      </c>
      <c r="J95" s="335">
        <v>-2.0000000000000002E-5</v>
      </c>
      <c r="K95" s="345" t="s">
        <v>200</v>
      </c>
    </row>
    <row r="96" spans="1:11" ht="14.4" customHeight="1" thickBot="1" x14ac:dyDescent="0.35">
      <c r="A96" s="355" t="s">
        <v>288</v>
      </c>
      <c r="B96" s="339">
        <v>14</v>
      </c>
      <c r="C96" s="339">
        <v>7.2314999999999996</v>
      </c>
      <c r="D96" s="340">
        <v>-6.7685000000000004</v>
      </c>
      <c r="E96" s="346">
        <v>0.516535714285</v>
      </c>
      <c r="F96" s="339">
        <v>5.8142446445880003</v>
      </c>
      <c r="G96" s="340">
        <v>2.4226019352449999</v>
      </c>
      <c r="H96" s="342">
        <v>0</v>
      </c>
      <c r="I96" s="339">
        <v>1.4462999999999999</v>
      </c>
      <c r="J96" s="340">
        <v>-0.97630193524499997</v>
      </c>
      <c r="K96" s="343">
        <v>0.24875114282399999</v>
      </c>
    </row>
    <row r="97" spans="1:11" ht="14.4" customHeight="1" thickBot="1" x14ac:dyDescent="0.35">
      <c r="A97" s="356" t="s">
        <v>289</v>
      </c>
      <c r="B97" s="334">
        <v>14</v>
      </c>
      <c r="C97" s="334">
        <v>7.2314999999999996</v>
      </c>
      <c r="D97" s="335">
        <v>-6.7685000000000004</v>
      </c>
      <c r="E97" s="336">
        <v>0.516535714285</v>
      </c>
      <c r="F97" s="334">
        <v>5.8142446445880003</v>
      </c>
      <c r="G97" s="335">
        <v>2.4226019352449999</v>
      </c>
      <c r="H97" s="337">
        <v>0</v>
      </c>
      <c r="I97" s="334">
        <v>1.4462999999999999</v>
      </c>
      <c r="J97" s="335">
        <v>-0.97630193524499997</v>
      </c>
      <c r="K97" s="338">
        <v>0.24875114282399999</v>
      </c>
    </row>
    <row r="98" spans="1:11" ht="14.4" customHeight="1" thickBot="1" x14ac:dyDescent="0.35">
      <c r="A98" s="352" t="s">
        <v>290</v>
      </c>
      <c r="B98" s="334">
        <v>502.09512956055698</v>
      </c>
      <c r="C98" s="334">
        <v>531.89478000000099</v>
      </c>
      <c r="D98" s="335">
        <v>29.799650439442999</v>
      </c>
      <c r="E98" s="336">
        <v>1.0593506064580001</v>
      </c>
      <c r="F98" s="334">
        <v>0</v>
      </c>
      <c r="G98" s="335">
        <v>0</v>
      </c>
      <c r="H98" s="337">
        <v>32.499490000000002</v>
      </c>
      <c r="I98" s="334">
        <v>172.77099000000001</v>
      </c>
      <c r="J98" s="335">
        <v>172.77099000000001</v>
      </c>
      <c r="K98" s="345" t="s">
        <v>206</v>
      </c>
    </row>
    <row r="99" spans="1:11" ht="14.4" customHeight="1" thickBot="1" x14ac:dyDescent="0.35">
      <c r="A99" s="357" t="s">
        <v>291</v>
      </c>
      <c r="B99" s="339">
        <v>502.09512956055698</v>
      </c>
      <c r="C99" s="339">
        <v>531.89478000000099</v>
      </c>
      <c r="D99" s="340">
        <v>29.799650439442999</v>
      </c>
      <c r="E99" s="346">
        <v>1.0593506064580001</v>
      </c>
      <c r="F99" s="339">
        <v>0</v>
      </c>
      <c r="G99" s="340">
        <v>0</v>
      </c>
      <c r="H99" s="342">
        <v>32.499490000000002</v>
      </c>
      <c r="I99" s="339">
        <v>172.77099000000001</v>
      </c>
      <c r="J99" s="340">
        <v>172.77099000000001</v>
      </c>
      <c r="K99" s="347" t="s">
        <v>206</v>
      </c>
    </row>
    <row r="100" spans="1:11" ht="14.4" customHeight="1" thickBot="1" x14ac:dyDescent="0.35">
      <c r="A100" s="359" t="s">
        <v>31</v>
      </c>
      <c r="B100" s="339">
        <v>502.09512956055698</v>
      </c>
      <c r="C100" s="339">
        <v>531.89478000000099</v>
      </c>
      <c r="D100" s="340">
        <v>29.799650439442999</v>
      </c>
      <c r="E100" s="346">
        <v>1.0593506064580001</v>
      </c>
      <c r="F100" s="339">
        <v>0</v>
      </c>
      <c r="G100" s="340">
        <v>0</v>
      </c>
      <c r="H100" s="342">
        <v>32.499490000000002</v>
      </c>
      <c r="I100" s="339">
        <v>172.77099000000001</v>
      </c>
      <c r="J100" s="340">
        <v>172.77099000000001</v>
      </c>
      <c r="K100" s="347" t="s">
        <v>206</v>
      </c>
    </row>
    <row r="101" spans="1:11" ht="14.4" customHeight="1" thickBot="1" x14ac:dyDescent="0.35">
      <c r="A101" s="355" t="s">
        <v>292</v>
      </c>
      <c r="B101" s="339">
        <v>5.9297660682859998</v>
      </c>
      <c r="C101" s="339">
        <v>6.2655000000000003</v>
      </c>
      <c r="D101" s="340">
        <v>0.33573393171299998</v>
      </c>
      <c r="E101" s="346">
        <v>1.0566184108859999</v>
      </c>
      <c r="F101" s="339">
        <v>0</v>
      </c>
      <c r="G101" s="340">
        <v>0</v>
      </c>
      <c r="H101" s="342">
        <v>0.52200000000000002</v>
      </c>
      <c r="I101" s="339">
        <v>2.61</v>
      </c>
      <c r="J101" s="340">
        <v>2.61</v>
      </c>
      <c r="K101" s="347" t="s">
        <v>206</v>
      </c>
    </row>
    <row r="102" spans="1:11" ht="14.4" customHeight="1" thickBot="1" x14ac:dyDescent="0.35">
      <c r="A102" s="356" t="s">
        <v>293</v>
      </c>
      <c r="B102" s="334">
        <v>5.9297660682859998</v>
      </c>
      <c r="C102" s="334">
        <v>6.2655000000000003</v>
      </c>
      <c r="D102" s="335">
        <v>0.33573393171299998</v>
      </c>
      <c r="E102" s="336">
        <v>1.0566184108859999</v>
      </c>
      <c r="F102" s="334">
        <v>0</v>
      </c>
      <c r="G102" s="335">
        <v>0</v>
      </c>
      <c r="H102" s="337">
        <v>0.52200000000000002</v>
      </c>
      <c r="I102" s="334">
        <v>2.61</v>
      </c>
      <c r="J102" s="335">
        <v>2.61</v>
      </c>
      <c r="K102" s="345" t="s">
        <v>206</v>
      </c>
    </row>
    <row r="103" spans="1:11" ht="14.4" customHeight="1" thickBot="1" x14ac:dyDescent="0.35">
      <c r="A103" s="355" t="s">
        <v>294</v>
      </c>
      <c r="B103" s="339">
        <v>1.326101424198</v>
      </c>
      <c r="C103" s="339">
        <v>0.14699999999999999</v>
      </c>
      <c r="D103" s="340">
        <v>-1.179101424198</v>
      </c>
      <c r="E103" s="346">
        <v>0.110851249623</v>
      </c>
      <c r="F103" s="339">
        <v>0</v>
      </c>
      <c r="G103" s="340">
        <v>0</v>
      </c>
      <c r="H103" s="342">
        <v>0</v>
      </c>
      <c r="I103" s="339">
        <v>0</v>
      </c>
      <c r="J103" s="340">
        <v>0</v>
      </c>
      <c r="K103" s="343">
        <v>0</v>
      </c>
    </row>
    <row r="104" spans="1:11" ht="14.4" customHeight="1" thickBot="1" x14ac:dyDescent="0.35">
      <c r="A104" s="356" t="s">
        <v>295</v>
      </c>
      <c r="B104" s="334">
        <v>1.326101424198</v>
      </c>
      <c r="C104" s="334">
        <v>0.14699999999999999</v>
      </c>
      <c r="D104" s="335">
        <v>-1.179101424198</v>
      </c>
      <c r="E104" s="336">
        <v>0.110851249623</v>
      </c>
      <c r="F104" s="334">
        <v>0</v>
      </c>
      <c r="G104" s="335">
        <v>0</v>
      </c>
      <c r="H104" s="337">
        <v>0</v>
      </c>
      <c r="I104" s="334">
        <v>0</v>
      </c>
      <c r="J104" s="335">
        <v>0</v>
      </c>
      <c r="K104" s="338">
        <v>0</v>
      </c>
    </row>
    <row r="105" spans="1:11" ht="14.4" customHeight="1" thickBot="1" x14ac:dyDescent="0.35">
      <c r="A105" s="355" t="s">
        <v>296</v>
      </c>
      <c r="B105" s="339">
        <v>0.73477752106299998</v>
      </c>
      <c r="C105" s="339">
        <v>2.0278999999999998</v>
      </c>
      <c r="D105" s="340">
        <v>1.2931224789360001</v>
      </c>
      <c r="E105" s="346">
        <v>2.7598830147440001</v>
      </c>
      <c r="F105" s="339">
        <v>0</v>
      </c>
      <c r="G105" s="340">
        <v>0</v>
      </c>
      <c r="H105" s="342">
        <v>0.09</v>
      </c>
      <c r="I105" s="339">
        <v>0.77449999999999997</v>
      </c>
      <c r="J105" s="340">
        <v>0.77449999999999997</v>
      </c>
      <c r="K105" s="347" t="s">
        <v>206</v>
      </c>
    </row>
    <row r="106" spans="1:11" ht="14.4" customHeight="1" thickBot="1" x14ac:dyDescent="0.35">
      <c r="A106" s="356" t="s">
        <v>297</v>
      </c>
      <c r="B106" s="334">
        <v>0.73477752106299998</v>
      </c>
      <c r="C106" s="334">
        <v>2.0278999999999998</v>
      </c>
      <c r="D106" s="335">
        <v>1.2931224789360001</v>
      </c>
      <c r="E106" s="336">
        <v>2.7598830147440001</v>
      </c>
      <c r="F106" s="334">
        <v>0</v>
      </c>
      <c r="G106" s="335">
        <v>0</v>
      </c>
      <c r="H106" s="337">
        <v>0.09</v>
      </c>
      <c r="I106" s="334">
        <v>0.77449999999999997</v>
      </c>
      <c r="J106" s="335">
        <v>0.77449999999999997</v>
      </c>
      <c r="K106" s="345" t="s">
        <v>206</v>
      </c>
    </row>
    <row r="107" spans="1:11" ht="14.4" customHeight="1" thickBot="1" x14ac:dyDescent="0.35">
      <c r="A107" s="355" t="s">
        <v>298</v>
      </c>
      <c r="B107" s="339">
        <v>188</v>
      </c>
      <c r="C107" s="339">
        <v>171.4469</v>
      </c>
      <c r="D107" s="340">
        <v>-16.553099999998999</v>
      </c>
      <c r="E107" s="346">
        <v>0.91195159574399998</v>
      </c>
      <c r="F107" s="339">
        <v>0</v>
      </c>
      <c r="G107" s="340">
        <v>0</v>
      </c>
      <c r="H107" s="342">
        <v>7.0256499999999997</v>
      </c>
      <c r="I107" s="339">
        <v>36.204099999999997</v>
      </c>
      <c r="J107" s="340">
        <v>36.204099999999997</v>
      </c>
      <c r="K107" s="347" t="s">
        <v>206</v>
      </c>
    </row>
    <row r="108" spans="1:11" ht="14.4" customHeight="1" thickBot="1" x14ac:dyDescent="0.35">
      <c r="A108" s="356" t="s">
        <v>299</v>
      </c>
      <c r="B108" s="334">
        <v>188</v>
      </c>
      <c r="C108" s="334">
        <v>171.4469</v>
      </c>
      <c r="D108" s="335">
        <v>-16.553099999998999</v>
      </c>
      <c r="E108" s="336">
        <v>0.91195159574399998</v>
      </c>
      <c r="F108" s="334">
        <v>0</v>
      </c>
      <c r="G108" s="335">
        <v>0</v>
      </c>
      <c r="H108" s="337">
        <v>7.0256499999999997</v>
      </c>
      <c r="I108" s="334">
        <v>36.204099999999997</v>
      </c>
      <c r="J108" s="335">
        <v>36.204099999999997</v>
      </c>
      <c r="K108" s="345" t="s">
        <v>206</v>
      </c>
    </row>
    <row r="109" spans="1:11" ht="14.4" customHeight="1" thickBot="1" x14ac:dyDescent="0.35">
      <c r="A109" s="355" t="s">
        <v>300</v>
      </c>
      <c r="B109" s="339">
        <v>306.10448454700901</v>
      </c>
      <c r="C109" s="339">
        <v>352.00747999999999</v>
      </c>
      <c r="D109" s="340">
        <v>45.902995452991</v>
      </c>
      <c r="E109" s="346">
        <v>1.1499585852880001</v>
      </c>
      <c r="F109" s="339">
        <v>0</v>
      </c>
      <c r="G109" s="340">
        <v>0</v>
      </c>
      <c r="H109" s="342">
        <v>24.861840000000001</v>
      </c>
      <c r="I109" s="339">
        <v>133.18239</v>
      </c>
      <c r="J109" s="340">
        <v>133.18239</v>
      </c>
      <c r="K109" s="347" t="s">
        <v>206</v>
      </c>
    </row>
    <row r="110" spans="1:11" ht="14.4" customHeight="1" thickBot="1" x14ac:dyDescent="0.35">
      <c r="A110" s="356" t="s">
        <v>301</v>
      </c>
      <c r="B110" s="334">
        <v>306.10448454700901</v>
      </c>
      <c r="C110" s="334">
        <v>352.00747999999999</v>
      </c>
      <c r="D110" s="335">
        <v>45.902995452991</v>
      </c>
      <c r="E110" s="336">
        <v>1.1499585852880001</v>
      </c>
      <c r="F110" s="334">
        <v>0</v>
      </c>
      <c r="G110" s="335">
        <v>0</v>
      </c>
      <c r="H110" s="337">
        <v>24.861840000000001</v>
      </c>
      <c r="I110" s="334">
        <v>133.18239</v>
      </c>
      <c r="J110" s="335">
        <v>133.18239</v>
      </c>
      <c r="K110" s="345" t="s">
        <v>206</v>
      </c>
    </row>
    <row r="111" spans="1:11" ht="14.4" customHeight="1" thickBot="1" x14ac:dyDescent="0.35">
      <c r="A111" s="360"/>
      <c r="B111" s="334">
        <v>-1964.8239183820599</v>
      </c>
      <c r="C111" s="334">
        <v>-1883.3484000000001</v>
      </c>
      <c r="D111" s="335">
        <v>81.475518382054005</v>
      </c>
      <c r="E111" s="336">
        <v>0.95853291604400004</v>
      </c>
      <c r="F111" s="334">
        <v>-1138.9974075755299</v>
      </c>
      <c r="G111" s="335">
        <v>-474.58225315647201</v>
      </c>
      <c r="H111" s="337">
        <v>-151.33105</v>
      </c>
      <c r="I111" s="334">
        <v>-635.56920000000002</v>
      </c>
      <c r="J111" s="335">
        <v>-160.98694684352799</v>
      </c>
      <c r="K111" s="338">
        <v>0.55800759138900002</v>
      </c>
    </row>
    <row r="112" spans="1:11" ht="14.4" customHeight="1" thickBot="1" x14ac:dyDescent="0.35">
      <c r="A112" s="361" t="s">
        <v>43</v>
      </c>
      <c r="B112" s="348">
        <v>-1964.8239183820599</v>
      </c>
      <c r="C112" s="348">
        <v>-1883.3484000000001</v>
      </c>
      <c r="D112" s="349">
        <v>81.475518382054005</v>
      </c>
      <c r="E112" s="350">
        <v>-0.94361922600100001</v>
      </c>
      <c r="F112" s="348">
        <v>-1138.9974075755299</v>
      </c>
      <c r="G112" s="349">
        <v>-474.58225315647201</v>
      </c>
      <c r="H112" s="348">
        <v>-151.33105</v>
      </c>
      <c r="I112" s="348">
        <v>-635.56920000000002</v>
      </c>
      <c r="J112" s="349">
        <v>-160.98694684352799</v>
      </c>
      <c r="K112" s="351">
        <v>0.55800759138900002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0" t="s">
        <v>104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95" t="s">
        <v>199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175"/>
      <c r="C3" s="239">
        <v>2014</v>
      </c>
      <c r="D3" s="240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4" t="s">
        <v>0</v>
      </c>
      <c r="B4" s="245" t="s">
        <v>157</v>
      </c>
      <c r="C4" s="298" t="s">
        <v>50</v>
      </c>
      <c r="D4" s="299"/>
      <c r="E4" s="246"/>
      <c r="F4" s="241" t="s">
        <v>50</v>
      </c>
      <c r="G4" s="242" t="s">
        <v>51</v>
      </c>
      <c r="H4" s="242" t="s">
        <v>45</v>
      </c>
      <c r="I4" s="243" t="s">
        <v>52</v>
      </c>
    </row>
    <row r="5" spans="1:10" ht="14.4" customHeight="1" x14ac:dyDescent="0.3">
      <c r="A5" s="362" t="s">
        <v>302</v>
      </c>
      <c r="B5" s="363" t="s">
        <v>303</v>
      </c>
      <c r="C5" s="364" t="s">
        <v>304</v>
      </c>
      <c r="D5" s="364" t="s">
        <v>304</v>
      </c>
      <c r="E5" s="364"/>
      <c r="F5" s="364" t="s">
        <v>304</v>
      </c>
      <c r="G5" s="364" t="s">
        <v>304</v>
      </c>
      <c r="H5" s="364" t="s">
        <v>304</v>
      </c>
      <c r="I5" s="365" t="s">
        <v>304</v>
      </c>
      <c r="J5" s="366" t="s">
        <v>46</v>
      </c>
    </row>
    <row r="6" spans="1:10" ht="14.4" customHeight="1" x14ac:dyDescent="0.3">
      <c r="A6" s="362" t="s">
        <v>302</v>
      </c>
      <c r="B6" s="363" t="s">
        <v>207</v>
      </c>
      <c r="C6" s="364">
        <v>0</v>
      </c>
      <c r="D6" s="364">
        <v>0</v>
      </c>
      <c r="E6" s="364"/>
      <c r="F6" s="364">
        <v>0</v>
      </c>
      <c r="G6" s="364">
        <v>0.14107503888791667</v>
      </c>
      <c r="H6" s="364">
        <v>-0.14107503888791667</v>
      </c>
      <c r="I6" s="365">
        <v>0</v>
      </c>
      <c r="J6" s="366" t="s">
        <v>1</v>
      </c>
    </row>
    <row r="7" spans="1:10" ht="14.4" customHeight="1" x14ac:dyDescent="0.3">
      <c r="A7" s="362" t="s">
        <v>302</v>
      </c>
      <c r="B7" s="363" t="s">
        <v>305</v>
      </c>
      <c r="C7" s="364">
        <v>0</v>
      </c>
      <c r="D7" s="364">
        <v>0</v>
      </c>
      <c r="E7" s="364"/>
      <c r="F7" s="364">
        <v>0</v>
      </c>
      <c r="G7" s="364">
        <v>0.14107503888791667</v>
      </c>
      <c r="H7" s="364">
        <v>-0.14107503888791667</v>
      </c>
      <c r="I7" s="365">
        <v>0</v>
      </c>
      <c r="J7" s="366" t="s">
        <v>306</v>
      </c>
    </row>
    <row r="9" spans="1:10" ht="14.4" customHeight="1" x14ac:dyDescent="0.3">
      <c r="A9" s="362" t="s">
        <v>302</v>
      </c>
      <c r="B9" s="363" t="s">
        <v>303</v>
      </c>
      <c r="C9" s="364" t="s">
        <v>304</v>
      </c>
      <c r="D9" s="364" t="s">
        <v>304</v>
      </c>
      <c r="E9" s="364"/>
      <c r="F9" s="364" t="s">
        <v>304</v>
      </c>
      <c r="G9" s="364" t="s">
        <v>304</v>
      </c>
      <c r="H9" s="364" t="s">
        <v>304</v>
      </c>
      <c r="I9" s="365" t="s">
        <v>304</v>
      </c>
      <c r="J9" s="366" t="s">
        <v>46</v>
      </c>
    </row>
    <row r="10" spans="1:10" ht="14.4" customHeight="1" x14ac:dyDescent="0.3">
      <c r="A10" s="362" t="s">
        <v>307</v>
      </c>
      <c r="B10" s="363" t="s">
        <v>308</v>
      </c>
      <c r="C10" s="364" t="s">
        <v>304</v>
      </c>
      <c r="D10" s="364" t="s">
        <v>304</v>
      </c>
      <c r="E10" s="364"/>
      <c r="F10" s="364" t="s">
        <v>304</v>
      </c>
      <c r="G10" s="364" t="s">
        <v>304</v>
      </c>
      <c r="H10" s="364" t="s">
        <v>304</v>
      </c>
      <c r="I10" s="365" t="s">
        <v>304</v>
      </c>
      <c r="J10" s="366" t="s">
        <v>0</v>
      </c>
    </row>
    <row r="11" spans="1:10" ht="14.4" customHeight="1" x14ac:dyDescent="0.3">
      <c r="A11" s="362" t="s">
        <v>307</v>
      </c>
      <c r="B11" s="363" t="s">
        <v>207</v>
      </c>
      <c r="C11" s="364">
        <v>0</v>
      </c>
      <c r="D11" s="364">
        <v>0</v>
      </c>
      <c r="E11" s="364"/>
      <c r="F11" s="364">
        <v>0</v>
      </c>
      <c r="G11" s="364">
        <v>0.14107503888791667</v>
      </c>
      <c r="H11" s="364">
        <v>-0.14107503888791667</v>
      </c>
      <c r="I11" s="365">
        <v>0</v>
      </c>
      <c r="J11" s="366" t="s">
        <v>1</v>
      </c>
    </row>
    <row r="12" spans="1:10" ht="14.4" customHeight="1" x14ac:dyDescent="0.3">
      <c r="A12" s="362" t="s">
        <v>307</v>
      </c>
      <c r="B12" s="363" t="s">
        <v>309</v>
      </c>
      <c r="C12" s="364">
        <v>0</v>
      </c>
      <c r="D12" s="364">
        <v>0</v>
      </c>
      <c r="E12" s="364"/>
      <c r="F12" s="364">
        <v>0</v>
      </c>
      <c r="G12" s="364">
        <v>0.14107503888791667</v>
      </c>
      <c r="H12" s="364">
        <v>-0.14107503888791667</v>
      </c>
      <c r="I12" s="365">
        <v>0</v>
      </c>
      <c r="J12" s="366" t="s">
        <v>310</v>
      </c>
    </row>
    <row r="13" spans="1:10" ht="14.4" customHeight="1" x14ac:dyDescent="0.3">
      <c r="A13" s="362" t="s">
        <v>304</v>
      </c>
      <c r="B13" s="363" t="s">
        <v>304</v>
      </c>
      <c r="C13" s="364" t="s">
        <v>304</v>
      </c>
      <c r="D13" s="364" t="s">
        <v>304</v>
      </c>
      <c r="E13" s="364"/>
      <c r="F13" s="364" t="s">
        <v>304</v>
      </c>
      <c r="G13" s="364" t="s">
        <v>304</v>
      </c>
      <c r="H13" s="364" t="s">
        <v>304</v>
      </c>
      <c r="I13" s="365" t="s">
        <v>304</v>
      </c>
      <c r="J13" s="366" t="s">
        <v>311</v>
      </c>
    </row>
    <row r="14" spans="1:10" ht="14.4" customHeight="1" x14ac:dyDescent="0.3">
      <c r="A14" s="362" t="s">
        <v>302</v>
      </c>
      <c r="B14" s="363" t="s">
        <v>305</v>
      </c>
      <c r="C14" s="364">
        <v>0</v>
      </c>
      <c r="D14" s="364">
        <v>0</v>
      </c>
      <c r="E14" s="364"/>
      <c r="F14" s="364">
        <v>0</v>
      </c>
      <c r="G14" s="364">
        <v>0.14107503888791667</v>
      </c>
      <c r="H14" s="364">
        <v>-0.14107503888791667</v>
      </c>
      <c r="I14" s="365">
        <v>0</v>
      </c>
      <c r="J14" s="366" t="s">
        <v>306</v>
      </c>
    </row>
  </sheetData>
  <mergeCells count="3">
    <mergeCell ref="F3:I3"/>
    <mergeCell ref="C4:D4"/>
    <mergeCell ref="A1:I1"/>
  </mergeCells>
  <conditionalFormatting sqref="F8 F15:F65537">
    <cfRule type="cellIs" dxfId="39" priority="18" stopIfTrue="1" operator="greaterThan">
      <formula>1</formula>
    </cfRule>
  </conditionalFormatting>
  <conditionalFormatting sqref="H5:H7">
    <cfRule type="expression" dxfId="38" priority="14">
      <formula>$H5&gt;0</formula>
    </cfRule>
  </conditionalFormatting>
  <conditionalFormatting sqref="I5:I7">
    <cfRule type="expression" dxfId="37" priority="15">
      <formula>$I5&gt;1</formula>
    </cfRule>
  </conditionalFormatting>
  <conditionalFormatting sqref="B5:B7">
    <cfRule type="expression" dxfId="36" priority="11">
      <formula>OR($J5="NS",$J5="SumaNS",$J5="Účet")</formula>
    </cfRule>
  </conditionalFormatting>
  <conditionalFormatting sqref="B5:D7 F5:I7">
    <cfRule type="expression" dxfId="35" priority="17">
      <formula>AND($J5&lt;&gt;"",$J5&lt;&gt;"mezeraKL")</formula>
    </cfRule>
  </conditionalFormatting>
  <conditionalFormatting sqref="B5:D7 F5:I7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3" priority="13">
      <formula>OR($J5="SumaNS",$J5="NS")</formula>
    </cfRule>
  </conditionalFormatting>
  <conditionalFormatting sqref="A5:A7">
    <cfRule type="expression" dxfId="32" priority="9">
      <formula>AND($J5&lt;&gt;"mezeraKL",$J5&lt;&gt;"")</formula>
    </cfRule>
  </conditionalFormatting>
  <conditionalFormatting sqref="A5:A7">
    <cfRule type="expression" dxfId="31" priority="10">
      <formula>AND($J5&lt;&gt;"",$J5&lt;&gt;"mezeraKL")</formula>
    </cfRule>
  </conditionalFormatting>
  <conditionalFormatting sqref="H9:H14">
    <cfRule type="expression" dxfId="30" priority="5">
      <formula>$H9&gt;0</formula>
    </cfRule>
  </conditionalFormatting>
  <conditionalFormatting sqref="A9:A14">
    <cfRule type="expression" dxfId="29" priority="2">
      <formula>AND($J9&lt;&gt;"mezeraKL",$J9&lt;&gt;"")</formula>
    </cfRule>
  </conditionalFormatting>
  <conditionalFormatting sqref="I9:I14">
    <cfRule type="expression" dxfId="28" priority="6">
      <formula>$I9&gt;1</formula>
    </cfRule>
  </conditionalFormatting>
  <conditionalFormatting sqref="B9:B14">
    <cfRule type="expression" dxfId="27" priority="1">
      <formula>OR($J9="NS",$J9="SumaNS",$J9="Účet")</formula>
    </cfRule>
  </conditionalFormatting>
  <conditionalFormatting sqref="A9:D14 F9:I14">
    <cfRule type="expression" dxfId="26" priority="8">
      <formula>AND($J9&lt;&gt;"",$J9&lt;&gt;"mezeraKL")</formula>
    </cfRule>
  </conditionalFormatting>
  <conditionalFormatting sqref="B9:D14 F9:I14">
    <cfRule type="expression" dxfId="2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2"/>
  </cols>
  <sheetData>
    <row r="1" spans="1:17" ht="18.600000000000001" customHeight="1" thickBot="1" x14ac:dyDescent="0.4">
      <c r="A1" s="303" t="s">
        <v>158</v>
      </c>
      <c r="B1" s="303"/>
      <c r="C1" s="303"/>
      <c r="D1" s="303"/>
      <c r="E1" s="303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95" t="s">
        <v>199</v>
      </c>
      <c r="B2" s="180"/>
      <c r="C2" s="180"/>
      <c r="D2" s="180"/>
      <c r="E2" s="180"/>
    </row>
    <row r="3" spans="1:17" ht="14.4" customHeight="1" thickBot="1" x14ac:dyDescent="0.35">
      <c r="A3" s="248" t="s">
        <v>3</v>
      </c>
      <c r="B3" s="252">
        <f>SUM(B6:B1048576)</f>
        <v>2</v>
      </c>
      <c r="C3" s="253">
        <f>SUM(C6:C1048576)</f>
        <v>0</v>
      </c>
      <c r="D3" s="253">
        <f>SUM(D6:D1048576)</f>
        <v>0</v>
      </c>
      <c r="E3" s="254">
        <f>SUM(E6:E1048576)</f>
        <v>0</v>
      </c>
      <c r="F3" s="251">
        <f>IF(SUM($B3:$E3)=0,"",B3/SUM($B3:$E3))</f>
        <v>1</v>
      </c>
      <c r="G3" s="249">
        <f t="shared" ref="G3:I3" si="0">IF(SUM($B3:$E3)=0,"",C3/SUM($B3:$E3))</f>
        <v>0</v>
      </c>
      <c r="H3" s="249">
        <f t="shared" si="0"/>
        <v>0</v>
      </c>
      <c r="I3" s="250">
        <f t="shared" si="0"/>
        <v>0</v>
      </c>
      <c r="J3" s="253">
        <f>SUM(J6:J1048576)</f>
        <v>1</v>
      </c>
      <c r="K3" s="253">
        <f>SUM(K6:K1048576)</f>
        <v>0</v>
      </c>
      <c r="L3" s="253">
        <f>SUM(L6:L1048576)</f>
        <v>0</v>
      </c>
      <c r="M3" s="254">
        <f>SUM(M6:M1048576)</f>
        <v>0</v>
      </c>
      <c r="N3" s="251">
        <f>IF(SUM($J3:$M3)=0,"",J3/SUM($J3:$M3))</f>
        <v>1</v>
      </c>
      <c r="O3" s="249">
        <f t="shared" ref="O3:Q3" si="1">IF(SUM($J3:$M3)=0,"",K3/SUM($J3:$M3))</f>
        <v>0</v>
      </c>
      <c r="P3" s="249">
        <f t="shared" si="1"/>
        <v>0</v>
      </c>
      <c r="Q3" s="250">
        <f t="shared" si="1"/>
        <v>0</v>
      </c>
    </row>
    <row r="4" spans="1:17" ht="14.4" customHeight="1" thickBot="1" x14ac:dyDescent="0.35">
      <c r="A4" s="247"/>
      <c r="B4" s="307" t="s">
        <v>160</v>
      </c>
      <c r="C4" s="308"/>
      <c r="D4" s="308"/>
      <c r="E4" s="309"/>
      <c r="F4" s="304" t="s">
        <v>165</v>
      </c>
      <c r="G4" s="305"/>
      <c r="H4" s="305"/>
      <c r="I4" s="306"/>
      <c r="J4" s="307" t="s">
        <v>166</v>
      </c>
      <c r="K4" s="308"/>
      <c r="L4" s="308"/>
      <c r="M4" s="309"/>
      <c r="N4" s="304" t="s">
        <v>167</v>
      </c>
      <c r="O4" s="305"/>
      <c r="P4" s="305"/>
      <c r="Q4" s="306"/>
    </row>
    <row r="5" spans="1:17" ht="14.4" customHeight="1" thickBot="1" x14ac:dyDescent="0.35">
      <c r="A5" s="367" t="s">
        <v>159</v>
      </c>
      <c r="B5" s="368" t="s">
        <v>161</v>
      </c>
      <c r="C5" s="368" t="s">
        <v>162</v>
      </c>
      <c r="D5" s="368" t="s">
        <v>163</v>
      </c>
      <c r="E5" s="369" t="s">
        <v>164</v>
      </c>
      <c r="F5" s="370" t="s">
        <v>161</v>
      </c>
      <c r="G5" s="371" t="s">
        <v>162</v>
      </c>
      <c r="H5" s="371" t="s">
        <v>163</v>
      </c>
      <c r="I5" s="372" t="s">
        <v>164</v>
      </c>
      <c r="J5" s="368" t="s">
        <v>161</v>
      </c>
      <c r="K5" s="368" t="s">
        <v>162</v>
      </c>
      <c r="L5" s="368" t="s">
        <v>163</v>
      </c>
      <c r="M5" s="369" t="s">
        <v>164</v>
      </c>
      <c r="N5" s="370" t="s">
        <v>161</v>
      </c>
      <c r="O5" s="371" t="s">
        <v>162</v>
      </c>
      <c r="P5" s="371" t="s">
        <v>163</v>
      </c>
      <c r="Q5" s="372" t="s">
        <v>164</v>
      </c>
    </row>
    <row r="6" spans="1:17" ht="14.4" customHeight="1" x14ac:dyDescent="0.3">
      <c r="A6" s="380" t="s">
        <v>312</v>
      </c>
      <c r="B6" s="384"/>
      <c r="C6" s="374"/>
      <c r="D6" s="374"/>
      <c r="E6" s="386"/>
      <c r="F6" s="382"/>
      <c r="G6" s="375"/>
      <c r="H6" s="375"/>
      <c r="I6" s="388"/>
      <c r="J6" s="384"/>
      <c r="K6" s="374"/>
      <c r="L6" s="374"/>
      <c r="M6" s="386"/>
      <c r="N6" s="382"/>
      <c r="O6" s="375"/>
      <c r="P6" s="375"/>
      <c r="Q6" s="376"/>
    </row>
    <row r="7" spans="1:17" ht="14.4" customHeight="1" thickBot="1" x14ac:dyDescent="0.35">
      <c r="A7" s="381" t="s">
        <v>313</v>
      </c>
      <c r="B7" s="385">
        <v>2</v>
      </c>
      <c r="C7" s="377"/>
      <c r="D7" s="377"/>
      <c r="E7" s="387"/>
      <c r="F7" s="383">
        <v>1</v>
      </c>
      <c r="G7" s="378">
        <v>0</v>
      </c>
      <c r="H7" s="378">
        <v>0</v>
      </c>
      <c r="I7" s="389">
        <v>0</v>
      </c>
      <c r="J7" s="385">
        <v>1</v>
      </c>
      <c r="K7" s="377"/>
      <c r="L7" s="377"/>
      <c r="M7" s="387"/>
      <c r="N7" s="383">
        <v>1</v>
      </c>
      <c r="O7" s="378">
        <v>0</v>
      </c>
      <c r="P7" s="378">
        <v>0</v>
      </c>
      <c r="Q7" s="3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0" t="s">
        <v>105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95" t="s">
        <v>199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175"/>
      <c r="C3" s="239">
        <v>2014</v>
      </c>
      <c r="D3" s="240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4" t="s">
        <v>0</v>
      </c>
      <c r="B4" s="245" t="s">
        <v>157</v>
      </c>
      <c r="C4" s="298" t="s">
        <v>50</v>
      </c>
      <c r="D4" s="299"/>
      <c r="E4" s="246"/>
      <c r="F4" s="241" t="s">
        <v>50</v>
      </c>
      <c r="G4" s="242" t="s">
        <v>51</v>
      </c>
      <c r="H4" s="242" t="s">
        <v>45</v>
      </c>
      <c r="I4" s="243" t="s">
        <v>52</v>
      </c>
    </row>
    <row r="5" spans="1:10" ht="14.4" customHeight="1" x14ac:dyDescent="0.3">
      <c r="A5" s="362" t="s">
        <v>302</v>
      </c>
      <c r="B5" s="363" t="s">
        <v>303</v>
      </c>
      <c r="C5" s="364" t="s">
        <v>304</v>
      </c>
      <c r="D5" s="364" t="s">
        <v>304</v>
      </c>
      <c r="E5" s="364"/>
      <c r="F5" s="364" t="s">
        <v>304</v>
      </c>
      <c r="G5" s="364" t="s">
        <v>304</v>
      </c>
      <c r="H5" s="364" t="s">
        <v>304</v>
      </c>
      <c r="I5" s="365" t="s">
        <v>304</v>
      </c>
      <c r="J5" s="366" t="s">
        <v>46</v>
      </c>
    </row>
    <row r="6" spans="1:10" ht="14.4" customHeight="1" x14ac:dyDescent="0.3">
      <c r="A6" s="362" t="s">
        <v>302</v>
      </c>
      <c r="B6" s="363" t="s">
        <v>209</v>
      </c>
      <c r="C6" s="364" t="s">
        <v>304</v>
      </c>
      <c r="D6" s="364">
        <v>0</v>
      </c>
      <c r="E6" s="364"/>
      <c r="F6" s="364">
        <v>0</v>
      </c>
      <c r="G6" s="364">
        <v>0.12056669990125</v>
      </c>
      <c r="H6" s="364">
        <v>-0.12056669990125</v>
      </c>
      <c r="I6" s="365">
        <v>0</v>
      </c>
      <c r="J6" s="366" t="s">
        <v>1</v>
      </c>
    </row>
    <row r="7" spans="1:10" ht="14.4" customHeight="1" x14ac:dyDescent="0.3">
      <c r="A7" s="362" t="s">
        <v>302</v>
      </c>
      <c r="B7" s="363" t="s">
        <v>210</v>
      </c>
      <c r="C7" s="364">
        <v>0</v>
      </c>
      <c r="D7" s="364">
        <v>0</v>
      </c>
      <c r="E7" s="364"/>
      <c r="F7" s="364" t="s">
        <v>304</v>
      </c>
      <c r="G7" s="364" t="s">
        <v>304</v>
      </c>
      <c r="H7" s="364" t="s">
        <v>304</v>
      </c>
      <c r="I7" s="365" t="s">
        <v>304</v>
      </c>
      <c r="J7" s="366" t="s">
        <v>1</v>
      </c>
    </row>
    <row r="8" spans="1:10" ht="14.4" customHeight="1" x14ac:dyDescent="0.3">
      <c r="A8" s="362" t="s">
        <v>302</v>
      </c>
      <c r="B8" s="363" t="s">
        <v>305</v>
      </c>
      <c r="C8" s="364">
        <v>0</v>
      </c>
      <c r="D8" s="364">
        <v>0</v>
      </c>
      <c r="E8" s="364"/>
      <c r="F8" s="364">
        <v>0</v>
      </c>
      <c r="G8" s="364">
        <v>0.12056669990125</v>
      </c>
      <c r="H8" s="364">
        <v>-0.12056669990125</v>
      </c>
      <c r="I8" s="365">
        <v>0</v>
      </c>
      <c r="J8" s="366" t="s">
        <v>306</v>
      </c>
    </row>
    <row r="10" spans="1:10" ht="14.4" customHeight="1" x14ac:dyDescent="0.3">
      <c r="A10" s="362" t="s">
        <v>302</v>
      </c>
      <c r="B10" s="363" t="s">
        <v>303</v>
      </c>
      <c r="C10" s="364" t="s">
        <v>304</v>
      </c>
      <c r="D10" s="364" t="s">
        <v>304</v>
      </c>
      <c r="E10" s="364"/>
      <c r="F10" s="364" t="s">
        <v>304</v>
      </c>
      <c r="G10" s="364" t="s">
        <v>304</v>
      </c>
      <c r="H10" s="364" t="s">
        <v>304</v>
      </c>
      <c r="I10" s="365" t="s">
        <v>304</v>
      </c>
      <c r="J10" s="366" t="s">
        <v>46</v>
      </c>
    </row>
    <row r="11" spans="1:10" ht="14.4" customHeight="1" x14ac:dyDescent="0.3">
      <c r="A11" s="362" t="s">
        <v>307</v>
      </c>
      <c r="B11" s="363" t="s">
        <v>308</v>
      </c>
      <c r="C11" s="364" t="s">
        <v>304</v>
      </c>
      <c r="D11" s="364" t="s">
        <v>304</v>
      </c>
      <c r="E11" s="364"/>
      <c r="F11" s="364" t="s">
        <v>304</v>
      </c>
      <c r="G11" s="364" t="s">
        <v>304</v>
      </c>
      <c r="H11" s="364" t="s">
        <v>304</v>
      </c>
      <c r="I11" s="365" t="s">
        <v>304</v>
      </c>
      <c r="J11" s="366" t="s">
        <v>0</v>
      </c>
    </row>
    <row r="12" spans="1:10" ht="14.4" customHeight="1" x14ac:dyDescent="0.3">
      <c r="A12" s="362" t="s">
        <v>307</v>
      </c>
      <c r="B12" s="363" t="s">
        <v>209</v>
      </c>
      <c r="C12" s="364" t="s">
        <v>304</v>
      </c>
      <c r="D12" s="364">
        <v>0</v>
      </c>
      <c r="E12" s="364"/>
      <c r="F12" s="364">
        <v>0</v>
      </c>
      <c r="G12" s="364">
        <v>0.12056669990125</v>
      </c>
      <c r="H12" s="364">
        <v>-0.12056669990125</v>
      </c>
      <c r="I12" s="365">
        <v>0</v>
      </c>
      <c r="J12" s="366" t="s">
        <v>1</v>
      </c>
    </row>
    <row r="13" spans="1:10" ht="14.4" customHeight="1" x14ac:dyDescent="0.3">
      <c r="A13" s="362" t="s">
        <v>307</v>
      </c>
      <c r="B13" s="363" t="s">
        <v>210</v>
      </c>
      <c r="C13" s="364">
        <v>0</v>
      </c>
      <c r="D13" s="364">
        <v>0</v>
      </c>
      <c r="E13" s="364"/>
      <c r="F13" s="364" t="s">
        <v>304</v>
      </c>
      <c r="G13" s="364" t="s">
        <v>304</v>
      </c>
      <c r="H13" s="364" t="s">
        <v>304</v>
      </c>
      <c r="I13" s="365" t="s">
        <v>304</v>
      </c>
      <c r="J13" s="366" t="s">
        <v>1</v>
      </c>
    </row>
    <row r="14" spans="1:10" ht="14.4" customHeight="1" x14ac:dyDescent="0.3">
      <c r="A14" s="362" t="s">
        <v>307</v>
      </c>
      <c r="B14" s="363" t="s">
        <v>309</v>
      </c>
      <c r="C14" s="364">
        <v>0</v>
      </c>
      <c r="D14" s="364">
        <v>0</v>
      </c>
      <c r="E14" s="364"/>
      <c r="F14" s="364">
        <v>0</v>
      </c>
      <c r="G14" s="364">
        <v>0.12056669990125</v>
      </c>
      <c r="H14" s="364">
        <v>-0.12056669990125</v>
      </c>
      <c r="I14" s="365">
        <v>0</v>
      </c>
      <c r="J14" s="366" t="s">
        <v>310</v>
      </c>
    </row>
    <row r="15" spans="1:10" ht="14.4" customHeight="1" x14ac:dyDescent="0.3">
      <c r="A15" s="362" t="s">
        <v>304</v>
      </c>
      <c r="B15" s="363" t="s">
        <v>304</v>
      </c>
      <c r="C15" s="364" t="s">
        <v>304</v>
      </c>
      <c r="D15" s="364" t="s">
        <v>304</v>
      </c>
      <c r="E15" s="364"/>
      <c r="F15" s="364" t="s">
        <v>304</v>
      </c>
      <c r="G15" s="364" t="s">
        <v>304</v>
      </c>
      <c r="H15" s="364" t="s">
        <v>304</v>
      </c>
      <c r="I15" s="365" t="s">
        <v>304</v>
      </c>
      <c r="J15" s="366" t="s">
        <v>311</v>
      </c>
    </row>
    <row r="16" spans="1:10" ht="14.4" customHeight="1" x14ac:dyDescent="0.3">
      <c r="A16" s="362" t="s">
        <v>302</v>
      </c>
      <c r="B16" s="363" t="s">
        <v>305</v>
      </c>
      <c r="C16" s="364">
        <v>0</v>
      </c>
      <c r="D16" s="364">
        <v>0</v>
      </c>
      <c r="E16" s="364"/>
      <c r="F16" s="364">
        <v>0</v>
      </c>
      <c r="G16" s="364">
        <v>0.12056669990125</v>
      </c>
      <c r="H16" s="364">
        <v>-0.12056669990125</v>
      </c>
      <c r="I16" s="365">
        <v>0</v>
      </c>
      <c r="J16" s="366" t="s">
        <v>306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2016-06-22T15:21:31Z</dcterms:modified>
</cp:coreProperties>
</file>