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Statim" sheetId="427" r:id="rId8"/>
    <sheet name="Materiál Žádanky" sheetId="420" r:id="rId9"/>
    <sheet name="Osobní náklady" sheetId="419" r:id="rId10"/>
    <sheet name="ON Data" sheetId="418" state="hidden" r:id="rId11"/>
    <sheet name="ZV Vykáz.-A" sheetId="344" r:id="rId12"/>
    <sheet name="ZV Vykáz.-A Lékaři" sheetId="429" r:id="rId13"/>
    <sheet name="ZV Vykáz.-A Detail" sheetId="345" r:id="rId14"/>
    <sheet name="ZV Vykáz.-H" sheetId="410" r:id="rId15"/>
    <sheet name="ZV Vykáz.-H Detail" sheetId="377" r:id="rId16"/>
  </sheets>
  <definedNames>
    <definedName name="_xlnm._FilterDatabase" localSheetId="5" hidden="1">HV!$A$5:$A$5</definedName>
    <definedName name="_xlnm._FilterDatabase" localSheetId="6" hidden="1">'Léky Žádanky'!$A$4:$I$4</definedName>
    <definedName name="_xlnm._FilterDatabase" localSheetId="7" hidden="1">'LŽ Statim'!$A$5:$I$5</definedName>
    <definedName name="_xlnm._FilterDatabase" localSheetId="4" hidden="1">'Man Tab'!$A$5:$A$31</definedName>
    <definedName name="_xlnm._FilterDatabase" localSheetId="8" hidden="1">'Materiál Žádanky'!$A$4:$I$4</definedName>
    <definedName name="_xlnm._FilterDatabase" localSheetId="13" hidden="1">'ZV Vykáz.-A Detail'!$A$5:$Q$5</definedName>
    <definedName name="_xlnm._FilterDatabase" localSheetId="12" hidden="1">'ZV Vykáz.-A Lékaři'!$A$4:$A$5</definedName>
    <definedName name="_xlnm._FilterDatabase" localSheetId="15" hidden="1">'ZV Vykáz.-H Detail'!$A$5:$Q$5</definedName>
    <definedName name="doměsíce">'HI Graf'!$C$11</definedName>
  </definedNames>
  <calcPr calcId="152511"/>
</workbook>
</file>

<file path=xl/calcChain.xml><?xml version="1.0" encoding="utf-8"?>
<calcChain xmlns="http://schemas.openxmlformats.org/spreadsheetml/2006/main">
  <c r="E26" i="419" l="1"/>
  <c r="E25" i="419"/>
  <c r="C26" i="419"/>
  <c r="E28" i="419" l="1"/>
  <c r="E27" i="419"/>
  <c r="C25" i="419"/>
  <c r="E20" i="419"/>
  <c r="E19" i="419"/>
  <c r="E17" i="419"/>
  <c r="E16" i="419"/>
  <c r="E14" i="419"/>
  <c r="E13" i="419"/>
  <c r="E12" i="419"/>
  <c r="E11" i="419"/>
  <c r="AW3" i="418"/>
  <c r="AV3" i="418"/>
  <c r="AU3" i="418"/>
  <c r="AT3" i="418"/>
  <c r="AS3" i="418"/>
  <c r="AR3" i="418"/>
  <c r="AQ3" i="418"/>
  <c r="AP3" i="418"/>
  <c r="E18" i="419" l="1"/>
  <c r="B25" i="419"/>
  <c r="C27" i="419" l="1"/>
  <c r="B26" i="419"/>
  <c r="B27" i="419" s="1"/>
  <c r="C28" i="419"/>
  <c r="A8" i="414"/>
  <c r="A7" i="414"/>
  <c r="F3" i="344" l="1"/>
  <c r="D3" i="344"/>
  <c r="B3" i="344"/>
  <c r="D21" i="419" l="1"/>
  <c r="C21" i="419"/>
  <c r="D20" i="419"/>
  <c r="C20" i="419"/>
  <c r="D19" i="419"/>
  <c r="C19" i="419"/>
  <c r="D17" i="419"/>
  <c r="C17" i="419"/>
  <c r="D16" i="419"/>
  <c r="C16" i="419"/>
  <c r="D14" i="419"/>
  <c r="C14" i="419"/>
  <c r="D13" i="419"/>
  <c r="C13" i="419"/>
  <c r="D12" i="419"/>
  <c r="C12" i="419"/>
  <c r="D11" i="419"/>
  <c r="C11" i="419"/>
  <c r="C18" i="419" l="1"/>
  <c r="C23" i="419"/>
  <c r="D18" i="419"/>
  <c r="D23" i="419"/>
  <c r="C22" i="419"/>
  <c r="D22" i="419"/>
  <c r="M3" i="418"/>
  <c r="B21" i="419" l="1"/>
  <c r="B22" i="419" l="1"/>
  <c r="A18" i="383"/>
  <c r="G3" i="429"/>
  <c r="F3" i="429"/>
  <c r="E3" i="429"/>
  <c r="D3" i="429"/>
  <c r="C3" i="429"/>
  <c r="B3" i="429"/>
  <c r="A12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8" i="414" s="1"/>
  <c r="E8" i="414" s="1"/>
  <c r="H3" i="427"/>
  <c r="I3" i="427"/>
  <c r="F3" i="427"/>
  <c r="C11" i="340" l="1"/>
  <c r="A13" i="383" l="1"/>
  <c r="A11" i="383"/>
  <c r="AO3" i="418" l="1"/>
  <c r="AN3" i="418"/>
  <c r="AM3" i="418"/>
  <c r="AL3" i="418"/>
  <c r="AK3" i="418"/>
  <c r="AJ3" i="418"/>
  <c r="AI3" i="418"/>
  <c r="AH3" i="418"/>
  <c r="AG3" i="418"/>
  <c r="AF3" i="418"/>
  <c r="AE3" i="418"/>
  <c r="AD3" i="418"/>
  <c r="AC3" i="418"/>
  <c r="AB3" i="418"/>
  <c r="AA3" i="418"/>
  <c r="Z3" i="418"/>
  <c r="Y3" i="418"/>
  <c r="X3" i="418"/>
  <c r="W3" i="418"/>
  <c r="V3" i="418"/>
  <c r="U3" i="418"/>
  <c r="T3" i="418"/>
  <c r="S3" i="418"/>
  <c r="B28" i="419" l="1"/>
  <c r="R3" i="418"/>
  <c r="Q3" i="418"/>
  <c r="P3" i="418"/>
  <c r="O3" i="418"/>
  <c r="N3" i="418"/>
  <c r="L3" i="418"/>
  <c r="K3" i="418"/>
  <c r="J3" i="418"/>
  <c r="I3" i="418"/>
  <c r="H3" i="418"/>
  <c r="G3" i="418"/>
  <c r="F3" i="418"/>
  <c r="A7" i="339" l="1"/>
  <c r="D3" i="418" l="1"/>
  <c r="E6" i="419" l="1"/>
  <c r="D6" i="419"/>
  <c r="C6" i="419"/>
  <c r="B6" i="419"/>
  <c r="B20" i="419"/>
  <c r="B23" i="419" s="1"/>
  <c r="B19" i="419"/>
  <c r="B17" i="419"/>
  <c r="B16" i="419"/>
  <c r="B14" i="419"/>
  <c r="B13" i="419"/>
  <c r="B12" i="419"/>
  <c r="B11" i="419"/>
  <c r="B18" i="41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2" i="414" l="1"/>
  <c r="D7" i="414"/>
  <c r="A15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19" i="414" l="1"/>
  <c r="A16" i="414"/>
  <c r="R3" i="410" l="1"/>
  <c r="Q3" i="410"/>
  <c r="P3" i="410"/>
  <c r="O3" i="410"/>
  <c r="N3" i="410"/>
  <c r="S3" i="410" s="1"/>
  <c r="L3" i="410"/>
  <c r="K3" i="410"/>
  <c r="J3" i="410"/>
  <c r="I3" i="410"/>
  <c r="H3" i="410"/>
  <c r="M3" i="410" s="1"/>
  <c r="F3" i="410"/>
  <c r="E3" i="410"/>
  <c r="D3" i="410"/>
  <c r="C3" i="410"/>
  <c r="B3" i="410"/>
  <c r="G3" i="410" s="1"/>
  <c r="D18" i="414" s="1"/>
  <c r="R3" i="344" l="1"/>
  <c r="Q3" i="344"/>
  <c r="P3" i="344"/>
  <c r="O3" i="344"/>
  <c r="N3" i="344"/>
  <c r="S3" i="344" s="1"/>
  <c r="L3" i="344"/>
  <c r="K3" i="344"/>
  <c r="J3" i="344"/>
  <c r="I3" i="344"/>
  <c r="H3" i="344"/>
  <c r="M3" i="344" s="1"/>
  <c r="E11" i="339"/>
  <c r="E3" i="344"/>
  <c r="C3" i="344"/>
  <c r="B11" i="339"/>
  <c r="F11" i="339" l="1"/>
  <c r="G3" i="344"/>
  <c r="D17" i="414" s="1"/>
  <c r="C11" i="339"/>
  <c r="H11" i="339" l="1"/>
  <c r="G11" i="339"/>
  <c r="A18" i="414"/>
  <c r="A17" i="414"/>
  <c r="A12" i="414"/>
  <c r="A13" i="414"/>
  <c r="A4" i="414"/>
  <c r="A6" i="339" l="1"/>
  <c r="A5" i="339"/>
  <c r="D4" i="414"/>
  <c r="D16" i="414"/>
  <c r="D13" i="414"/>
  <c r="C16" i="414"/>
  <c r="C13" i="414"/>
  <c r="C12" i="414" l="1"/>
  <c r="C7" i="414"/>
  <c r="E18" i="414" l="1"/>
  <c r="E17" i="414"/>
  <c r="E12" i="414"/>
  <c r="E7" i="414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E12" i="339" l="1"/>
  <c r="C12" i="339"/>
  <c r="B12" i="339"/>
  <c r="F12" i="339" s="1"/>
  <c r="O3" i="377"/>
  <c r="N3" i="377"/>
  <c r="Q3" i="377" s="1"/>
  <c r="K3" i="377"/>
  <c r="J3" i="377"/>
  <c r="G3" i="377"/>
  <c r="P3" i="377" s="1"/>
  <c r="F3" i="377"/>
  <c r="O3" i="345"/>
  <c r="N3" i="345"/>
  <c r="Q3" i="345" s="1"/>
  <c r="K3" i="345"/>
  <c r="J3" i="345"/>
  <c r="G3" i="345"/>
  <c r="P3" i="345" s="1"/>
  <c r="F3" i="345"/>
  <c r="C19" i="414"/>
  <c r="D19" i="414"/>
  <c r="F13" i="339" l="1"/>
  <c r="E13" i="339"/>
  <c r="E15" i="339" s="1"/>
  <c r="H12" i="339"/>
  <c r="G12" i="339"/>
  <c r="A4" i="383"/>
  <c r="A21" i="383"/>
  <c r="A20" i="383"/>
  <c r="A19" i="383"/>
  <c r="A17" i="383"/>
  <c r="A14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B15" i="339" s="1"/>
  <c r="C4" i="414"/>
  <c r="D15" i="414"/>
  <c r="H13" i="339" l="1"/>
  <c r="F15" i="339"/>
  <c r="E13" i="414"/>
  <c r="E4" i="414"/>
  <c r="C6" i="340"/>
  <c r="D6" i="340" s="1"/>
  <c r="B4" i="340"/>
  <c r="G13" i="339"/>
  <c r="B12" i="340" l="1"/>
  <c r="B13" i="340"/>
  <c r="G15" i="339"/>
  <c r="H15" i="339"/>
  <c r="C4" i="340"/>
  <c r="E16" i="414"/>
  <c r="E19" i="414"/>
  <c r="D4" i="340"/>
  <c r="E6" i="340"/>
  <c r="C15" i="414"/>
  <c r="E15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<sst xmlns="http://schemas.openxmlformats.org/spreadsheetml/2006/main" count="890" uniqueCount="377">
  <si>
    <t>NS</t>
  </si>
  <si>
    <t>Účet</t>
  </si>
  <si>
    <t>%</t>
  </si>
  <si>
    <t>Celkem</t>
  </si>
  <si>
    <t>Klinika</t>
  </si>
  <si>
    <t>Kč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</si>
  <si>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</si>
  <si>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</si>
  <si>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</si>
  <si>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</si>
  <si>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</si>
  <si>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</si>
  <si>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</si>
  <si>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</si>
  <si>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</si>
  <si>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</si>
  <si>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</si>
  <si>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</si>
  <si>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</si>
  <si>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</si>
  <si>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</si>
  <si>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</si>
  <si>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</si>
  <si>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</si>
  <si>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</si>
  <si>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</si>
  <si>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</si>
  <si>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</si>
  <si>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</si>
  <si>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</si>
  <si>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</si>
  <si>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</si>
  <si>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</si>
  <si>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</si>
  <si>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</si>
  <si>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</si>
  <si>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</si>
  <si>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</si>
  <si>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</si>
  <si>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</si>
  <si>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</si>
  <si>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</si>
  <si>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</si>
  <si>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</si>
  <si>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</si>
  <si>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</si>
  <si>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</si>
  <si>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</si>
  <si>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</si>
  <si>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</si>
  <si>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</si>
  <si>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</si>
  <si>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</si>
  <si>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</si>
  <si>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</si>
  <si>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</si>
  <si>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</si>
  <si>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</si>
  <si>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</si>
  <si>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</si>
  <si>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</si>
  <si>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</si>
  <si>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</si>
  <si>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</si>
  <si>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</si>
  <si>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</si>
  <si>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</si>
  <si>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</si>
  <si>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</si>
  <si>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</si>
  <si>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</si>
  <si>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</si>
  <si>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</si>
  <si>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</si>
  <si>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</si>
  <si>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</si>
  <si>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</si>
  <si>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</si>
  <si>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</si>
  <si>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</si>
  <si>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</si>
  <si>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</si>
  <si>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</si>
  <si>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</si>
  <si>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</si>
  <si>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</si>
  <si>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</si>
  <si>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</si>
  <si>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</si>
  <si>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</si>
  <si>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</si>
  <si>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</si>
  <si>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Materiál Žádanky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</si>
  <si>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</si>
  <si>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</si>
  <si>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</si>
  <si>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</si>
  <si>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</si>
  <si>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</si>
  <si>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</si>
  <si>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</si>
  <si>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</si>
  <si>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Lékař</t>
  </si>
  <si>
    <t>Hospodaření zdravotnického pracoviště (v tisících)</t>
  </si>
  <si>
    <t>Spotřeba léčivých přípravků</t>
  </si>
  <si>
    <t>Spotřeba zdravotnického materiálu</t>
  </si>
  <si>
    <t>Přehledové sestavy</t>
  </si>
  <si>
    <t>Akt. měsíc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</si>
  <si>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</si>
  <si>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</si>
  <si>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</si>
  <si>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</si>
  <si>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</si>
  <si>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</si>
  <si>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</si>
  <si>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</si>
  <si>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</si>
  <si>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</si>
  <si>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Pol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</si>
  <si>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</si>
  <si>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</si>
  <si>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</si>
  <si>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</si>
  <si>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</si>
  <si>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</si>
  <si>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</si>
  <si>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</si>
  <si>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</si>
  <si>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</si>
  <si>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</si>
  <si>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</si>
  <si>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</si>
  <si>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</si>
  <si>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</si>
  <si>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</si>
  <si>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</si>
  <si>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</si>
  <si>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</si>
  <si>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</si>
  <si>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</si>
  <si>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</si>
  <si>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</si>
  <si>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</si>
  <si>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</si>
  <si>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</si>
  <si>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</si>
  <si>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</si>
  <si>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</si>
  <si>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</si>
  <si>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</si>
  <si>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</si>
  <si>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</si>
  <si>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</si>
  <si>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NLZP *</t>
  </si>
  <si>
    <t>THP *</t>
  </si>
  <si>
    <t>Rozpočet na vzdělávání je plánován na rok, měsíční plány jsou v tabulce dvanáctinou ročního rozpočtu</t>
  </si>
  <si>
    <t>kliničtí logopedové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</si>
  <si>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</si>
  <si>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</si>
  <si>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</si>
  <si>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</si>
  <si>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</si>
  <si>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</si>
  <si>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</si>
  <si>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</si>
  <si>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</si>
  <si>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</si>
  <si>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</si>
  <si>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</si>
  <si>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</si>
  <si>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</si>
  <si>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</si>
  <si>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ROZDÍL (Sk.do data - Rozp.do data 2015)</t>
  </si>
  <si>
    <t>Sml.odb./NS</t>
  </si>
  <si>
    <t>všeobecné sestry pod dohl.</t>
  </si>
  <si>
    <t>Lékaři, VŠ NLZP = kategorie 99-203, 520-523, 525-529, 743-747</t>
  </si>
  <si>
    <t>NLZP = kategorie 302-421, 524, 530-642, 748-749</t>
  </si>
  <si>
    <t>THP = kategorie 930</t>
  </si>
  <si>
    <t>01/2016</t>
  </si>
  <si>
    <t>02/2016</t>
  </si>
  <si>
    <t>03/2016</t>
  </si>
  <si>
    <t>04/2016</t>
  </si>
  <si>
    <t>05/2016</t>
  </si>
  <si>
    <t>06/2016</t>
  </si>
  <si>
    <t>07/2016</t>
  </si>
  <si>
    <t>08/2016</t>
  </si>
  <si>
    <t>09/2016</t>
  </si>
  <si>
    <t>10/2016</t>
  </si>
  <si>
    <t>11/2016</t>
  </si>
  <si>
    <t>12/2016</t>
  </si>
  <si>
    <t>POMĚROVÉ  PLNĚNÍ = Rozpočet na rok 2016 celkem a 1/12  ročního rozpočtu, skutečnost daných měsíců a % plnění načítané skutečnosti do data k poměrné části rozpočtu do data.</t>
  </si>
  <si>
    <t>Rozp. 2015            CELKEM</t>
  </si>
  <si>
    <t>Skut. 2015 CELKEM</t>
  </si>
  <si>
    <t>ROZDÍL  Skut. - Rozp. 2015</t>
  </si>
  <si>
    <t>% plnění rozp.2015</t>
  </si>
  <si>
    <t>Rozp.rok 2016</t>
  </si>
  <si>
    <t>Sk.v tis 2016</t>
  </si>
  <si>
    <t>% plnění (Skut.do data/Rozp.rok 2016)</t>
  </si>
  <si>
    <t>Rozpočet výnosů pro rok 2016 je stanoven jako 100% skutečnosti referenčního období (2014)</t>
  </si>
  <si>
    <r>
      <t>Zpět na Obsah</t>
    </r>
    <r>
      <rPr>
        <sz val="9"/>
        <rFont val="Calibri"/>
        <family val="2"/>
        <charset val="238"/>
        <scheme val="minor"/>
      </rPr>
      <t xml:space="preserve"> | 1.-6.měsíc | Oddělení klinické logopedie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</si>
  <si>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</si>
  <si>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</si>
  <si>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</si>
  <si>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</si>
  <si>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</si>
  <si>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50113     Léky a léčiva</t>
  </si>
  <si>
    <t>--</t>
  </si>
  <si>
    <t>50113001     léky - paušál (LEK)</t>
  </si>
  <si>
    <t>50115     Zdravotnické prostředky</t>
  </si>
  <si>
    <t>50115050     obvazový materiál (Z502)</t>
  </si>
  <si>
    <t>50115060     ZPr - ostatní (Z503)</t>
  </si>
  <si>
    <t>50117     Všeobecný materiál</t>
  </si>
  <si>
    <t>50117001     všeobecný materiál (N524,525,P35,49,T13,V26,31,32,34,35,37,47,111,Z510)</t>
  </si>
  <si>
    <t>50117003     desinfekční prostředky (ID-ř.733-LEK)</t>
  </si>
  <si>
    <t>50117004     tiskopisy a kanc.potřeby (sk.V42, 43)</t>
  </si>
  <si>
    <t>50117005     údržbový materiál ZVIT (sk.B36,61,62,64)</t>
  </si>
  <si>
    <t>50117015     IT - spotřební materiál (sk. P37, 48)</t>
  </si>
  <si>
    <t>50117024     všeob.mat. - ostatní-vyjímky (V44) od 0,01 do 999,99</t>
  </si>
  <si>
    <t>50118     Náhradní díly</t>
  </si>
  <si>
    <t>50118006     ND - ZVIT (sk.B63)</t>
  </si>
  <si>
    <t>50119     DDHM a textil</t>
  </si>
  <si>
    <t>50119077     OOPP a prádlo pro zaměstnance (sk.T14)</t>
  </si>
  <si>
    <t>50210     Spotřeba energie</t>
  </si>
  <si>
    <t>50210071     elektřina</t>
  </si>
  <si>
    <t>50210072     vodné, stočné</t>
  </si>
  <si>
    <t>50210073     pára</t>
  </si>
  <si>
    <t>51     Služby</t>
  </si>
  <si>
    <t>51102     Technika a stavby</t>
  </si>
  <si>
    <t>51102023     opravy ostatní techniky</t>
  </si>
  <si>
    <t>51102024     opravy - správa budov</t>
  </si>
  <si>
    <t>51102025     opravy - hl.energetik</t>
  </si>
  <si>
    <t>51201     Cestovné zaměstnanců-tuzemské</t>
  </si>
  <si>
    <t>51201000     cestovné z mezd</t>
  </si>
  <si>
    <t>51801     Přepravné</t>
  </si>
  <si>
    <t>51801000     přepravné-lab. vzorky,...</t>
  </si>
  <si>
    <t>51802     Spoje</t>
  </si>
  <si>
    <t>51802001     poštovné</t>
  </si>
  <si>
    <t>51802003     telekom.styk</t>
  </si>
  <si>
    <t>51804     Nájemné</t>
  </si>
  <si>
    <t>51804004     popl. za R a TV, veř. produkce</t>
  </si>
  <si>
    <t>51806     Úklid, odpad, desinf., deratizace</t>
  </si>
  <si>
    <t>51806001     úklid. služby - paušál</t>
  </si>
  <si>
    <t>51808     Revize a smluvní servisy majetku</t>
  </si>
  <si>
    <t>51808007     revize, sml.servis - energetik</t>
  </si>
  <si>
    <t>521     Mzdové náklady</t>
  </si>
  <si>
    <t>52111     Hrubé mzdy</t>
  </si>
  <si>
    <t>52111000     hrubé mzdy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</si>
  <si>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</si>
  <si>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</si>
  <si>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</si>
  <si>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</si>
  <si>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</si>
  <si>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</si>
  <si>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</si>
  <si>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</si>
  <si>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</si>
  <si>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</si>
  <si>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</si>
  <si>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</si>
  <si>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</si>
  <si>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54910003     práce výrobní povahy(výroba klíčů,tabulek)</t>
  </si>
  <si>
    <t>54910009     školení, kongresové poplatky tuzemské - ost.zdrav.pracov.</t>
  </si>
  <si>
    <t>54972     Školení, kongres.popl.tuzemské - lékaři (pouze OPMČ)</t>
  </si>
  <si>
    <t>54972000     školení, kongres.popl.tuzemské - lékaři 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</si>
  <si>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</si>
  <si>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</si>
  <si>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</si>
  <si>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</si>
  <si>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55110013     odpisy DHM - budovy z dotací</t>
  </si>
  <si>
    <t>558     Náklady z drobného dlouhodobého majetku</t>
  </si>
  <si>
    <t>55805     DDHM - inventář</t>
  </si>
  <si>
    <t>55805002     DDHM - nábytek (sk.V_31)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</si>
  <si>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</si>
  <si>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</si>
  <si>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</si>
  <si>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</si>
  <si>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60210359     zdr.služby - tuzemci (plastika atd. ...)</t>
  </si>
  <si>
    <t>60228     Zdr. výkony - VZP sledov.položky    OZPI</t>
  </si>
  <si>
    <t>60228190     výkony pojištěncům EHS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</si>
  <si>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</si>
  <si>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</si>
  <si>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</si>
  <si>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</si>
  <si>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</si>
  <si>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</si>
  <si>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</si>
  <si>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649     Ostatní výnosy z činnosti</t>
  </si>
  <si>
    <t>64908     Ostatní výnosy z činnosti</t>
  </si>
  <si>
    <t>64908000     rozdíly v zaokrouhlení</t>
  </si>
  <si>
    <t>64924     Ostatní služby - mimo zdrav.výkony  FAKTURACE</t>
  </si>
  <si>
    <t>64924459     školení, stáže, odb. semináře, konference</t>
  </si>
  <si>
    <t>7     Účtová třída 7 - Vnitropodnikové účetnictví - náklady</t>
  </si>
  <si>
    <t>79     Vnitropodnikové náklady</t>
  </si>
  <si>
    <t>79902     VPN - ZVIT technická údržba</t>
  </si>
  <si>
    <t>79902000     výkony ZVIT - technická údržba</t>
  </si>
  <si>
    <t>79903     VPN - doprava</t>
  </si>
  <si>
    <t>79903003     výkony dopravy - nákladní</t>
  </si>
  <si>
    <t>79906     VPN - prádelna</t>
  </si>
  <si>
    <t>79906000     výkony prádelny - praní prádla</t>
  </si>
  <si>
    <t>79910     VPN - informační technologie</t>
  </si>
  <si>
    <t>79910001     výkony IT - fixní náklady (z 9086)</t>
  </si>
  <si>
    <t>79950     VPN - správní režie</t>
  </si>
  <si>
    <t>79950001     režie HTS</t>
  </si>
  <si>
    <t>36</t>
  </si>
  <si>
    <t>Oddělení klinické logopedie</t>
  </si>
  <si>
    <t/>
  </si>
  <si>
    <t>Oddělení klinické logopedie Celkem</t>
  </si>
  <si>
    <t>SumaKL</t>
  </si>
  <si>
    <t>3621</t>
  </si>
  <si>
    <t>ambulance</t>
  </si>
  <si>
    <t>ambulance Celkem</t>
  </si>
  <si>
    <t>SumaNS</t>
  </si>
  <si>
    <t>mezeraNS</t>
  </si>
  <si>
    <t>36 - Oddělení klinické logopedie</t>
  </si>
  <si>
    <t>3621 - ambulance</t>
  </si>
  <si>
    <t>ON Data</t>
  </si>
  <si>
    <t>903 - Pracoviště klinické logopedie</t>
  </si>
  <si>
    <t>Zdravotní výkony vykázané na pracovišti v rámci ambulantní péče *</t>
  </si>
  <si>
    <t xml:space="preserve"> </t>
  </si>
  <si>
    <t>* Legenda</t>
  </si>
  <si>
    <t>Ambulantní péče znamená, že pacient v den poskytnutí zdravotní péče není hospitalizován ve FNOL</t>
  </si>
  <si>
    <t>beze jména</t>
  </si>
  <si>
    <t>Polášková Irena</t>
  </si>
  <si>
    <t>Vrtělová Milada</t>
  </si>
  <si>
    <t>Zdravotní výkony vykázané na pracovišti v rámci ambulantní péče dle lékařů *</t>
  </si>
  <si>
    <t>903</t>
  </si>
  <si>
    <t>V</t>
  </si>
  <si>
    <t>09511</t>
  </si>
  <si>
    <t>MINIMÁLNÍ KONTAKT LÉKAŘE S PACIENTEM</t>
  </si>
  <si>
    <t>72211</t>
  </si>
  <si>
    <t>LOGOPEDICKÁ TERAPIE VAD A PORUCH ŘEČI PROVÁDĚNÁ KL</t>
  </si>
  <si>
    <t>72213</t>
  </si>
  <si>
    <t>LOGOPEDICKÁ TERAPIE ZVLÁŠTĚ NÁROČNÁ  U DĚTÍ, DOROS</t>
  </si>
  <si>
    <t>09547</t>
  </si>
  <si>
    <t>REGULAČNÍ POPLATEK -- POJIŠTĚNEC OD ÚHRADY POPLATK</t>
  </si>
  <si>
    <t>09543</t>
  </si>
  <si>
    <t>Signalni kod</t>
  </si>
  <si>
    <t>09523</t>
  </si>
  <si>
    <t>EDUKAČNÍ POHOVOR LÉKAŘE S NEMOCNÝM ČI RODINOU</t>
  </si>
  <si>
    <t>72015</t>
  </si>
  <si>
    <t>KOMPLEXNÍ VYŠETŘENÍ KLINICKÝM LOGOPEDEM</t>
  </si>
  <si>
    <t>72215</t>
  </si>
  <si>
    <t>LOGOPEDICKÁ TERAPIE STŘEDNĚ NÁROČNÁ PROVÁDĚNÁ KLIN</t>
  </si>
  <si>
    <t>72016</t>
  </si>
  <si>
    <t>CÍLENÉ VYŠETŘENÍ KLINICKÝM LOGOPEDEM</t>
  </si>
  <si>
    <t>Zdravotní výkony + ZUM + ZULP vykázané na pracovišti v rámci ambulantní péče - orientační přehled</t>
  </si>
  <si>
    <t>01 - I. interní klinika - kardiologická</t>
  </si>
  <si>
    <t>03 - III. interní klinika - nefrologická, revmatologická a endokrinologická</t>
  </si>
  <si>
    <t>04 - I. chirurgická klinika</t>
  </si>
  <si>
    <t>05 - II. chirurgická klinika - cévně-transplantační</t>
  </si>
  <si>
    <t>06 - Neurochirurgická klinika</t>
  </si>
  <si>
    <t>07 - Klinika anesteziologie, resuscitace a intenzivní medicíny</t>
  </si>
  <si>
    <t>08 - Porodnicko-gynekologická klinika</t>
  </si>
  <si>
    <t>17 - Neurologická klinika</t>
  </si>
  <si>
    <t>21 - Onkologická klinika</t>
  </si>
  <si>
    <t>26 - Oddělení rehabilitace</t>
  </si>
  <si>
    <t>30 - Oddělení geriatrie</t>
  </si>
  <si>
    <t>32 - Hemato-onkologická klinika</t>
  </si>
  <si>
    <t>50 - Kardiochirurgická klinika</t>
  </si>
  <si>
    <t>59 - Oddělení intenzivní péče chirurgických oborů</t>
  </si>
  <si>
    <t>01</t>
  </si>
  <si>
    <t>03</t>
  </si>
  <si>
    <t>04</t>
  </si>
  <si>
    <t>05</t>
  </si>
  <si>
    <t>06</t>
  </si>
  <si>
    <t>07</t>
  </si>
  <si>
    <t>08</t>
  </si>
  <si>
    <t>17</t>
  </si>
  <si>
    <t>21</t>
  </si>
  <si>
    <t>26</t>
  </si>
  <si>
    <t>72017</t>
  </si>
  <si>
    <t>KONTROLNÍ VYŠETŘENÍ KLINICKÝM LOGOPEDEM</t>
  </si>
  <si>
    <t>30</t>
  </si>
  <si>
    <t>32</t>
  </si>
  <si>
    <t>50</t>
  </si>
  <si>
    <t>59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</si>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</sst>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0%;\-0%;"/>
    <numFmt numFmtId="176" formatCode="#,##0%"/>
  </numFmts>
  <fonts count="60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1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98">
    <xf numFmtId="0" fontId="0" fillId="0" borderId="0"/>
    <xf numFmtId="0" fontId="25" fillId="0" borderId="0" applyNumberForma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457">
    <xf numFmtId="0" fontId="0" fillId="0" borderId="0" xfId="0"/>
    <xf numFmtId="0" fontId="27" fillId="2" borderId="17" xfId="81" applyFont="1" applyFill="1" applyBorder="1"/>
    <xf numFmtId="0" fontId="28" fillId="2" borderId="18" xfId="81" applyFont="1" applyFill="1" applyBorder="1"/>
    <xf numFmtId="3" fontId="28" fillId="2" borderId="19" xfId="81" applyNumberFormat="1" applyFont="1" applyFill="1" applyBorder="1"/>
    <xf numFmtId="0" fontId="28" fillId="4" borderId="18" xfId="81" applyFont="1" applyFill="1" applyBorder="1"/>
    <xf numFmtId="3" fontId="28" fillId="4" borderId="19" xfId="81" applyNumberFormat="1" applyFont="1" applyFill="1" applyBorder="1"/>
    <xf numFmtId="171" fontId="28" fillId="3" borderId="19" xfId="81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4" xfId="81" applyNumberFormat="1" applyFont="1" applyFill="1" applyBorder="1"/>
    <xf numFmtId="3" fontId="27" fillId="5" borderId="8" xfId="81" applyNumberFormat="1" applyFont="1" applyFill="1" applyBorder="1"/>
    <xf numFmtId="3" fontId="27" fillId="5" borderId="12" xfId="81" applyNumberFormat="1" applyFont="1" applyFill="1" applyBorder="1"/>
    <xf numFmtId="0" fontId="27" fillId="5" borderId="0" xfId="81" applyFont="1" applyFill="1"/>
    <xf numFmtId="10" fontId="27" fillId="5" borderId="0" xfId="81" applyNumberFormat="1" applyFont="1" applyFill="1"/>
    <xf numFmtId="0" fontId="37" fillId="2" borderId="33" xfId="0" applyFont="1" applyFill="1" applyBorder="1" applyAlignment="1">
      <alignment vertical="top"/>
    </xf>
    <xf numFmtId="0" fontId="37" fillId="2" borderId="34" xfId="0" applyFont="1" applyFill="1" applyBorder="1" applyAlignment="1">
      <alignment vertical="top"/>
    </xf>
    <xf numFmtId="0" fontId="34" fillId="2" borderId="34" xfId="0" applyFont="1" applyFill="1" applyBorder="1" applyAlignment="1">
      <alignment vertical="top"/>
    </xf>
    <xf numFmtId="0" fontId="38" fillId="2" borderId="34" xfId="0" applyFont="1" applyFill="1" applyBorder="1" applyAlignment="1">
      <alignment vertical="top"/>
    </xf>
    <xf numFmtId="0" fontId="36" fillId="2" borderId="34" xfId="0" applyFont="1" applyFill="1" applyBorder="1" applyAlignment="1">
      <alignment vertical="top"/>
    </xf>
    <xf numFmtId="0" fontId="34" fillId="2" borderId="35" xfId="0" applyFont="1" applyFill="1" applyBorder="1" applyAlignment="1">
      <alignment vertical="top"/>
    </xf>
    <xf numFmtId="0" fontId="37" fillId="2" borderId="8" xfId="0" applyFont="1" applyFill="1" applyBorder="1" applyAlignment="1">
      <alignment horizontal="center" vertical="center"/>
    </xf>
    <xf numFmtId="0" fontId="37" fillId="2" borderId="21" xfId="0" applyFont="1" applyFill="1" applyBorder="1" applyAlignment="1">
      <alignment horizontal="center" vertical="center"/>
    </xf>
    <xf numFmtId="0" fontId="37" fillId="2" borderId="23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8" fillId="2" borderId="21" xfId="0" applyFont="1" applyFill="1" applyBorder="1" applyAlignment="1">
      <alignment horizontal="center" vertical="center" wrapText="1"/>
    </xf>
    <xf numFmtId="0" fontId="38" fillId="2" borderId="23" xfId="0" applyFont="1" applyFill="1" applyBorder="1" applyAlignment="1">
      <alignment horizontal="center" vertical="center" wrapText="1"/>
    </xf>
    <xf numFmtId="0" fontId="36" fillId="2" borderId="23" xfId="0" applyFont="1" applyFill="1" applyBorder="1" applyAlignment="1">
      <alignment horizontal="center" vertical="center" wrapText="1"/>
    </xf>
    <xf numFmtId="3" fontId="27" fillId="5" borderId="4" xfId="81" applyNumberFormat="1" applyFont="1" applyFill="1" applyBorder="1"/>
    <xf numFmtId="3" fontId="27" fillId="5" borderId="29" xfId="81" applyNumberFormat="1" applyFont="1" applyFill="1" applyBorder="1"/>
    <xf numFmtId="3" fontId="27" fillId="5" borderId="25" xfId="81" applyNumberFormat="1" applyFont="1" applyFill="1" applyBorder="1"/>
    <xf numFmtId="3" fontId="27" fillId="5" borderId="9" xfId="81" applyNumberFormat="1" applyFont="1" applyFill="1" applyBorder="1"/>
    <xf numFmtId="3" fontId="27" fillId="5" borderId="10" xfId="81" applyNumberFormat="1" applyFont="1" applyFill="1" applyBorder="1"/>
    <xf numFmtId="3" fontId="27" fillId="5" borderId="13" xfId="81" applyNumberFormat="1" applyFont="1" applyFill="1" applyBorder="1"/>
    <xf numFmtId="3" fontId="27" fillId="5" borderId="14" xfId="81" applyNumberFormat="1" applyFont="1" applyFill="1" applyBorder="1"/>
    <xf numFmtId="3" fontId="28" fillId="2" borderId="27" xfId="81" applyNumberFormat="1" applyFont="1" applyFill="1" applyBorder="1"/>
    <xf numFmtId="3" fontId="28" fillId="2" borderId="20" xfId="81" applyNumberFormat="1" applyFont="1" applyFill="1" applyBorder="1"/>
    <xf numFmtId="3" fontId="28" fillId="4" borderId="27" xfId="81" applyNumberFormat="1" applyFont="1" applyFill="1" applyBorder="1"/>
    <xf numFmtId="3" fontId="28" fillId="4" borderId="20" xfId="81" applyNumberFormat="1" applyFont="1" applyFill="1" applyBorder="1"/>
    <xf numFmtId="171" fontId="28" fillId="3" borderId="27" xfId="81" applyNumberFormat="1" applyFont="1" applyFill="1" applyBorder="1"/>
    <xf numFmtId="171" fontId="28" fillId="3" borderId="20" xfId="81" applyNumberFormat="1" applyFont="1" applyFill="1" applyBorder="1"/>
    <xf numFmtId="0" fontId="31" fillId="2" borderId="25" xfId="81" applyFont="1" applyFill="1" applyBorder="1" applyAlignment="1">
      <alignment horizontal="center"/>
    </xf>
    <xf numFmtId="0" fontId="32" fillId="0" borderId="36" xfId="0" applyFont="1" applyFill="1" applyBorder="1" applyAlignment="1"/>
    <xf numFmtId="0" fontId="41" fillId="0" borderId="0" xfId="0" applyFont="1" applyFill="1" applyBorder="1" applyAlignment="1"/>
    <xf numFmtId="3" fontId="33" fillId="0" borderId="7" xfId="0" applyNumberFormat="1" applyFont="1" applyFill="1" applyBorder="1" applyAlignment="1">
      <alignment horizontal="right" vertical="top"/>
    </xf>
    <xf numFmtId="3" fontId="33" fillId="0" borderId="5" xfId="0" applyNumberFormat="1" applyFont="1" applyFill="1" applyBorder="1" applyAlignment="1">
      <alignment horizontal="right" vertical="top"/>
    </xf>
    <xf numFmtId="3" fontId="34" fillId="0" borderId="5" xfId="0" applyNumberFormat="1" applyFont="1" applyFill="1" applyBorder="1" applyAlignment="1">
      <alignment horizontal="right" vertical="top"/>
    </xf>
    <xf numFmtId="3" fontId="33" fillId="0" borderId="11" xfId="0" applyNumberFormat="1" applyFont="1" applyFill="1" applyBorder="1" applyAlignment="1">
      <alignment horizontal="right" vertical="top"/>
    </xf>
    <xf numFmtId="3" fontId="33" fillId="0" borderId="9" xfId="0" applyNumberFormat="1" applyFont="1" applyFill="1" applyBorder="1" applyAlignment="1">
      <alignment horizontal="right" vertical="top"/>
    </xf>
    <xf numFmtId="3" fontId="34" fillId="0" borderId="9" xfId="0" applyNumberFormat="1" applyFont="1" applyFill="1" applyBorder="1" applyAlignment="1">
      <alignment horizontal="right" vertical="top"/>
    </xf>
    <xf numFmtId="3" fontId="35" fillId="0" borderId="11" xfId="0" applyNumberFormat="1" applyFont="1" applyFill="1" applyBorder="1" applyAlignment="1">
      <alignment horizontal="right" vertical="top"/>
    </xf>
    <xf numFmtId="3" fontId="35" fillId="0" borderId="9" xfId="0" applyNumberFormat="1" applyFont="1" applyFill="1" applyBorder="1" applyAlignment="1">
      <alignment horizontal="right" vertical="top"/>
    </xf>
    <xf numFmtId="3" fontId="36" fillId="0" borderId="9" xfId="0" applyNumberFormat="1" applyFont="1" applyFill="1" applyBorder="1" applyAlignment="1">
      <alignment horizontal="right" vertical="top"/>
    </xf>
    <xf numFmtId="3" fontId="33" fillId="0" borderId="32" xfId="0" applyNumberFormat="1" applyFont="1" applyFill="1" applyBorder="1" applyAlignment="1">
      <alignment horizontal="right" vertical="top"/>
    </xf>
    <xf numFmtId="3" fontId="33" fillId="0" borderId="23" xfId="0" applyNumberFormat="1" applyFont="1" applyFill="1" applyBorder="1" applyAlignment="1">
      <alignment horizontal="right" vertical="top"/>
    </xf>
    <xf numFmtId="3" fontId="34" fillId="0" borderId="23" xfId="0" applyNumberFormat="1" applyFont="1" applyFill="1" applyBorder="1" applyAlignment="1">
      <alignment horizontal="right" vertical="top"/>
    </xf>
    <xf numFmtId="0" fontId="6" fillId="0" borderId="0" xfId="82" applyFont="1" applyFill="1"/>
    <xf numFmtId="0" fontId="8" fillId="0" borderId="36" xfId="82" applyFont="1" applyFill="1" applyBorder="1" applyAlignment="1"/>
    <xf numFmtId="164" fontId="3" fillId="0" borderId="55" xfId="53" applyNumberFormat="1" applyFont="1" applyFill="1" applyBorder="1"/>
    <xf numFmtId="9" fontId="3" fillId="0" borderId="55" xfId="53" applyNumberFormat="1" applyFont="1" applyFill="1" applyBorder="1"/>
    <xf numFmtId="0" fontId="32" fillId="0" borderId="30" xfId="0" applyFont="1" applyFill="1" applyBorder="1" applyAlignment="1"/>
    <xf numFmtId="0" fontId="32" fillId="0" borderId="31" xfId="0" applyFont="1" applyFill="1" applyBorder="1" applyAlignment="1"/>
    <xf numFmtId="0" fontId="32" fillId="0" borderId="50" xfId="0" applyFont="1" applyFill="1" applyBorder="1" applyAlignment="1"/>
    <xf numFmtId="0" fontId="3" fillId="2" borderId="53" xfId="53" applyFont="1" applyFill="1" applyBorder="1" applyAlignment="1">
      <alignment horizontal="right"/>
    </xf>
    <xf numFmtId="0" fontId="32" fillId="0" borderId="25" xfId="0" applyFont="1" applyBorder="1" applyAlignment="1"/>
    <xf numFmtId="0" fontId="32" fillId="5" borderId="6" xfId="0" applyFont="1" applyFill="1" applyBorder="1"/>
    <xf numFmtId="0" fontId="32" fillId="5" borderId="10" xfId="0" applyFont="1" applyFill="1" applyBorder="1"/>
    <xf numFmtId="0" fontId="32" fillId="5" borderId="22" xfId="0" applyFont="1" applyFill="1" applyBorder="1"/>
    <xf numFmtId="0" fontId="32" fillId="5" borderId="36" xfId="0" applyFont="1" applyFill="1" applyBorder="1"/>
    <xf numFmtId="0" fontId="32" fillId="5" borderId="42" xfId="0" applyFont="1" applyFill="1" applyBorder="1"/>
    <xf numFmtId="9" fontId="34" fillId="0" borderId="6" xfId="0" applyNumberFormat="1" applyFont="1" applyFill="1" applyBorder="1" applyAlignment="1">
      <alignment horizontal="right" vertical="top"/>
    </xf>
    <xf numFmtId="9" fontId="34" fillId="0" borderId="10" xfId="0" applyNumberFormat="1" applyFont="1" applyFill="1" applyBorder="1" applyAlignment="1">
      <alignment horizontal="right" vertical="top"/>
    </xf>
    <xf numFmtId="9" fontId="36" fillId="0" borderId="10" xfId="0" applyNumberFormat="1" applyFont="1" applyFill="1" applyBorder="1" applyAlignment="1">
      <alignment horizontal="right" vertical="top"/>
    </xf>
    <xf numFmtId="9" fontId="34" fillId="0" borderId="22" xfId="0" applyNumberFormat="1" applyFont="1" applyFill="1" applyBorder="1" applyAlignment="1">
      <alignment horizontal="right" vertical="top"/>
    </xf>
    <xf numFmtId="0" fontId="31" fillId="2" borderId="42" xfId="0" applyFont="1" applyFill="1" applyBorder="1" applyAlignment="1">
      <alignment horizontal="center"/>
    </xf>
    <xf numFmtId="3" fontId="3" fillId="0" borderId="54" xfId="53" applyNumberFormat="1" applyFont="1" applyFill="1" applyBorder="1"/>
    <xf numFmtId="3" fontId="3" fillId="0" borderId="55" xfId="53" applyNumberFormat="1" applyFont="1" applyFill="1" applyBorder="1"/>
    <xf numFmtId="3" fontId="3" fillId="0" borderId="56" xfId="53" applyNumberFormat="1" applyFont="1" applyFill="1" applyBorder="1"/>
    <xf numFmtId="0" fontId="31" fillId="2" borderId="42" xfId="0" applyNumberFormat="1" applyFont="1" applyFill="1" applyBorder="1" applyAlignment="1">
      <alignment horizontal="center"/>
    </xf>
    <xf numFmtId="169" fontId="32" fillId="0" borderId="0" xfId="0" applyNumberFormat="1" applyFont="1" applyFill="1"/>
    <xf numFmtId="0" fontId="31" fillId="2" borderId="38" xfId="74" applyFont="1" applyFill="1" applyBorder="1" applyAlignment="1">
      <alignment horizontal="center"/>
    </xf>
    <xf numFmtId="0" fontId="27" fillId="5" borderId="36" xfId="81" applyFont="1" applyFill="1" applyBorder="1"/>
    <xf numFmtId="0" fontId="31" fillId="2" borderId="23" xfId="81" applyFont="1" applyFill="1" applyBorder="1" applyAlignment="1">
      <alignment horizontal="center"/>
    </xf>
    <xf numFmtId="0" fontId="31" fillId="2" borderId="22" xfId="81" applyFont="1" applyFill="1" applyBorder="1" applyAlignment="1">
      <alignment horizontal="center"/>
    </xf>
    <xf numFmtId="0" fontId="32" fillId="0" borderId="0" xfId="0" applyFont="1" applyFill="1" applyBorder="1" applyAlignment="1"/>
    <xf numFmtId="0" fontId="45" fillId="2" borderId="17" xfId="1" applyFont="1" applyFill="1" applyBorder="1"/>
    <xf numFmtId="0" fontId="46" fillId="0" borderId="0" xfId="0" applyFont="1" applyFill="1"/>
    <xf numFmtId="0" fontId="47" fillId="0" borderId="0" xfId="0" applyFont="1" applyFill="1"/>
    <xf numFmtId="0" fontId="47" fillId="0" borderId="0" xfId="0" applyFont="1" applyFill="1" applyBorder="1"/>
    <xf numFmtId="3" fontId="32" fillId="0" borderId="29" xfId="0" applyNumberFormat="1" applyFont="1" applyFill="1" applyBorder="1"/>
    <xf numFmtId="3" fontId="32" fillId="0" borderId="24" xfId="0" applyNumberFormat="1" applyFont="1" applyFill="1" applyBorder="1"/>
    <xf numFmtId="3" fontId="32" fillId="0" borderId="8" xfId="0" applyNumberFormat="1" applyFont="1" applyFill="1" applyBorder="1"/>
    <xf numFmtId="3" fontId="32" fillId="0" borderId="9" xfId="0" applyNumberFormat="1" applyFont="1" applyFill="1" applyBorder="1"/>
    <xf numFmtId="3" fontId="32" fillId="0" borderId="12" xfId="0" applyNumberFormat="1" applyFont="1" applyFill="1" applyBorder="1"/>
    <xf numFmtId="3" fontId="32" fillId="0" borderId="13" xfId="0" applyNumberFormat="1" applyFont="1" applyFill="1" applyBorder="1"/>
    <xf numFmtId="9" fontId="32" fillId="0" borderId="25" xfId="0" applyNumberFormat="1" applyFont="1" applyFill="1" applyBorder="1"/>
    <xf numFmtId="9" fontId="32" fillId="0" borderId="10" xfId="0" applyNumberFormat="1" applyFont="1" applyFill="1" applyBorder="1"/>
    <xf numFmtId="9" fontId="32" fillId="0" borderId="14" xfId="0" applyNumberFormat="1" applyFont="1" applyFill="1" applyBorder="1"/>
    <xf numFmtId="9" fontId="28" fillId="2" borderId="20" xfId="81" applyNumberFormat="1" applyFont="1" applyFill="1" applyBorder="1"/>
    <xf numFmtId="9" fontId="28" fillId="4" borderId="20" xfId="81" applyNumberFormat="1" applyFont="1" applyFill="1" applyBorder="1"/>
    <xf numFmtId="9" fontId="28" fillId="3" borderId="20" xfId="81" applyNumberFormat="1" applyFont="1" applyFill="1" applyBorder="1"/>
    <xf numFmtId="0" fontId="31" fillId="2" borderId="21" xfId="81" applyFont="1" applyFill="1" applyBorder="1" applyAlignment="1">
      <alignment horizontal="center"/>
    </xf>
    <xf numFmtId="49" fontId="37" fillId="2" borderId="9" xfId="0" applyNumberFormat="1" applyFont="1" applyFill="1" applyBorder="1" applyAlignment="1">
      <alignment horizontal="center" vertical="center"/>
    </xf>
    <xf numFmtId="0" fontId="32" fillId="0" borderId="0" xfId="0" applyFont="1" applyFill="1"/>
    <xf numFmtId="0" fontId="32" fillId="0" borderId="42" xfId="0" applyFont="1" applyFill="1" applyBorder="1" applyAlignment="1"/>
    <xf numFmtId="0" fontId="32" fillId="0" borderId="0" xfId="0" applyFont="1" applyFill="1" applyAlignment="1"/>
    <xf numFmtId="0" fontId="45" fillId="4" borderId="33" xfId="1" applyFont="1" applyFill="1" applyBorder="1"/>
    <xf numFmtId="0" fontId="45" fillId="4" borderId="17" xfId="1" applyFont="1" applyFill="1" applyBorder="1"/>
    <xf numFmtId="0" fontId="45" fillId="3" borderId="18" xfId="1" applyFont="1" applyFill="1" applyBorder="1"/>
    <xf numFmtId="0" fontId="48" fillId="0" borderId="0" xfId="0" applyFont="1" applyFill="1" applyBorder="1" applyAlignment="1">
      <alignment vertical="center"/>
    </xf>
    <xf numFmtId="0" fontId="48" fillId="0" borderId="0" xfId="0" applyFont="1" applyFill="1" applyAlignment="1">
      <alignment vertical="center"/>
    </xf>
    <xf numFmtId="0" fontId="32" fillId="2" borderId="2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0" fontId="45" fillId="3" borderId="8" xfId="1" applyFont="1" applyFill="1" applyBorder="1"/>
    <xf numFmtId="0" fontId="45" fillId="3" borderId="4" xfId="1" applyFont="1" applyFill="1" applyBorder="1"/>
    <xf numFmtId="0" fontId="45" fillId="6" borderId="4" xfId="1" applyFont="1" applyFill="1" applyBorder="1"/>
    <xf numFmtId="0" fontId="45" fillId="6" borderId="48" xfId="1" applyFont="1" applyFill="1" applyBorder="1"/>
    <xf numFmtId="0" fontId="45" fillId="2" borderId="4" xfId="1" applyFont="1" applyFill="1" applyBorder="1"/>
    <xf numFmtId="0" fontId="45" fillId="4" borderId="4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5" xfId="0" applyNumberFormat="1" applyFont="1" applyFill="1" applyBorder="1"/>
    <xf numFmtId="3" fontId="39" fillId="2" borderId="46" xfId="0" applyNumberFormat="1" applyFont="1" applyFill="1" applyBorder="1"/>
    <xf numFmtId="9" fontId="39" fillId="2" borderId="49" xfId="0" applyNumberFormat="1" applyFont="1" applyFill="1" applyBorder="1"/>
    <xf numFmtId="0" fontId="49" fillId="2" borderId="18" xfId="1" applyFont="1" applyFill="1" applyBorder="1" applyAlignment="1"/>
    <xf numFmtId="0" fontId="32" fillId="2" borderId="28" xfId="0" applyFont="1" applyFill="1" applyBorder="1" applyAlignment="1"/>
    <xf numFmtId="3" fontId="32" fillId="2" borderId="27" xfId="0" applyNumberFormat="1" applyFont="1" applyFill="1" applyBorder="1" applyAlignment="1"/>
    <xf numFmtId="9" fontId="32" fillId="2" borderId="20" xfId="0" applyNumberFormat="1" applyFont="1" applyFill="1" applyBorder="1" applyAlignment="1"/>
    <xf numFmtId="0" fontId="39" fillId="2" borderId="47" xfId="0" applyFont="1" applyFill="1" applyBorder="1" applyAlignment="1"/>
    <xf numFmtId="0" fontId="32" fillId="0" borderId="7" xfId="0" applyFont="1" applyBorder="1" applyAlignment="1"/>
    <xf numFmtId="3" fontId="32" fillId="0" borderId="5" xfId="0" applyNumberFormat="1" applyFont="1" applyBorder="1" applyAlignment="1"/>
    <xf numFmtId="9" fontId="32" fillId="0" borderId="10" xfId="0" applyNumberFormat="1" applyFont="1" applyBorder="1" applyAlignment="1"/>
    <xf numFmtId="0" fontId="29" fillId="2" borderId="34" xfId="1" applyFont="1" applyFill="1" applyBorder="1" applyAlignment="1">
      <alignment horizontal="left" indent="2"/>
    </xf>
    <xf numFmtId="0" fontId="32" fillId="0" borderId="11" xfId="0" applyFont="1" applyBorder="1" applyAlignment="1"/>
    <xf numFmtId="3" fontId="32" fillId="0" borderId="9" xfId="0" applyNumberFormat="1" applyFont="1" applyBorder="1" applyAlignment="1"/>
    <xf numFmtId="9" fontId="32" fillId="0" borderId="9" xfId="0" applyNumberFormat="1" applyFont="1" applyBorder="1" applyAlignment="1"/>
    <xf numFmtId="0" fontId="32" fillId="2" borderId="34" xfId="0" applyFont="1" applyFill="1" applyBorder="1" applyAlignment="1">
      <alignment horizontal="left" indent="2"/>
    </xf>
    <xf numFmtId="0" fontId="31" fillId="2" borderId="34" xfId="1" applyFont="1" applyFill="1" applyBorder="1" applyAlignment="1"/>
    <xf numFmtId="0" fontId="45" fillId="2" borderId="34" xfId="1" applyFont="1" applyFill="1" applyBorder="1" applyAlignment="1">
      <alignment horizontal="left" indent="2"/>
    </xf>
    <xf numFmtId="0" fontId="49" fillId="2" borderId="34" xfId="1" applyFont="1" applyFill="1" applyBorder="1" applyAlignment="1"/>
    <xf numFmtId="0" fontId="32" fillId="0" borderId="32" xfId="0" applyFont="1" applyBorder="1" applyAlignment="1"/>
    <xf numFmtId="3" fontId="32" fillId="0" borderId="23" xfId="0" applyNumberFormat="1" applyFont="1" applyBorder="1" applyAlignment="1"/>
    <xf numFmtId="9" fontId="32" fillId="0" borderId="22" xfId="0" applyNumberFormat="1" applyFont="1" applyBorder="1" applyAlignment="1"/>
    <xf numFmtId="0" fontId="39" fillId="0" borderId="36" xfId="0" applyFont="1" applyFill="1" applyBorder="1" applyAlignment="1">
      <alignment horizontal="left" indent="2"/>
    </xf>
    <xf numFmtId="0" fontId="32" fillId="0" borderId="36" xfId="0" applyFont="1" applyBorder="1" applyAlignment="1"/>
    <xf numFmtId="3" fontId="32" fillId="0" borderId="36" xfId="0" applyNumberFormat="1" applyFont="1" applyBorder="1" applyAlignment="1"/>
    <xf numFmtId="9" fontId="32" fillId="0" borderId="36" xfId="0" applyNumberFormat="1" applyFont="1" applyBorder="1" applyAlignment="1"/>
    <xf numFmtId="0" fontId="49" fillId="4" borderId="18" xfId="1" applyFont="1" applyFill="1" applyBorder="1" applyAlignment="1">
      <alignment horizontal="left"/>
    </xf>
    <xf numFmtId="0" fontId="32" fillId="4" borderId="28" xfId="0" applyFont="1" applyFill="1" applyBorder="1" applyAlignment="1"/>
    <xf numFmtId="3" fontId="32" fillId="4" borderId="27" xfId="0" applyNumberFormat="1" applyFont="1" applyFill="1" applyBorder="1" applyAlignment="1"/>
    <xf numFmtId="9" fontId="32" fillId="4" borderId="20" xfId="0" applyNumberFormat="1" applyFont="1" applyFill="1" applyBorder="1" applyAlignment="1"/>
    <xf numFmtId="0" fontId="49" fillId="4" borderId="47" xfId="1" applyFont="1" applyFill="1" applyBorder="1" applyAlignment="1">
      <alignment horizontal="left"/>
    </xf>
    <xf numFmtId="0" fontId="45" fillId="4" borderId="34" xfId="1" applyFont="1" applyFill="1" applyBorder="1" applyAlignment="1">
      <alignment horizontal="left" indent="2"/>
    </xf>
    <xf numFmtId="0" fontId="49" fillId="4" borderId="34" xfId="1" applyFont="1" applyFill="1" applyBorder="1" applyAlignment="1">
      <alignment horizontal="left"/>
    </xf>
    <xf numFmtId="0" fontId="32" fillId="4" borderId="35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2" xfId="0" applyNumberFormat="1" applyFont="1" applyBorder="1" applyAlignment="1"/>
    <xf numFmtId="0" fontId="39" fillId="3" borderId="18" xfId="0" applyFont="1" applyFill="1" applyBorder="1" applyAlignment="1"/>
    <xf numFmtId="0" fontId="32" fillId="3" borderId="28" xfId="0" applyFont="1" applyFill="1" applyBorder="1" applyAlignment="1"/>
    <xf numFmtId="3" fontId="32" fillId="3" borderId="27" xfId="0" applyNumberFormat="1" applyFont="1" applyFill="1" applyBorder="1" applyAlignment="1"/>
    <xf numFmtId="9" fontId="32" fillId="3" borderId="20" xfId="0" applyNumberFormat="1" applyFont="1" applyFill="1" applyBorder="1" applyAlignment="1"/>
    <xf numFmtId="0" fontId="41" fillId="0" borderId="0" xfId="0" applyFont="1" applyFill="1"/>
    <xf numFmtId="16" fontId="41" fillId="0" borderId="0" xfId="0" quotePrefix="1" applyNumberFormat="1" applyFont="1" applyFill="1"/>
    <xf numFmtId="0" fontId="41" fillId="0" borderId="0" xfId="0" quotePrefix="1" applyFont="1" applyFill="1"/>
    <xf numFmtId="171" fontId="41" fillId="0" borderId="0" xfId="0" applyNumberFormat="1" applyFont="1" applyFill="1"/>
    <xf numFmtId="172" fontId="41" fillId="0" borderId="0" xfId="0" applyNumberFormat="1" applyFont="1" applyFill="1"/>
    <xf numFmtId="3" fontId="41" fillId="0" borderId="0" xfId="0" applyNumberFormat="1" applyFont="1" applyFill="1"/>
    <xf numFmtId="0" fontId="7" fillId="0" borderId="0" xfId="81" applyFont="1" applyFill="1"/>
    <xf numFmtId="0" fontId="50" fillId="0" borderId="36" xfId="81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4" fontId="32" fillId="0" borderId="0" xfId="0" applyNumberFormat="1" applyFont="1" applyFill="1"/>
    <xf numFmtId="9" fontId="32" fillId="0" borderId="0" xfId="0" applyNumberFormat="1" applyFont="1" applyFill="1"/>
    <xf numFmtId="3" fontId="6" fillId="0" borderId="0" xfId="78" applyNumberFormat="1" applyFont="1" applyFill="1" applyBorder="1" applyAlignment="1"/>
    <xf numFmtId="0" fontId="39" fillId="2" borderId="26" xfId="0" applyFont="1" applyFill="1" applyBorder="1" applyAlignment="1">
      <alignment horizontal="right"/>
    </xf>
    <xf numFmtId="169" fontId="39" fillId="0" borderId="19" xfId="0" applyNumberFormat="1" applyFont="1" applyFill="1" applyBorder="1" applyAlignment="1"/>
    <xf numFmtId="169" fontId="39" fillId="0" borderId="27" xfId="0" applyNumberFormat="1" applyFont="1" applyFill="1" applyBorder="1" applyAlignment="1"/>
    <xf numFmtId="9" fontId="39" fillId="0" borderId="20" xfId="0" applyNumberFormat="1" applyFont="1" applyFill="1" applyBorder="1" applyAlignment="1"/>
    <xf numFmtId="169" fontId="39" fillId="0" borderId="28" xfId="0" applyNumberFormat="1" applyFont="1" applyFill="1" applyBorder="1" applyAlignment="1"/>
    <xf numFmtId="9" fontId="39" fillId="0" borderId="44" xfId="0" applyNumberFormat="1" applyFont="1" applyFill="1" applyBorder="1" applyAlignment="1"/>
    <xf numFmtId="169" fontId="32" fillId="0" borderId="0" xfId="0" applyNumberFormat="1" applyFont="1" applyFill="1" applyBorder="1" applyAlignment="1"/>
    <xf numFmtId="9" fontId="32" fillId="0" borderId="0" xfId="0" applyNumberFormat="1" applyFont="1" applyFill="1" applyBorder="1" applyAlignment="1"/>
    <xf numFmtId="3" fontId="32" fillId="0" borderId="42" xfId="0" applyNumberFormat="1" applyFont="1" applyFill="1" applyBorder="1" applyAlignment="1"/>
    <xf numFmtId="9" fontId="32" fillId="0" borderId="42" xfId="0" applyNumberFormat="1" applyFont="1" applyFill="1" applyBorder="1" applyAlignment="1"/>
    <xf numFmtId="3" fontId="0" fillId="0" borderId="0" xfId="0" applyNumberFormat="1"/>
    <xf numFmtId="3" fontId="0" fillId="7" borderId="58" xfId="0" applyNumberFormat="1" applyFont="1" applyFill="1" applyBorder="1"/>
    <xf numFmtId="3" fontId="52" fillId="8" borderId="59" xfId="0" applyNumberFormat="1" applyFont="1" applyFill="1" applyBorder="1"/>
    <xf numFmtId="3" fontId="52" fillId="8" borderId="58" xfId="0" applyNumberFormat="1" applyFont="1" applyFill="1" applyBorder="1"/>
    <xf numFmtId="0" fontId="53" fillId="0" borderId="0" xfId="1" applyFont="1" applyFill="1"/>
    <xf numFmtId="3" fontId="51" fillId="0" borderId="0" xfId="26" applyNumberFormat="1" applyFont="1" applyFill="1" applyBorder="1" applyAlignment="1"/>
    <xf numFmtId="0" fontId="39" fillId="2" borderId="68" xfId="0" applyFont="1" applyFill="1" applyBorder="1" applyAlignment="1"/>
    <xf numFmtId="0" fontId="39" fillId="2" borderId="70" xfId="0" applyFont="1" applyFill="1" applyBorder="1" applyAlignment="1">
      <alignment horizontal="left" indent="1"/>
    </xf>
    <xf numFmtId="0" fontId="39" fillId="2" borderId="76" xfId="0" applyFont="1" applyFill="1" applyBorder="1" applyAlignment="1">
      <alignment horizontal="left" indent="1"/>
    </xf>
    <xf numFmtId="0" fontId="39" fillId="4" borderId="68" xfId="0" applyFont="1" applyFill="1" applyBorder="1" applyAlignment="1"/>
    <xf numFmtId="0" fontId="39" fillId="4" borderId="70" xfId="0" applyFont="1" applyFill="1" applyBorder="1" applyAlignment="1">
      <alignment horizontal="left" indent="1"/>
    </xf>
    <xf numFmtId="0" fontId="39" fillId="4" borderId="81" xfId="0" applyFont="1" applyFill="1" applyBorder="1" applyAlignment="1">
      <alignment horizontal="left" indent="1"/>
    </xf>
    <xf numFmtId="0" fontId="32" fillId="2" borderId="70" xfId="0" quotePrefix="1" applyFont="1" applyFill="1" applyBorder="1" applyAlignment="1">
      <alignment horizontal="left" indent="2"/>
    </xf>
    <xf numFmtId="0" fontId="32" fillId="2" borderId="76" xfId="0" quotePrefix="1" applyFont="1" applyFill="1" applyBorder="1" applyAlignment="1">
      <alignment horizontal="left" indent="2"/>
    </xf>
    <xf numFmtId="0" fontId="39" fillId="2" borderId="68" xfId="0" applyFont="1" applyFill="1" applyBorder="1" applyAlignment="1">
      <alignment horizontal="left" indent="1"/>
    </xf>
    <xf numFmtId="0" fontId="39" fillId="2" borderId="81" xfId="0" applyFont="1" applyFill="1" applyBorder="1" applyAlignment="1">
      <alignment horizontal="left" indent="1"/>
    </xf>
    <xf numFmtId="0" fontId="39" fillId="4" borderId="76" xfId="0" applyFont="1" applyFill="1" applyBorder="1" applyAlignment="1">
      <alignment horizontal="left" indent="1"/>
    </xf>
    <xf numFmtId="0" fontId="32" fillId="0" borderId="86" xfId="0" applyFont="1" applyBorder="1"/>
    <xf numFmtId="3" fontId="32" fillId="0" borderId="86" xfId="0" applyNumberFormat="1" applyFont="1" applyBorder="1"/>
    <xf numFmtId="0" fontId="39" fillId="4" borderId="60" xfId="0" applyFont="1" applyFill="1" applyBorder="1" applyAlignment="1">
      <alignment horizontal="center" vertical="center"/>
    </xf>
    <xf numFmtId="0" fontId="39" fillId="4" borderId="50" xfId="0" applyFont="1" applyFill="1" applyBorder="1" applyAlignment="1">
      <alignment horizontal="center" vertical="center"/>
    </xf>
    <xf numFmtId="0" fontId="0" fillId="0" borderId="0" xfId="0" applyNumberFormat="1"/>
    <xf numFmtId="3" fontId="39" fillId="2" borderId="85" xfId="0" applyNumberFormat="1" applyFont="1" applyFill="1" applyBorder="1" applyAlignment="1">
      <alignment horizontal="center" vertical="center"/>
    </xf>
    <xf numFmtId="3" fontId="54" fillId="2" borderId="83" xfId="0" applyNumberFormat="1" applyFont="1" applyFill="1" applyBorder="1" applyAlignment="1">
      <alignment horizontal="center" vertical="center" wrapText="1"/>
    </xf>
    <xf numFmtId="173" fontId="39" fillId="4" borderId="69" xfId="0" applyNumberFormat="1" applyFont="1" applyFill="1" applyBorder="1" applyAlignment="1"/>
    <xf numFmtId="173" fontId="39" fillId="4" borderId="63" xfId="0" applyNumberFormat="1" applyFont="1" applyFill="1" applyBorder="1" applyAlignment="1"/>
    <xf numFmtId="173" fontId="39" fillId="0" borderId="71" xfId="0" applyNumberFormat="1" applyFont="1" applyBorder="1"/>
    <xf numFmtId="173" fontId="32" fillId="0" borderId="73" xfId="0" applyNumberFormat="1" applyFont="1" applyBorder="1"/>
    <xf numFmtId="173" fontId="39" fillId="0" borderId="82" xfId="0" applyNumberFormat="1" applyFont="1" applyBorder="1"/>
    <xf numFmtId="173" fontId="32" fillId="0" borderId="66" xfId="0" applyNumberFormat="1" applyFont="1" applyBorder="1"/>
    <xf numFmtId="173" fontId="39" fillId="2" borderId="84" xfId="0" applyNumberFormat="1" applyFont="1" applyFill="1" applyBorder="1" applyAlignment="1"/>
    <xf numFmtId="173" fontId="39" fillId="2" borderId="63" xfId="0" applyNumberFormat="1" applyFont="1" applyFill="1" applyBorder="1" applyAlignment="1"/>
    <xf numFmtId="173" fontId="39" fillId="0" borderId="77" xfId="0" applyNumberFormat="1" applyFont="1" applyBorder="1"/>
    <xf numFmtId="173" fontId="32" fillId="0" borderId="79" xfId="0" applyNumberFormat="1" applyFont="1" applyBorder="1"/>
    <xf numFmtId="173" fontId="39" fillId="0" borderId="69" xfId="0" applyNumberFormat="1" applyFont="1" applyBorder="1"/>
    <xf numFmtId="173" fontId="32" fillId="0" borderId="63" xfId="0" applyNumberFormat="1" applyFont="1" applyBorder="1"/>
    <xf numFmtId="174" fontId="39" fillId="2" borderId="69" xfId="0" applyNumberFormat="1" applyFont="1" applyFill="1" applyBorder="1" applyAlignment="1"/>
    <xf numFmtId="174" fontId="32" fillId="2" borderId="63" xfId="0" applyNumberFormat="1" applyFont="1" applyFill="1" applyBorder="1" applyAlignment="1"/>
    <xf numFmtId="174" fontId="39" fillId="0" borderId="71" xfId="0" applyNumberFormat="1" applyFont="1" applyBorder="1"/>
    <xf numFmtId="174" fontId="32" fillId="0" borderId="73" xfId="0" applyNumberFormat="1" applyFont="1" applyBorder="1"/>
    <xf numFmtId="174" fontId="39" fillId="0" borderId="77" xfId="0" applyNumberFormat="1" applyFont="1" applyBorder="1"/>
    <xf numFmtId="174" fontId="32" fillId="0" borderId="79" xfId="0" applyNumberFormat="1" applyFont="1" applyBorder="1"/>
    <xf numFmtId="0" fontId="56" fillId="0" borderId="0" xfId="0" applyFont="1" applyAlignment="1">
      <alignment horizontal="left" vertical="center" indent="1"/>
    </xf>
    <xf numFmtId="0" fontId="56" fillId="0" borderId="0" xfId="0" applyFont="1" applyAlignment="1">
      <alignment vertical="center"/>
    </xf>
    <xf numFmtId="0" fontId="0" fillId="0" borderId="0" xfId="0" applyAlignment="1"/>
    <xf numFmtId="0" fontId="57" fillId="0" borderId="0" xfId="0" applyFont="1"/>
    <xf numFmtId="173" fontId="39" fillId="4" borderId="69" xfId="0" applyNumberFormat="1" applyFont="1" applyFill="1" applyBorder="1" applyAlignment="1">
      <alignment horizontal="center"/>
    </xf>
    <xf numFmtId="175" fontId="39" fillId="0" borderId="77" xfId="0" applyNumberFormat="1" applyFont="1" applyBorder="1"/>
    <xf numFmtId="0" fontId="31" fillId="2" borderId="92" xfId="74" applyFont="1" applyFill="1" applyBorder="1" applyAlignment="1">
      <alignment horizontal="center"/>
    </xf>
    <xf numFmtId="0" fontId="31" fillId="2" borderId="64" xfId="81" applyFont="1" applyFill="1" applyBorder="1" applyAlignment="1">
      <alignment horizontal="center"/>
    </xf>
    <xf numFmtId="0" fontId="31" fillId="2" borderId="65" xfId="81" applyFont="1" applyFill="1" applyBorder="1" applyAlignment="1">
      <alignment horizontal="center"/>
    </xf>
    <xf numFmtId="0" fontId="31" fillId="2" borderId="66" xfId="81" applyFont="1" applyFill="1" applyBorder="1" applyAlignment="1">
      <alignment horizontal="center"/>
    </xf>
    <xf numFmtId="0" fontId="31" fillId="2" borderId="67" xfId="81" applyFont="1" applyFill="1" applyBorder="1" applyAlignment="1">
      <alignment horizontal="center"/>
    </xf>
    <xf numFmtId="0" fontId="3" fillId="2" borderId="19" xfId="79" applyFont="1" applyFill="1" applyBorder="1" applyAlignment="1"/>
    <xf numFmtId="0" fontId="3" fillId="2" borderId="27" xfId="79" applyFont="1" applyFill="1" applyBorder="1" applyAlignment="1"/>
    <xf numFmtId="0" fontId="29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6" xfId="79" applyFont="1" applyFill="1" applyBorder="1" applyAlignment="1">
      <alignment horizontal="right"/>
    </xf>
    <xf numFmtId="9" fontId="32" fillId="0" borderId="27" xfId="0" applyNumberFormat="1" applyFont="1" applyFill="1" applyBorder="1"/>
    <xf numFmtId="9" fontId="32" fillId="0" borderId="20" xfId="0" applyNumberFormat="1" applyFont="1" applyFill="1" applyBorder="1"/>
    <xf numFmtId="9" fontId="32" fillId="0" borderId="28" xfId="0" applyNumberFormat="1" applyFont="1" applyFill="1" applyBorder="1"/>
    <xf numFmtId="3" fontId="6" fillId="0" borderId="19" xfId="78" applyNumberFormat="1" applyFont="1" applyFill="1" applyBorder="1" applyAlignment="1"/>
    <xf numFmtId="3" fontId="6" fillId="0" borderId="27" xfId="78" applyNumberFormat="1" applyFont="1" applyFill="1" applyBorder="1" applyAlignment="1"/>
    <xf numFmtId="3" fontId="6" fillId="0" borderId="20" xfId="78" applyNumberFormat="1" applyFont="1" applyFill="1" applyBorder="1" applyAlignment="1"/>
    <xf numFmtId="0" fontId="32" fillId="5" borderId="74" xfId="0" applyFont="1" applyFill="1" applyBorder="1"/>
    <xf numFmtId="0" fontId="32" fillId="0" borderId="75" xfId="0" applyFont="1" applyBorder="1" applyAlignment="1"/>
    <xf numFmtId="9" fontId="32" fillId="0" borderId="73" xfId="0" applyNumberFormat="1" applyFont="1" applyBorder="1" applyAlignment="1"/>
    <xf numFmtId="0" fontId="25" fillId="2" borderId="34" xfId="1" applyFill="1" applyBorder="1" applyAlignment="1">
      <alignment horizontal="left" indent="4"/>
    </xf>
    <xf numFmtId="0" fontId="39" fillId="0" borderId="0" xfId="0" applyFont="1" applyFill="1" applyAlignment="1">
      <alignment horizontal="left" indent="1"/>
    </xf>
    <xf numFmtId="0" fontId="32" fillId="0" borderId="86" xfId="0" applyFont="1" applyFill="1" applyBorder="1" applyAlignment="1"/>
    <xf numFmtId="3" fontId="39" fillId="0" borderId="19" xfId="0" applyNumberFormat="1" applyFont="1" applyFill="1" applyBorder="1" applyAlignment="1"/>
    <xf numFmtId="3" fontId="39" fillId="0" borderId="27" xfId="0" applyNumberFormat="1" applyFont="1" applyFill="1" applyBorder="1" applyAlignment="1"/>
    <xf numFmtId="169" fontId="39" fillId="0" borderId="20" xfId="0" applyNumberFormat="1" applyFont="1" applyFill="1" applyBorder="1" applyAlignment="1"/>
    <xf numFmtId="9" fontId="39" fillId="0" borderId="71" xfId="0" applyNumberFormat="1" applyFont="1" applyBorder="1"/>
    <xf numFmtId="9" fontId="32" fillId="0" borderId="73" xfId="0" applyNumberFormat="1" applyFont="1" applyBorder="1"/>
    <xf numFmtId="0" fontId="40" fillId="0" borderId="86" xfId="0" applyFont="1" applyFill="1" applyBorder="1" applyAlignment="1"/>
    <xf numFmtId="0" fontId="39" fillId="3" borderId="26" xfId="0" applyFont="1" applyFill="1" applyBorder="1" applyAlignment="1"/>
    <xf numFmtId="0" fontId="32" fillId="0" borderId="37" xfId="0" applyFont="1" applyBorder="1" applyAlignment="1"/>
    <xf numFmtId="0" fontId="39" fillId="2" borderId="26" xfId="0" applyFont="1" applyFill="1" applyBorder="1" applyAlignment="1"/>
    <xf numFmtId="0" fontId="39" fillId="4" borderId="26" xfId="0" applyFont="1" applyFill="1" applyBorder="1" applyAlignment="1"/>
    <xf numFmtId="0" fontId="42" fillId="0" borderId="1" xfId="0" applyFont="1" applyFill="1" applyBorder="1" applyAlignment="1"/>
    <xf numFmtId="0" fontId="42" fillId="0" borderId="1" xfId="0" applyFont="1" applyBorder="1" applyAlignment="1"/>
    <xf numFmtId="0" fontId="30" fillId="5" borderId="16" xfId="81" applyFont="1" applyFill="1" applyBorder="1" applyAlignment="1">
      <alignment horizontal="center" vertical="center"/>
    </xf>
    <xf numFmtId="0" fontId="41" fillId="0" borderId="2" xfId="0" applyFont="1" applyBorder="1" applyAlignment="1">
      <alignment horizontal="center" vertical="center"/>
    </xf>
    <xf numFmtId="0" fontId="31" fillId="2" borderId="40" xfId="81" applyFont="1" applyFill="1" applyBorder="1" applyAlignment="1">
      <alignment horizontal="center"/>
    </xf>
    <xf numFmtId="0" fontId="31" fillId="2" borderId="41" xfId="81" applyFont="1" applyFill="1" applyBorder="1" applyAlignment="1">
      <alignment horizontal="center"/>
    </xf>
    <xf numFmtId="0" fontId="31" fillId="2" borderId="38" xfId="81" applyFont="1" applyFill="1" applyBorder="1" applyAlignment="1">
      <alignment horizontal="center"/>
    </xf>
    <xf numFmtId="0" fontId="31" fillId="2" borderId="57" xfId="81" applyFont="1" applyFill="1" applyBorder="1" applyAlignment="1">
      <alignment horizontal="center"/>
    </xf>
    <xf numFmtId="0" fontId="31" fillId="2" borderId="39" xfId="81" applyFont="1" applyFill="1" applyBorder="1" applyAlignment="1">
      <alignment horizontal="center"/>
    </xf>
    <xf numFmtId="0" fontId="2" fillId="0" borderId="1" xfId="0" applyFont="1" applyFill="1" applyBorder="1" applyAlignment="1"/>
    <xf numFmtId="0" fontId="38" fillId="2" borderId="24" xfId="0" applyFont="1" applyFill="1" applyBorder="1" applyAlignment="1">
      <alignment horizontal="center" vertical="center"/>
    </xf>
    <xf numFmtId="0" fontId="32" fillId="2" borderId="2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10" xfId="0" applyFont="1" applyFill="1" applyBorder="1" applyAlignment="1">
      <alignment horizontal="center" vertical="center"/>
    </xf>
    <xf numFmtId="0" fontId="5" fillId="0" borderId="1" xfId="0" applyFont="1" applyFill="1" applyBorder="1" applyAlignment="1"/>
    <xf numFmtId="0" fontId="32" fillId="2" borderId="8" xfId="0" applyFont="1" applyFill="1" applyBorder="1" applyAlignment="1">
      <alignment horizontal="center" vertical="center"/>
    </xf>
    <xf numFmtId="0" fontId="32" fillId="2" borderId="9" xfId="0" applyFont="1" applyFill="1" applyBorder="1" applyAlignment="1">
      <alignment horizontal="center" vertical="center"/>
    </xf>
    <xf numFmtId="0" fontId="38" fillId="2" borderId="29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0" fontId="32" fillId="2" borderId="23" xfId="0" applyFont="1" applyFill="1" applyBorder="1" applyAlignment="1">
      <alignment horizontal="center" vertical="center" wrapText="1"/>
    </xf>
    <xf numFmtId="0" fontId="36" fillId="2" borderId="9" xfId="0" applyFont="1" applyFill="1" applyBorder="1" applyAlignment="1">
      <alignment horizontal="center" vertical="center" wrapText="1"/>
    </xf>
    <xf numFmtId="0" fontId="36" fillId="2" borderId="10" xfId="0" applyFont="1" applyFill="1" applyBorder="1" applyAlignment="1">
      <alignment horizontal="center" vertical="center" wrapText="1"/>
    </xf>
    <xf numFmtId="0" fontId="32" fillId="2" borderId="22" xfId="0" applyFont="1" applyFill="1" applyBorder="1" applyAlignment="1">
      <alignment horizontal="center" vertical="center" wrapText="1"/>
    </xf>
    <xf numFmtId="0" fontId="31" fillId="2" borderId="92" xfId="81" applyFont="1" applyFill="1" applyBorder="1" applyAlignment="1">
      <alignment horizontal="center"/>
    </xf>
    <xf numFmtId="0" fontId="31" fillId="2" borderId="90" xfId="81" applyFont="1" applyFill="1" applyBorder="1" applyAlignment="1">
      <alignment horizontal="center"/>
    </xf>
    <xf numFmtId="0" fontId="31" fillId="2" borderId="69" xfId="81" applyFont="1" applyFill="1" applyBorder="1" applyAlignment="1">
      <alignment horizontal="center"/>
    </xf>
    <xf numFmtId="0" fontId="31" fillId="2" borderId="91" xfId="81" applyFont="1" applyFill="1" applyBorder="1" applyAlignment="1">
      <alignment horizontal="center"/>
    </xf>
    <xf numFmtId="0" fontId="31" fillId="2" borderId="82" xfId="81" applyFont="1" applyFill="1" applyBorder="1" applyAlignment="1">
      <alignment horizontal="center"/>
    </xf>
    <xf numFmtId="0" fontId="2" fillId="0" borderId="1" xfId="14" applyFont="1" applyFill="1" applyBorder="1" applyAlignment="1"/>
    <xf numFmtId="0" fontId="42" fillId="0" borderId="1" xfId="14" applyFont="1" applyFill="1" applyBorder="1" applyAlignment="1"/>
    <xf numFmtId="0" fontId="0" fillId="0" borderId="1" xfId="0" applyBorder="1" applyAlignment="1"/>
    <xf numFmtId="0" fontId="5" fillId="0" borderId="1" xfId="14" applyFont="1" applyFill="1" applyBorder="1" applyAlignment="1"/>
    <xf numFmtId="9" fontId="3" fillId="2" borderId="95" xfId="80" applyNumberFormat="1" applyFont="1" applyFill="1" applyBorder="1" applyAlignment="1">
      <alignment horizontal="left"/>
    </xf>
    <xf numFmtId="9" fontId="3" fillId="2" borderId="5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3" fontId="3" fillId="2" borderId="3" xfId="80" applyNumberFormat="1" applyFont="1" applyFill="1" applyBorder="1" applyAlignment="1">
      <alignment horizontal="left"/>
    </xf>
    <xf numFmtId="3" fontId="3" fillId="2" borderId="94" xfId="80" applyNumberFormat="1" applyFont="1" applyFill="1" applyBorder="1" applyAlignment="1">
      <alignment horizontal="left"/>
    </xf>
    <xf numFmtId="3" fontId="3" fillId="2" borderId="84" xfId="80" applyNumberFormat="1" applyFont="1" applyFill="1" applyBorder="1" applyAlignment="1">
      <alignment horizontal="left"/>
    </xf>
    <xf numFmtId="166" fontId="39" fillId="2" borderId="61" xfId="0" applyNumberFormat="1" applyFont="1" applyFill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0" fontId="2" fillId="0" borderId="1" xfId="26" applyFont="1" applyFill="1" applyBorder="1" applyAlignment="1"/>
    <xf numFmtId="0" fontId="2" fillId="0" borderId="1" xfId="0" applyFont="1" applyFill="1" applyBorder="1" applyAlignment="1">
      <alignment wrapText="1"/>
    </xf>
    <xf numFmtId="0" fontId="39" fillId="2" borderId="49" xfId="0" applyFont="1" applyFill="1" applyBorder="1" applyAlignment="1">
      <alignment vertical="center"/>
    </xf>
    <xf numFmtId="3" fontId="31" fillId="2" borderId="51" xfId="26" applyNumberFormat="1" applyFont="1" applyFill="1" applyBorder="1" applyAlignment="1">
      <alignment horizontal="center"/>
    </xf>
    <xf numFmtId="3" fontId="31" fillId="2" borderId="42" xfId="26" applyNumberFormat="1" applyFont="1" applyFill="1" applyBorder="1" applyAlignment="1">
      <alignment horizontal="center"/>
    </xf>
    <xf numFmtId="3" fontId="31" fillId="2" borderId="43" xfId="26" applyNumberFormat="1" applyFont="1" applyFill="1" applyBorder="1" applyAlignment="1">
      <alignment horizontal="center"/>
    </xf>
    <xf numFmtId="3" fontId="31" fillId="2" borderId="93" xfId="26" applyNumberFormat="1" applyFont="1" applyFill="1" applyBorder="1" applyAlignment="1">
      <alignment horizontal="center"/>
    </xf>
    <xf numFmtId="3" fontId="31" fillId="2" borderId="86" xfId="26" applyNumberFormat="1" applyFont="1" applyFill="1" applyBorder="1" applyAlignment="1">
      <alignment horizontal="center"/>
    </xf>
    <xf numFmtId="3" fontId="31" fillId="2" borderId="61" xfId="26" applyNumberFormat="1" applyFont="1" applyFill="1" applyBorder="1" applyAlignment="1">
      <alignment horizontal="center"/>
    </xf>
    <xf numFmtId="3" fontId="31" fillId="2" borderId="43" xfId="0" applyNumberFormat="1" applyFont="1" applyFill="1" applyBorder="1" applyAlignment="1">
      <alignment horizontal="center" vertical="top"/>
    </xf>
    <xf numFmtId="0" fontId="31" fillId="2" borderId="30" xfId="0" applyFont="1" applyFill="1" applyBorder="1" applyAlignment="1">
      <alignment horizontal="center" vertical="top" wrapText="1"/>
    </xf>
    <xf numFmtId="0" fontId="31" fillId="2" borderId="30" xfId="0" applyFont="1" applyFill="1" applyBorder="1" applyAlignment="1">
      <alignment horizontal="center" vertical="top"/>
    </xf>
    <xf numFmtId="0" fontId="31" fillId="2" borderId="30" xfId="0" applyFont="1" applyFill="1" applyBorder="1" applyAlignment="1">
      <alignment horizontal="center" vertical="center"/>
    </xf>
    <xf numFmtId="0" fontId="31" fillId="2" borderId="51" xfId="0" quotePrefix="1" applyFont="1" applyFill="1" applyBorder="1" applyAlignment="1">
      <alignment horizontal="center"/>
    </xf>
    <xf numFmtId="0" fontId="31" fillId="2" borderId="43" xfId="0" applyFont="1" applyFill="1" applyBorder="1" applyAlignment="1">
      <alignment horizontal="center"/>
    </xf>
    <xf numFmtId="9" fontId="43" fillId="2" borderId="43" xfId="0" applyNumberFormat="1" applyFont="1" applyFill="1" applyBorder="1" applyAlignment="1">
      <alignment horizontal="center" vertical="top"/>
    </xf>
    <xf numFmtId="0" fontId="31" fillId="2" borderId="60" xfId="0" applyNumberFormat="1" applyFont="1" applyFill="1" applyBorder="1" applyAlignment="1">
      <alignment horizontal="center" vertical="top"/>
    </xf>
    <xf numFmtId="0" fontId="31" fillId="2" borderId="60" xfId="0" applyFont="1" applyFill="1" applyBorder="1" applyAlignment="1">
      <alignment horizontal="center" vertical="top" wrapText="1"/>
    </xf>
    <xf numFmtId="0" fontId="31" fillId="2" borderId="51" xfId="0" quotePrefix="1" applyNumberFormat="1" applyFont="1" applyFill="1" applyBorder="1" applyAlignment="1">
      <alignment horizontal="center"/>
    </xf>
    <xf numFmtId="0" fontId="31" fillId="2" borderId="43" xfId="0" applyNumberFormat="1" applyFont="1" applyFill="1" applyBorder="1" applyAlignment="1">
      <alignment horizontal="center"/>
    </xf>
    <xf numFmtId="49" fontId="31" fillId="2" borderId="30" xfId="0" applyNumberFormat="1" applyFont="1" applyFill="1" applyBorder="1" applyAlignment="1">
      <alignment horizontal="center" vertical="top"/>
    </xf>
    <xf numFmtId="0" fontId="43" fillId="2" borderId="43" xfId="0" applyNumberFormat="1" applyFont="1" applyFill="1" applyBorder="1" applyAlignment="1">
      <alignment horizontal="center" vertical="top"/>
    </xf>
    <xf numFmtId="3" fontId="33" fillId="9" borderId="97" xfId="0" applyNumberFormat="1" applyFont="1" applyFill="1" applyBorder="1" applyAlignment="1">
      <alignment horizontal="right" vertical="top"/>
    </xf>
    <xf numFmtId="3" fontId="33" fillId="9" borderId="98" xfId="0" applyNumberFormat="1" applyFont="1" applyFill="1" applyBorder="1" applyAlignment="1">
      <alignment horizontal="right" vertical="top"/>
    </xf>
    <xf numFmtId="176" fontId="33" fillId="9" borderId="99" xfId="0" applyNumberFormat="1" applyFont="1" applyFill="1" applyBorder="1" applyAlignment="1">
      <alignment horizontal="right" vertical="top"/>
    </xf>
    <xf numFmtId="3" fontId="33" fillId="0" borderId="97" xfId="0" applyNumberFormat="1" applyFont="1" applyBorder="1" applyAlignment="1">
      <alignment horizontal="right" vertical="top"/>
    </xf>
    <xf numFmtId="176" fontId="33" fillId="9" borderId="100" xfId="0" applyNumberFormat="1" applyFont="1" applyFill="1" applyBorder="1" applyAlignment="1">
      <alignment horizontal="right" vertical="top"/>
    </xf>
    <xf numFmtId="3" fontId="35" fillId="9" borderId="102" xfId="0" applyNumberFormat="1" applyFont="1" applyFill="1" applyBorder="1" applyAlignment="1">
      <alignment horizontal="right" vertical="top"/>
    </xf>
    <xf numFmtId="3" fontId="35" fillId="9" borderId="103" xfId="0" applyNumberFormat="1" applyFont="1" applyFill="1" applyBorder="1" applyAlignment="1">
      <alignment horizontal="right" vertical="top"/>
    </xf>
    <xf numFmtId="0" fontId="35" fillId="9" borderId="104" xfId="0" applyFont="1" applyFill="1" applyBorder="1" applyAlignment="1">
      <alignment horizontal="right" vertical="top"/>
    </xf>
    <xf numFmtId="3" fontId="35" fillId="0" borderId="102" xfId="0" applyNumberFormat="1" applyFont="1" applyBorder="1" applyAlignment="1">
      <alignment horizontal="right" vertical="top"/>
    </xf>
    <xf numFmtId="176" fontId="35" fillId="9" borderId="105" xfId="0" applyNumberFormat="1" applyFont="1" applyFill="1" applyBorder="1" applyAlignment="1">
      <alignment horizontal="right" vertical="top"/>
    </xf>
    <xf numFmtId="0" fontId="33" fillId="9" borderId="99" xfId="0" applyFont="1" applyFill="1" applyBorder="1" applyAlignment="1">
      <alignment horizontal="right" vertical="top"/>
    </xf>
    <xf numFmtId="0" fontId="33" fillId="9" borderId="100" xfId="0" applyFont="1" applyFill="1" applyBorder="1" applyAlignment="1">
      <alignment horizontal="right" vertical="top"/>
    </xf>
    <xf numFmtId="176" fontId="35" fillId="9" borderId="104" xfId="0" applyNumberFormat="1" applyFont="1" applyFill="1" applyBorder="1" applyAlignment="1">
      <alignment horizontal="right" vertical="top"/>
    </xf>
    <xf numFmtId="0" fontId="35" fillId="9" borderId="105" xfId="0" applyFont="1" applyFill="1" applyBorder="1" applyAlignment="1">
      <alignment horizontal="right" vertical="top"/>
    </xf>
    <xf numFmtId="3" fontId="35" fillId="0" borderId="106" xfId="0" applyNumberFormat="1" applyFont="1" applyBorder="1" applyAlignment="1">
      <alignment horizontal="right" vertical="top"/>
    </xf>
    <xf numFmtId="3" fontId="35" fillId="0" borderId="107" xfId="0" applyNumberFormat="1" applyFont="1" applyBorder="1" applyAlignment="1">
      <alignment horizontal="right" vertical="top"/>
    </xf>
    <xf numFmtId="3" fontId="35" fillId="0" borderId="108" xfId="0" applyNumberFormat="1" applyFont="1" applyBorder="1" applyAlignment="1">
      <alignment horizontal="right" vertical="top"/>
    </xf>
    <xf numFmtId="176" fontId="35" fillId="9" borderId="109" xfId="0" applyNumberFormat="1" applyFont="1" applyFill="1" applyBorder="1" applyAlignment="1">
      <alignment horizontal="right" vertical="top"/>
    </xf>
    <xf numFmtId="0" fontId="37" fillId="10" borderId="96" xfId="0" applyFont="1" applyFill="1" applyBorder="1" applyAlignment="1">
      <alignment vertical="top"/>
    </xf>
    <xf numFmtId="0" fontId="37" fillId="10" borderId="96" xfId="0" applyFont="1" applyFill="1" applyBorder="1" applyAlignment="1">
      <alignment vertical="top" indent="2"/>
    </xf>
    <xf numFmtId="0" fontId="37" fillId="10" borderId="96" xfId="0" applyFont="1" applyFill="1" applyBorder="1" applyAlignment="1">
      <alignment vertical="top" indent="4"/>
    </xf>
    <xf numFmtId="0" fontId="38" fillId="10" borderId="101" xfId="0" applyFont="1" applyFill="1" applyBorder="1" applyAlignment="1">
      <alignment vertical="top" indent="6"/>
    </xf>
    <xf numFmtId="0" fontId="37" fillId="10" borderId="96" xfId="0" applyFont="1" applyFill="1" applyBorder="1" applyAlignment="1">
      <alignment vertical="top" indent="8"/>
    </xf>
    <xf numFmtId="0" fontId="38" fillId="10" borderId="101" xfId="0" applyFont="1" applyFill="1" applyBorder="1" applyAlignment="1">
      <alignment vertical="top" indent="2"/>
    </xf>
    <xf numFmtId="0" fontId="37" fillId="10" borderId="96" xfId="0" applyFont="1" applyFill="1" applyBorder="1" applyAlignment="1">
      <alignment vertical="top" indent="6"/>
    </xf>
    <xf numFmtId="0" fontId="38" fillId="10" borderId="101" xfId="0" applyFont="1" applyFill="1" applyBorder="1" applyAlignment="1">
      <alignment vertical="top" indent="4"/>
    </xf>
    <xf numFmtId="0" fontId="32" fillId="10" borderId="96" xfId="0" applyFont="1" applyFill="1" applyBorder="1"/>
    <xf numFmtId="0" fontId="38" fillId="10" borderId="18" xfId="0" applyFont="1" applyFill="1" applyBorder="1" applyAlignment="1">
      <alignment vertical="top"/>
    </xf>
    <xf numFmtId="0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right"/>
    </xf>
    <xf numFmtId="9" fontId="29" fillId="0" borderId="0" xfId="0" applyNumberFormat="1" applyFont="1" applyFill="1" applyBorder="1" applyAlignment="1">
      <alignment horizontal="right"/>
    </xf>
    <xf numFmtId="3" fontId="29" fillId="0" borderId="0" xfId="0" applyNumberFormat="1" applyFont="1" applyFill="1" applyBorder="1"/>
    <xf numFmtId="0" fontId="3" fillId="2" borderId="110" xfId="79" applyFont="1" applyFill="1" applyBorder="1" applyAlignment="1">
      <alignment horizontal="left"/>
    </xf>
    <xf numFmtId="3" fontId="3" fillId="2" borderId="79" xfId="80" applyNumberFormat="1" applyFont="1" applyFill="1" applyBorder="1"/>
    <xf numFmtId="3" fontId="3" fillId="2" borderId="80" xfId="80" applyNumberFormat="1" applyFont="1" applyFill="1" applyBorder="1"/>
    <xf numFmtId="9" fontId="3" fillId="2" borderId="78" xfId="80" applyNumberFormat="1" applyFont="1" applyFill="1" applyBorder="1"/>
    <xf numFmtId="9" fontId="3" fillId="2" borderId="79" xfId="80" applyNumberFormat="1" applyFont="1" applyFill="1" applyBorder="1"/>
    <xf numFmtId="9" fontId="3" fillId="2" borderId="80" xfId="80" applyNumberFormat="1" applyFont="1" applyFill="1" applyBorder="1"/>
    <xf numFmtId="0" fontId="39" fillId="0" borderId="62" xfId="0" applyFont="1" applyFill="1" applyBorder="1"/>
    <xf numFmtId="3" fontId="32" fillId="0" borderId="63" xfId="0" applyNumberFormat="1" applyFont="1" applyFill="1" applyBorder="1"/>
    <xf numFmtId="9" fontId="32" fillId="0" borderId="63" xfId="0" applyNumberFormat="1" applyFont="1" applyFill="1" applyBorder="1"/>
    <xf numFmtId="9" fontId="32" fillId="0" borderId="64" xfId="0" applyNumberFormat="1" applyFont="1" applyFill="1" applyBorder="1"/>
    <xf numFmtId="3" fontId="32" fillId="0" borderId="66" xfId="0" applyNumberFormat="1" applyFont="1" applyFill="1" applyBorder="1"/>
    <xf numFmtId="9" fontId="32" fillId="0" borderId="66" xfId="0" applyNumberFormat="1" applyFont="1" applyFill="1" applyBorder="1"/>
    <xf numFmtId="9" fontId="32" fillId="0" borderId="67" xfId="0" applyNumberFormat="1" applyFont="1" applyFill="1" applyBorder="1"/>
    <xf numFmtId="0" fontId="39" fillId="0" borderId="92" xfId="0" applyFont="1" applyFill="1" applyBorder="1"/>
    <xf numFmtId="0" fontId="39" fillId="0" borderId="91" xfId="0" applyFont="1" applyFill="1" applyBorder="1" applyAlignment="1">
      <alignment horizontal="left" indent="1"/>
    </xf>
    <xf numFmtId="9" fontId="32" fillId="0" borderId="85" xfId="0" applyNumberFormat="1" applyFont="1" applyFill="1" applyBorder="1"/>
    <xf numFmtId="9" fontId="32" fillId="0" borderId="83" xfId="0" applyNumberFormat="1" applyFont="1" applyFill="1" applyBorder="1"/>
    <xf numFmtId="3" fontId="32" fillId="0" borderId="62" xfId="0" applyNumberFormat="1" applyFont="1" applyFill="1" applyBorder="1"/>
    <xf numFmtId="3" fontId="32" fillId="0" borderId="65" xfId="0" applyNumberFormat="1" applyFont="1" applyFill="1" applyBorder="1"/>
    <xf numFmtId="3" fontId="32" fillId="0" borderId="64" xfId="0" applyNumberFormat="1" applyFont="1" applyFill="1" applyBorder="1"/>
    <xf numFmtId="3" fontId="32" fillId="0" borderId="67" xfId="0" applyNumberFormat="1" applyFont="1" applyFill="1" applyBorder="1"/>
    <xf numFmtId="9" fontId="32" fillId="0" borderId="89" xfId="0" applyNumberFormat="1" applyFont="1" applyFill="1" applyBorder="1"/>
    <xf numFmtId="9" fontId="32" fillId="0" borderId="88" xfId="0" applyNumberFormat="1" applyFont="1" applyFill="1" applyBorder="1"/>
    <xf numFmtId="0" fontId="0" fillId="0" borderId="111" xfId="0" applyBorder="1" applyAlignment="1">
      <alignment horizontal="center"/>
    </xf>
    <xf numFmtId="0" fontId="0" fillId="0" borderId="112" xfId="0" applyBorder="1" applyAlignment="1">
      <alignment horizontal="right"/>
    </xf>
    <xf numFmtId="0" fontId="0" fillId="0" borderId="112" xfId="0" applyBorder="1" applyAlignment="1">
      <alignment horizontal="right" wrapText="1"/>
    </xf>
    <xf numFmtId="0" fontId="0" fillId="0" borderId="113" xfId="0" applyBorder="1" applyAlignment="1">
      <alignment horizontal="right"/>
    </xf>
    <xf numFmtId="0" fontId="39" fillId="2" borderId="89" xfId="0" applyFont="1" applyFill="1" applyBorder="1" applyAlignment="1">
      <alignment horizontal="center" vertical="center"/>
    </xf>
    <xf numFmtId="0" fontId="54" fillId="2" borderId="88" xfId="0" applyFont="1" applyFill="1" applyBorder="1" applyAlignment="1">
      <alignment horizontal="center" vertical="center" wrapText="1"/>
    </xf>
    <xf numFmtId="174" fontId="32" fillId="2" borderId="89" xfId="0" applyNumberFormat="1" applyFont="1" applyFill="1" applyBorder="1" applyAlignment="1"/>
    <xf numFmtId="174" fontId="32" fillId="0" borderId="87" xfId="0" applyNumberFormat="1" applyFont="1" applyBorder="1"/>
    <xf numFmtId="174" fontId="32" fillId="0" borderId="115" xfId="0" applyNumberFormat="1" applyFont="1" applyBorder="1"/>
    <xf numFmtId="173" fontId="39" fillId="4" borderId="89" xfId="0" applyNumberFormat="1" applyFont="1" applyFill="1" applyBorder="1" applyAlignment="1"/>
    <xf numFmtId="173" fontId="32" fillId="0" borderId="87" xfId="0" applyNumberFormat="1" applyFont="1" applyBorder="1"/>
    <xf numFmtId="173" fontId="32" fillId="0" borderId="88" xfId="0" applyNumberFormat="1" applyFont="1" applyBorder="1"/>
    <xf numFmtId="173" fontId="39" fillId="2" borderId="89" xfId="0" applyNumberFormat="1" applyFont="1" applyFill="1" applyBorder="1" applyAlignment="1"/>
    <xf numFmtId="173" fontId="32" fillId="0" borderId="115" xfId="0" applyNumberFormat="1" applyFont="1" applyBorder="1"/>
    <xf numFmtId="173" fontId="32" fillId="0" borderId="89" xfId="0" applyNumberFormat="1" applyFont="1" applyBorder="1"/>
    <xf numFmtId="173" fontId="39" fillId="4" borderId="116" xfId="0" applyNumberFormat="1" applyFont="1" applyFill="1" applyBorder="1" applyAlignment="1">
      <alignment horizontal="center"/>
    </xf>
    <xf numFmtId="173" fontId="32" fillId="0" borderId="117" xfId="0" applyNumberFormat="1" applyFont="1" applyBorder="1" applyAlignment="1">
      <alignment horizontal="right"/>
    </xf>
    <xf numFmtId="175" fontId="32" fillId="0" borderId="117" xfId="0" applyNumberFormat="1" applyFont="1" applyBorder="1" applyAlignment="1">
      <alignment horizontal="right"/>
    </xf>
    <xf numFmtId="173" fontId="32" fillId="0" borderId="118" xfId="0" applyNumberFormat="1" applyFont="1" applyBorder="1" applyAlignment="1">
      <alignment horizontal="right"/>
    </xf>
    <xf numFmtId="0" fontId="0" fillId="0" borderId="114" xfId="0" applyBorder="1"/>
    <xf numFmtId="173" fontId="39" fillId="4" borderId="68" xfId="0" applyNumberFormat="1" applyFont="1" applyFill="1" applyBorder="1" applyAlignment="1">
      <alignment horizontal="center"/>
    </xf>
    <xf numFmtId="173" fontId="32" fillId="0" borderId="70" xfId="0" applyNumberFormat="1" applyFont="1" applyBorder="1" applyAlignment="1">
      <alignment horizontal="right"/>
    </xf>
    <xf numFmtId="173" fontId="32" fillId="0" borderId="70" xfId="0" applyNumberFormat="1" applyFont="1" applyBorder="1" applyAlignment="1">
      <alignment horizontal="right" wrapText="1"/>
    </xf>
    <xf numFmtId="175" fontId="32" fillId="0" borderId="70" xfId="0" applyNumberFormat="1" applyFont="1" applyBorder="1" applyAlignment="1">
      <alignment horizontal="right"/>
    </xf>
    <xf numFmtId="173" fontId="32" fillId="0" borderId="81" xfId="0" applyNumberFormat="1" applyFont="1" applyBorder="1" applyAlignment="1">
      <alignment horizontal="right"/>
    </xf>
    <xf numFmtId="0" fontId="32" fillId="2" borderId="52" xfId="0" applyFont="1" applyFill="1" applyBorder="1" applyAlignment="1">
      <alignment vertical="center"/>
    </xf>
    <xf numFmtId="0" fontId="31" fillId="2" borderId="15" xfId="26" applyNumberFormat="1" applyFont="1" applyFill="1" applyBorder="1"/>
    <xf numFmtId="0" fontId="31" fillId="2" borderId="0" xfId="26" applyNumberFormat="1" applyFont="1" applyFill="1" applyBorder="1"/>
    <xf numFmtId="0" fontId="31" fillId="2" borderId="16" xfId="26" applyNumberFormat="1" applyFont="1" applyFill="1" applyBorder="1" applyAlignment="1">
      <alignment horizontal="right"/>
    </xf>
    <xf numFmtId="169" fontId="32" fillId="0" borderId="27" xfId="0" applyNumberFormat="1" applyFont="1" applyFill="1" applyBorder="1"/>
    <xf numFmtId="0" fontId="32" fillId="0" borderId="27" xfId="0" applyFont="1" applyFill="1" applyBorder="1"/>
    <xf numFmtId="0" fontId="39" fillId="0" borderId="19" xfId="0" applyFont="1" applyFill="1" applyBorder="1"/>
    <xf numFmtId="0" fontId="58" fillId="0" borderId="0" xfId="0" applyFont="1" applyFill="1"/>
    <xf numFmtId="0" fontId="59" fillId="0" borderId="0" xfId="0" applyFont="1" applyFill="1"/>
    <xf numFmtId="0" fontId="32" fillId="0" borderId="62" xfId="0" applyFont="1" applyFill="1" applyBorder="1"/>
    <xf numFmtId="169" fontId="32" fillId="0" borderId="63" xfId="0" applyNumberFormat="1" applyFont="1" applyFill="1" applyBorder="1"/>
    <xf numFmtId="169" fontId="32" fillId="0" borderId="64" xfId="0" applyNumberFormat="1" applyFont="1" applyFill="1" applyBorder="1"/>
    <xf numFmtId="0" fontId="32" fillId="0" borderId="72" xfId="0" applyFont="1" applyFill="1" applyBorder="1"/>
    <xf numFmtId="3" fontId="32" fillId="0" borderId="73" xfId="0" applyNumberFormat="1" applyFont="1" applyFill="1" applyBorder="1"/>
    <xf numFmtId="169" fontId="32" fillId="0" borderId="73" xfId="0" applyNumberFormat="1" applyFont="1" applyFill="1" applyBorder="1"/>
    <xf numFmtId="169" fontId="32" fillId="0" borderId="74" xfId="0" applyNumberFormat="1" applyFont="1" applyFill="1" applyBorder="1"/>
    <xf numFmtId="0" fontId="32" fillId="0" borderId="65" xfId="0" applyFont="1" applyFill="1" applyBorder="1"/>
    <xf numFmtId="169" fontId="32" fillId="0" borderId="66" xfId="0" applyNumberFormat="1" applyFont="1" applyFill="1" applyBorder="1"/>
    <xf numFmtId="169" fontId="32" fillId="0" borderId="67" xfId="0" applyNumberFormat="1" applyFont="1" applyFill="1" applyBorder="1"/>
    <xf numFmtId="0" fontId="39" fillId="0" borderId="72" xfId="0" applyFont="1" applyFill="1" applyBorder="1"/>
    <xf numFmtId="0" fontId="39" fillId="0" borderId="65" xfId="0" applyFont="1" applyFill="1" applyBorder="1"/>
    <xf numFmtId="0" fontId="32" fillId="2" borderId="31" xfId="0" applyFont="1" applyFill="1" applyBorder="1" applyAlignment="1">
      <alignment horizontal="center" vertical="top" wrapText="1"/>
    </xf>
    <xf numFmtId="0" fontId="31" fillId="2" borderId="31" xfId="0" applyFont="1" applyFill="1" applyBorder="1" applyAlignment="1">
      <alignment horizontal="center" vertical="top" wrapText="1"/>
    </xf>
    <xf numFmtId="0" fontId="31" fillId="2" borderId="31" xfId="0" applyFont="1" applyFill="1" applyBorder="1" applyAlignment="1">
      <alignment horizontal="center" vertical="top"/>
    </xf>
    <xf numFmtId="0" fontId="0" fillId="0" borderId="31" xfId="0" applyNumberFormat="1" applyBorder="1" applyAlignment="1">
      <alignment horizontal="center" vertical="top"/>
    </xf>
    <xf numFmtId="0" fontId="31" fillId="2" borderId="31" xfId="0" applyFont="1" applyFill="1" applyBorder="1" applyAlignment="1">
      <alignment horizontal="center" vertical="center"/>
    </xf>
    <xf numFmtId="3" fontId="31" fillId="2" borderId="15" xfId="0" applyNumberFormat="1" applyFont="1" applyFill="1" applyBorder="1" applyAlignment="1">
      <alignment horizontal="left"/>
    </xf>
    <xf numFmtId="3" fontId="31" fillId="2" borderId="16" xfId="0" applyNumberFormat="1" applyFont="1" applyFill="1" applyBorder="1" applyAlignment="1">
      <alignment horizontal="center"/>
    </xf>
    <xf numFmtId="3" fontId="31" fillId="2" borderId="0" xfId="0" applyNumberFormat="1" applyFont="1" applyFill="1" applyBorder="1" applyAlignment="1">
      <alignment horizontal="center"/>
    </xf>
    <xf numFmtId="9" fontId="43" fillId="2" borderId="16" xfId="0" applyNumberFormat="1" applyFont="1" applyFill="1" applyBorder="1" applyAlignment="1">
      <alignment horizontal="center" vertical="top"/>
    </xf>
    <xf numFmtId="3" fontId="31" fillId="2" borderId="16" xfId="0" applyNumberFormat="1" applyFont="1" applyFill="1" applyBorder="1" applyAlignment="1">
      <alignment horizontal="center" vertical="top"/>
    </xf>
    <xf numFmtId="0" fontId="32" fillId="0" borderId="63" xfId="0" applyFont="1" applyFill="1" applyBorder="1"/>
    <xf numFmtId="0" fontId="32" fillId="0" borderId="73" xfId="0" applyFont="1" applyFill="1" applyBorder="1"/>
    <xf numFmtId="9" fontId="32" fillId="0" borderId="73" xfId="0" applyNumberFormat="1" applyFont="1" applyFill="1" applyBorder="1"/>
    <xf numFmtId="3" fontId="32" fillId="0" borderId="74" xfId="0" applyNumberFormat="1" applyFont="1" applyFill="1" applyBorder="1"/>
    <xf numFmtId="0" fontId="32" fillId="0" borderId="66" xfId="0" applyFont="1" applyFill="1" applyBorder="1"/>
    <xf numFmtId="9" fontId="32" fillId="0" borderId="74" xfId="0" applyNumberFormat="1" applyFont="1" applyFill="1" applyBorder="1"/>
    <xf numFmtId="49" fontId="31" fillId="2" borderId="31" xfId="0" applyNumberFormat="1" applyFont="1" applyFill="1" applyBorder="1" applyAlignment="1">
      <alignment horizontal="center" vertical="top"/>
    </xf>
    <xf numFmtId="0" fontId="31" fillId="2" borderId="15" xfId="0" applyNumberFormat="1" applyFont="1" applyFill="1" applyBorder="1" applyAlignment="1">
      <alignment horizontal="left"/>
    </xf>
    <xf numFmtId="0" fontId="31" fillId="2" borderId="16" xfId="0" applyNumberFormat="1" applyFont="1" applyFill="1" applyBorder="1" applyAlignment="1">
      <alignment horizontal="left"/>
    </xf>
    <xf numFmtId="0" fontId="31" fillId="2" borderId="0" xfId="0" applyNumberFormat="1" applyFont="1" applyFill="1" applyBorder="1" applyAlignment="1">
      <alignment horizontal="left"/>
    </xf>
    <xf numFmtId="0" fontId="43" fillId="2" borderId="16" xfId="0" applyNumberFormat="1" applyFont="1" applyFill="1" applyBorder="1" applyAlignment="1">
      <alignment horizontal="center" vertical="top"/>
    </xf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53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Graf'!$B$4:$G$4</c:f>
              <c:numCache>
                <c:formatCode>General</c:formatCode>
                <c:ptCount val="6"/>
                <c:pt idx="0">
                  <c:v>0.19360538290798482</c:v>
                </c:pt>
                <c:pt idx="1">
                  <c:v>0.19521907273863118</c:v>
                </c:pt>
                <c:pt idx="2">
                  <c:v>0.22981690883241898</c:v>
                </c:pt>
                <c:pt idx="3">
                  <c:v>0.2519958726553746</c:v>
                </c:pt>
                <c:pt idx="4">
                  <c:v>0.26019343074849305</c:v>
                </c:pt>
                <c:pt idx="5">
                  <c:v>0.24765875270300761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20741936"/>
        <c:axId val="-1120745200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0.272856538967087</c:v>
                </c:pt>
                <c:pt idx="1">
                  <c:v>0.272856538967087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120741392"/>
        <c:axId val="-1120744112"/>
      </c:scatterChart>
      <c:catAx>
        <c:axId val="-11207419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11207452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12074520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1120741936"/>
        <c:crosses val="autoZero"/>
        <c:crossBetween val="between"/>
      </c:valAx>
      <c:valAx>
        <c:axId val="-1120741392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1120744112"/>
        <c:crosses val="max"/>
        <c:crossBetween val="midCat"/>
      </c:valAx>
      <c:valAx>
        <c:axId val="-112074411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1120741392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21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02" bestFit="1" customWidth="1"/>
    <col min="2" max="2" width="102.21875" style="102" bestFit="1" customWidth="1"/>
    <col min="3" max="3" width="16.109375" style="42" hidden="1" customWidth="1"/>
    <col min="4" max="16384" width="8.88671875" style="102"/>
  </cols>
  <sheetData>
    <row r="1" spans="1:3" ht="18.600000000000001" customHeight="1" thickBot="1" x14ac:dyDescent="0.4">
      <c r="A1" s="271" t="s">
        <v>85</v>
      </c>
      <c r="B1" s="271"/>
    </row>
    <row r="2" spans="1:3" ht="14.4" customHeight="1" thickBot="1" x14ac:dyDescent="0.35">
      <c r="A2" s="195" t="s">
        <v>199</v>
      </c>
      <c r="B2" s="41"/>
    </row>
    <row r="3" spans="1:3" ht="14.4" customHeight="1" thickBot="1" x14ac:dyDescent="0.35">
      <c r="A3" s="267" t="s">
        <v>106</v>
      </c>
      <c r="B3" s="268"/>
    </row>
    <row r="4" spans="1:3" ht="14.4" customHeight="1" x14ac:dyDescent="0.3">
      <c r="A4" s="114" t="str">
        <f t="shared" ref="A4:A8" si="0">HYPERLINK("#'"&amp;C4&amp;"'!A1",C4)</f>
        <v>Motivace</v>
      </c>
      <c r="B4" s="63" t="s">
        <v>94</v>
      </c>
      <c r="C4" s="42" t="s">
        <v>95</v>
      </c>
    </row>
    <row r="5" spans="1:3" ht="14.4" customHeight="1" x14ac:dyDescent="0.3">
      <c r="A5" s="115" t="str">
        <f t="shared" si="0"/>
        <v>HI</v>
      </c>
      <c r="B5" s="64" t="s">
        <v>103</v>
      </c>
      <c r="C5" s="42" t="s">
        <v>88</v>
      </c>
    </row>
    <row r="6" spans="1:3" ht="14.4" customHeight="1" x14ac:dyDescent="0.3">
      <c r="A6" s="116" t="str">
        <f t="shared" si="0"/>
        <v>HI Graf</v>
      </c>
      <c r="B6" s="65" t="s">
        <v>81</v>
      </c>
      <c r="C6" s="42" t="s">
        <v>89</v>
      </c>
    </row>
    <row r="7" spans="1:3" ht="14.4" customHeight="1" x14ac:dyDescent="0.3">
      <c r="A7" s="116" t="str">
        <f t="shared" si="0"/>
        <v>Man Tab</v>
      </c>
      <c r="B7" s="65" t="s">
        <v>201</v>
      </c>
      <c r="C7" s="42" t="s">
        <v>90</v>
      </c>
    </row>
    <row r="8" spans="1:3" ht="14.4" customHeight="1" thickBot="1" x14ac:dyDescent="0.35">
      <c r="A8" s="117" t="str">
        <f t="shared" si="0"/>
        <v>HV</v>
      </c>
      <c r="B8" s="66" t="s">
        <v>38</v>
      </c>
      <c r="C8" s="42" t="s">
        <v>43</v>
      </c>
    </row>
    <row r="9" spans="1:3" ht="14.4" customHeight="1" thickBot="1" x14ac:dyDescent="0.35">
      <c r="A9" s="67"/>
      <c r="B9" s="67"/>
    </row>
    <row r="10" spans="1:3" ht="14.4" customHeight="1" thickBot="1" x14ac:dyDescent="0.35">
      <c r="A10" s="269" t="s">
        <v>86</v>
      </c>
      <c r="B10" s="268"/>
    </row>
    <row r="11" spans="1:3" ht="14.4" customHeight="1" x14ac:dyDescent="0.3">
      <c r="A11" s="118" t="str">
        <f t="shared" ref="A11" si="1">HYPERLINK("#'"&amp;C11&amp;"'!A1",C11)</f>
        <v>Léky Žádanky</v>
      </c>
      <c r="B11" s="64" t="s">
        <v>104</v>
      </c>
      <c r="C11" s="42" t="s">
        <v>91</v>
      </c>
    </row>
    <row r="12" spans="1:3" ht="14.4" customHeight="1" x14ac:dyDescent="0.3">
      <c r="A12" s="116" t="str">
        <f t="shared" ref="A12:A14" si="2">HYPERLINK("#'"&amp;C12&amp;"'!A1",C12)</f>
        <v>LŽ Statim</v>
      </c>
      <c r="B12" s="255" t="s">
        <v>158</v>
      </c>
      <c r="C12" s="42" t="s">
        <v>168</v>
      </c>
    </row>
    <row r="13" spans="1:3" ht="14.4" customHeight="1" x14ac:dyDescent="0.3">
      <c r="A13" s="118" t="str">
        <f t="shared" ref="A13" si="3">HYPERLINK("#'"&amp;C13&amp;"'!A1",C13)</f>
        <v>Materiál Žádanky</v>
      </c>
      <c r="B13" s="65" t="s">
        <v>105</v>
      </c>
      <c r="C13" s="42" t="s">
        <v>92</v>
      </c>
    </row>
    <row r="14" spans="1:3" ht="14.4" customHeight="1" thickBot="1" x14ac:dyDescent="0.35">
      <c r="A14" s="118" t="str">
        <f t="shared" si="2"/>
        <v>Osobní náklady</v>
      </c>
      <c r="B14" s="65" t="s">
        <v>83</v>
      </c>
      <c r="C14" s="42" t="s">
        <v>93</v>
      </c>
    </row>
    <row r="15" spans="1:3" ht="14.4" customHeight="1" thickBot="1" x14ac:dyDescent="0.35">
      <c r="A15" s="68"/>
      <c r="B15" s="68"/>
    </row>
    <row r="16" spans="1:3" ht="14.4" customHeight="1" thickBot="1" x14ac:dyDescent="0.35">
      <c r="A16" s="270" t="s">
        <v>87</v>
      </c>
      <c r="B16" s="268"/>
    </row>
    <row r="17" spans="1:3" ht="14.4" customHeight="1" x14ac:dyDescent="0.3">
      <c r="A17" s="119" t="str">
        <f t="shared" ref="A17:A21" si="4">HYPERLINK("#'"&amp;C17&amp;"'!A1",C17)</f>
        <v>ZV Vykáz.-A</v>
      </c>
      <c r="B17" s="64" t="s">
        <v>317</v>
      </c>
      <c r="C17" s="42" t="s">
        <v>96</v>
      </c>
    </row>
    <row r="18" spans="1:3" ht="14.4" customHeight="1" x14ac:dyDescent="0.3">
      <c r="A18" s="116" t="str">
        <f t="shared" ref="A18" si="5">HYPERLINK("#'"&amp;C18&amp;"'!A1",C18)</f>
        <v>ZV Vykáz.-A Lékaři</v>
      </c>
      <c r="B18" s="65" t="s">
        <v>324</v>
      </c>
      <c r="C18" s="42" t="s">
        <v>171</v>
      </c>
    </row>
    <row r="19" spans="1:3" ht="14.4" customHeight="1" x14ac:dyDescent="0.3">
      <c r="A19" s="116" t="str">
        <f t="shared" si="4"/>
        <v>ZV Vykáz.-A Detail</v>
      </c>
      <c r="B19" s="65" t="s">
        <v>345</v>
      </c>
      <c r="C19" s="42" t="s">
        <v>97</v>
      </c>
    </row>
    <row r="20" spans="1:3" ht="14.4" customHeight="1" x14ac:dyDescent="0.3">
      <c r="A20" s="116" t="str">
        <f t="shared" si="4"/>
        <v>ZV Vykáz.-H</v>
      </c>
      <c r="B20" s="65" t="s">
        <v>100</v>
      </c>
      <c r="C20" s="42" t="s">
        <v>98</v>
      </c>
    </row>
    <row r="21" spans="1:3" ht="14.4" customHeight="1" x14ac:dyDescent="0.3">
      <c r="A21" s="116" t="str">
        <f t="shared" si="4"/>
        <v>ZV Vykáz.-H Detail</v>
      </c>
      <c r="B21" s="65" t="s">
        <v>376</v>
      </c>
      <c r="C21" s="42" t="s">
        <v>99</v>
      </c>
    </row>
  </sheetData>
  <mergeCells count="4">
    <mergeCell ref="A3:B3"/>
    <mergeCell ref="A10:B10"/>
    <mergeCell ref="A16:B16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F36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E1"/>
    </sheetView>
  </sheetViews>
  <sheetFormatPr defaultRowHeight="14.4" outlineLevelRow="1" x14ac:dyDescent="0.3"/>
  <cols>
    <col min="1" max="1" width="37.21875" customWidth="1"/>
    <col min="2" max="2" width="13.109375" customWidth="1"/>
    <col min="3" max="3" width="13.109375" hidden="1" customWidth="1"/>
    <col min="4" max="5" width="13.109375" customWidth="1"/>
  </cols>
  <sheetData>
    <row r="1" spans="1:6" ht="18.600000000000001" thickBot="1" x14ac:dyDescent="0.4">
      <c r="A1" s="312" t="s">
        <v>83</v>
      </c>
      <c r="B1" s="302"/>
      <c r="C1" s="302"/>
      <c r="D1" s="302"/>
      <c r="E1" s="302"/>
    </row>
    <row r="2" spans="1:6" ht="15" thickBot="1" x14ac:dyDescent="0.35">
      <c r="A2" s="195" t="s">
        <v>199</v>
      </c>
      <c r="B2" s="196"/>
      <c r="C2" s="196"/>
      <c r="D2" s="196"/>
    </row>
    <row r="3" spans="1:6" x14ac:dyDescent="0.3">
      <c r="A3" s="210" t="s">
        <v>148</v>
      </c>
      <c r="B3" s="310" t="s">
        <v>132</v>
      </c>
      <c r="C3" s="213">
        <v>302</v>
      </c>
      <c r="D3" s="213">
        <v>523</v>
      </c>
      <c r="E3" s="394">
        <v>930</v>
      </c>
      <c r="F3" s="409"/>
    </row>
    <row r="4" spans="1:6" ht="24.6" outlineLevel="1" thickBot="1" x14ac:dyDescent="0.35">
      <c r="A4" s="211">
        <v>2016</v>
      </c>
      <c r="B4" s="311"/>
      <c r="C4" s="214" t="s">
        <v>174</v>
      </c>
      <c r="D4" s="214" t="s">
        <v>156</v>
      </c>
      <c r="E4" s="395" t="s">
        <v>150</v>
      </c>
      <c r="F4" s="409"/>
    </row>
    <row r="5" spans="1:6" x14ac:dyDescent="0.3">
      <c r="A5" s="197" t="s">
        <v>133</v>
      </c>
      <c r="B5" s="227"/>
      <c r="C5" s="228"/>
      <c r="D5" s="228"/>
      <c r="E5" s="396"/>
      <c r="F5" s="409"/>
    </row>
    <row r="6" spans="1:6" ht="15" collapsed="1" thickBot="1" x14ac:dyDescent="0.35">
      <c r="A6" s="198" t="s">
        <v>50</v>
      </c>
      <c r="B6" s="229">
        <f xml:space="preserve">
TRUNC(IF($A$4&lt;=12,SUMIFS('ON Data'!F:F,'ON Data'!$D:$D,$A$4,'ON Data'!$E:$E,1),SUMIFS('ON Data'!F:F,'ON Data'!$E:$E,1)/'ON Data'!$D$3),1)</f>
        <v>5</v>
      </c>
      <c r="C6" s="230">
        <f xml:space="preserve">
TRUNC(IF($A$4&lt;=12,SUMIFS('ON Data'!O:O,'ON Data'!$D:$D,$A$4,'ON Data'!$E:$E,1),SUMIFS('ON Data'!O:O,'ON Data'!$E:$E,1)/'ON Data'!$D$3),1)</f>
        <v>0</v>
      </c>
      <c r="D6" s="230">
        <f xml:space="preserve">
TRUNC(IF($A$4&lt;=12,SUMIFS('ON Data'!AG:AG,'ON Data'!$D:$D,$A$4,'ON Data'!$E:$E,1),SUMIFS('ON Data'!AG:AG,'ON Data'!$E:$E,1)/'ON Data'!$D$3),1)</f>
        <v>5</v>
      </c>
      <c r="E6" s="397">
        <f xml:space="preserve">
TRUNC(IF($A$4&lt;=12,SUMIFS('ON Data'!AW:AW,'ON Data'!$D:$D,$A$4,'ON Data'!$E:$E,1),SUMIFS('ON Data'!AW:AW,'ON Data'!$E:$E,1)/'ON Data'!$D$3),1)</f>
        <v>0</v>
      </c>
      <c r="F6" s="409"/>
    </row>
    <row r="7" spans="1:6" ht="15" hidden="1" outlineLevel="1" thickBot="1" x14ac:dyDescent="0.35">
      <c r="A7" s="198" t="s">
        <v>84</v>
      </c>
      <c r="B7" s="229"/>
      <c r="C7" s="230"/>
      <c r="D7" s="230"/>
      <c r="E7" s="397"/>
      <c r="F7" s="409"/>
    </row>
    <row r="8" spans="1:6" ht="15" hidden="1" outlineLevel="1" thickBot="1" x14ac:dyDescent="0.35">
      <c r="A8" s="198" t="s">
        <v>52</v>
      </c>
      <c r="B8" s="229"/>
      <c r="C8" s="230"/>
      <c r="D8" s="230"/>
      <c r="E8" s="397"/>
      <c r="F8" s="409"/>
    </row>
    <row r="9" spans="1:6" ht="15" hidden="1" outlineLevel="1" thickBot="1" x14ac:dyDescent="0.35">
      <c r="A9" s="199" t="s">
        <v>45</v>
      </c>
      <c r="B9" s="231"/>
      <c r="C9" s="232"/>
      <c r="D9" s="232"/>
      <c r="E9" s="398"/>
      <c r="F9" s="409"/>
    </row>
    <row r="10" spans="1:6" x14ac:dyDescent="0.3">
      <c r="A10" s="200" t="s">
        <v>134</v>
      </c>
      <c r="B10" s="215"/>
      <c r="C10" s="216"/>
      <c r="D10" s="216"/>
      <c r="E10" s="399"/>
      <c r="F10" s="409"/>
    </row>
    <row r="11" spans="1:6" x14ac:dyDescent="0.3">
      <c r="A11" s="201" t="s">
        <v>135</v>
      </c>
      <c r="B11" s="217">
        <f xml:space="preserve">
IF($A$4&lt;=12,SUMIFS('ON Data'!F:F,'ON Data'!$D:$D,$A$4,'ON Data'!$E:$E,2),SUMIFS('ON Data'!F:F,'ON Data'!$E:$E,2))</f>
        <v>4736</v>
      </c>
      <c r="C11" s="218">
        <f xml:space="preserve">
IF($A$4&lt;=12,SUMIFS('ON Data'!O:O,'ON Data'!$D:$D,$A$4,'ON Data'!$E:$E,2),SUMIFS('ON Data'!O:O,'ON Data'!$E:$E,2))</f>
        <v>0</v>
      </c>
      <c r="D11" s="218">
        <f xml:space="preserve">
IF($A$4&lt;=12,SUMIFS('ON Data'!AG:AG,'ON Data'!$D:$D,$A$4,'ON Data'!$E:$E,2),SUMIFS('ON Data'!AG:AG,'ON Data'!$E:$E,2))</f>
        <v>4736</v>
      </c>
      <c r="E11" s="400">
        <f xml:space="preserve">
IF($A$4&lt;=12,SUMIFS('ON Data'!AW:AW,'ON Data'!$D:$D,$A$4,'ON Data'!$E:$E,2),SUMIFS('ON Data'!AW:AW,'ON Data'!$E:$E,2))</f>
        <v>0</v>
      </c>
      <c r="F11" s="409"/>
    </row>
    <row r="12" spans="1:6" x14ac:dyDescent="0.3">
      <c r="A12" s="201" t="s">
        <v>136</v>
      </c>
      <c r="B12" s="217">
        <f xml:space="preserve">
IF($A$4&lt;=12,SUMIFS('ON Data'!F:F,'ON Data'!$D:$D,$A$4,'ON Data'!$E:$E,3),SUMIFS('ON Data'!F:F,'ON Data'!$E:$E,3))</f>
        <v>0</v>
      </c>
      <c r="C12" s="218">
        <f xml:space="preserve">
IF($A$4&lt;=12,SUMIFS('ON Data'!O:O,'ON Data'!$D:$D,$A$4,'ON Data'!$E:$E,3),SUMIFS('ON Data'!O:O,'ON Data'!$E:$E,3))</f>
        <v>0</v>
      </c>
      <c r="D12" s="218">
        <f xml:space="preserve">
IF($A$4&lt;=12,SUMIFS('ON Data'!AG:AG,'ON Data'!$D:$D,$A$4,'ON Data'!$E:$E,3),SUMIFS('ON Data'!AG:AG,'ON Data'!$E:$E,3))</f>
        <v>0</v>
      </c>
      <c r="E12" s="400">
        <f xml:space="preserve">
IF($A$4&lt;=12,SUMIFS('ON Data'!AW:AW,'ON Data'!$D:$D,$A$4,'ON Data'!$E:$E,3),SUMIFS('ON Data'!AW:AW,'ON Data'!$E:$E,3))</f>
        <v>0</v>
      </c>
      <c r="F12" s="409"/>
    </row>
    <row r="13" spans="1:6" x14ac:dyDescent="0.3">
      <c r="A13" s="201" t="s">
        <v>143</v>
      </c>
      <c r="B13" s="217">
        <f xml:space="preserve">
IF($A$4&lt;=12,SUMIFS('ON Data'!F:F,'ON Data'!$D:$D,$A$4,'ON Data'!$E:$E,4),SUMIFS('ON Data'!F:F,'ON Data'!$E:$E,4))</f>
        <v>0</v>
      </c>
      <c r="C13" s="218">
        <f xml:space="preserve">
IF($A$4&lt;=12,SUMIFS('ON Data'!O:O,'ON Data'!$D:$D,$A$4,'ON Data'!$E:$E,4),SUMIFS('ON Data'!O:O,'ON Data'!$E:$E,4))</f>
        <v>0</v>
      </c>
      <c r="D13" s="218">
        <f xml:space="preserve">
IF($A$4&lt;=12,SUMIFS('ON Data'!AG:AG,'ON Data'!$D:$D,$A$4,'ON Data'!$E:$E,4),SUMIFS('ON Data'!AG:AG,'ON Data'!$E:$E,4))</f>
        <v>0</v>
      </c>
      <c r="E13" s="400">
        <f xml:space="preserve">
IF($A$4&lt;=12,SUMIFS('ON Data'!AW:AW,'ON Data'!$D:$D,$A$4,'ON Data'!$E:$E,4),SUMIFS('ON Data'!AW:AW,'ON Data'!$E:$E,4))</f>
        <v>0</v>
      </c>
      <c r="F13" s="409"/>
    </row>
    <row r="14" spans="1:6" ht="15" thickBot="1" x14ac:dyDescent="0.35">
      <c r="A14" s="202" t="s">
        <v>137</v>
      </c>
      <c r="B14" s="219">
        <f xml:space="preserve">
IF($A$4&lt;=12,SUMIFS('ON Data'!F:F,'ON Data'!$D:$D,$A$4,'ON Data'!$E:$E,5),SUMIFS('ON Data'!F:F,'ON Data'!$E:$E,5))</f>
        <v>0</v>
      </c>
      <c r="C14" s="220">
        <f xml:space="preserve">
IF($A$4&lt;=12,SUMIFS('ON Data'!O:O,'ON Data'!$D:$D,$A$4,'ON Data'!$E:$E,5),SUMIFS('ON Data'!O:O,'ON Data'!$E:$E,5))</f>
        <v>0</v>
      </c>
      <c r="D14" s="220">
        <f xml:space="preserve">
IF($A$4&lt;=12,SUMIFS('ON Data'!AG:AG,'ON Data'!$D:$D,$A$4,'ON Data'!$E:$E,5),SUMIFS('ON Data'!AG:AG,'ON Data'!$E:$E,5))</f>
        <v>0</v>
      </c>
      <c r="E14" s="401">
        <f xml:space="preserve">
IF($A$4&lt;=12,SUMIFS('ON Data'!AW:AW,'ON Data'!$D:$D,$A$4,'ON Data'!$E:$E,5),SUMIFS('ON Data'!AW:AW,'ON Data'!$E:$E,5))</f>
        <v>0</v>
      </c>
      <c r="F14" s="409"/>
    </row>
    <row r="15" spans="1:6" x14ac:dyDescent="0.3">
      <c r="A15" s="132" t="s">
        <v>147</v>
      </c>
      <c r="B15" s="221"/>
      <c r="C15" s="222"/>
      <c r="D15" s="222"/>
      <c r="E15" s="402"/>
      <c r="F15" s="409"/>
    </row>
    <row r="16" spans="1:6" x14ac:dyDescent="0.3">
      <c r="A16" s="203" t="s">
        <v>138</v>
      </c>
      <c r="B16" s="217">
        <f xml:space="preserve">
IF($A$4&lt;=12,SUMIFS('ON Data'!F:F,'ON Data'!$D:$D,$A$4,'ON Data'!$E:$E,7),SUMIFS('ON Data'!F:F,'ON Data'!$E:$E,7))</f>
        <v>0</v>
      </c>
      <c r="C16" s="218">
        <f xml:space="preserve">
IF($A$4&lt;=12,SUMIFS('ON Data'!O:O,'ON Data'!$D:$D,$A$4,'ON Data'!$E:$E,7),SUMIFS('ON Data'!O:O,'ON Data'!$E:$E,7))</f>
        <v>0</v>
      </c>
      <c r="D16" s="218">
        <f xml:space="preserve">
IF($A$4&lt;=12,SUMIFS('ON Data'!AG:AG,'ON Data'!$D:$D,$A$4,'ON Data'!$E:$E,7),SUMIFS('ON Data'!AG:AG,'ON Data'!$E:$E,7))</f>
        <v>0</v>
      </c>
      <c r="E16" s="400">
        <f xml:space="preserve">
IF($A$4&lt;=12,SUMIFS('ON Data'!AW:AW,'ON Data'!$D:$D,$A$4,'ON Data'!$E:$E,7),SUMIFS('ON Data'!AW:AW,'ON Data'!$E:$E,7))</f>
        <v>0</v>
      </c>
      <c r="F16" s="409"/>
    </row>
    <row r="17" spans="1:6" x14ac:dyDescent="0.3">
      <c r="A17" s="203" t="s">
        <v>139</v>
      </c>
      <c r="B17" s="217">
        <f xml:space="preserve">
IF($A$4&lt;=12,SUMIFS('ON Data'!F:F,'ON Data'!$D:$D,$A$4,'ON Data'!$E:$E,8),SUMIFS('ON Data'!F:F,'ON Data'!$E:$E,8))</f>
        <v>0</v>
      </c>
      <c r="C17" s="218">
        <f xml:space="preserve">
IF($A$4&lt;=12,SUMIFS('ON Data'!O:O,'ON Data'!$D:$D,$A$4,'ON Data'!$E:$E,8),SUMIFS('ON Data'!O:O,'ON Data'!$E:$E,8))</f>
        <v>0</v>
      </c>
      <c r="D17" s="218">
        <f xml:space="preserve">
IF($A$4&lt;=12,SUMIFS('ON Data'!AG:AG,'ON Data'!$D:$D,$A$4,'ON Data'!$E:$E,8),SUMIFS('ON Data'!AG:AG,'ON Data'!$E:$E,8))</f>
        <v>0</v>
      </c>
      <c r="E17" s="400">
        <f xml:space="preserve">
IF($A$4&lt;=12,SUMIFS('ON Data'!AW:AW,'ON Data'!$D:$D,$A$4,'ON Data'!$E:$E,8),SUMIFS('ON Data'!AW:AW,'ON Data'!$E:$E,8))</f>
        <v>0</v>
      </c>
      <c r="F17" s="409"/>
    </row>
    <row r="18" spans="1:6" x14ac:dyDescent="0.3">
      <c r="A18" s="203" t="s">
        <v>140</v>
      </c>
      <c r="B18" s="217">
        <f xml:space="preserve">
B19-B16-B17</f>
        <v>0</v>
      </c>
      <c r="C18" s="218">
        <f t="shared" ref="C18:D18" si="0" xml:space="preserve">
C19-C16-C17</f>
        <v>0</v>
      </c>
      <c r="D18" s="218">
        <f t="shared" si="0"/>
        <v>0</v>
      </c>
      <c r="E18" s="400">
        <f t="shared" ref="E18" si="1" xml:space="preserve">
E19-E16-E17</f>
        <v>0</v>
      </c>
      <c r="F18" s="409"/>
    </row>
    <row r="19" spans="1:6" ht="15" thickBot="1" x14ac:dyDescent="0.35">
      <c r="A19" s="204" t="s">
        <v>141</v>
      </c>
      <c r="B19" s="223">
        <f xml:space="preserve">
IF($A$4&lt;=12,SUMIFS('ON Data'!F:F,'ON Data'!$D:$D,$A$4,'ON Data'!$E:$E,9),SUMIFS('ON Data'!F:F,'ON Data'!$E:$E,9))</f>
        <v>0</v>
      </c>
      <c r="C19" s="224">
        <f xml:space="preserve">
IF($A$4&lt;=12,SUMIFS('ON Data'!O:O,'ON Data'!$D:$D,$A$4,'ON Data'!$E:$E,9),SUMIFS('ON Data'!O:O,'ON Data'!$E:$E,9))</f>
        <v>0</v>
      </c>
      <c r="D19" s="224">
        <f xml:space="preserve">
IF($A$4&lt;=12,SUMIFS('ON Data'!AG:AG,'ON Data'!$D:$D,$A$4,'ON Data'!$E:$E,9),SUMIFS('ON Data'!AG:AG,'ON Data'!$E:$E,9))</f>
        <v>0</v>
      </c>
      <c r="E19" s="403">
        <f xml:space="preserve">
IF($A$4&lt;=12,SUMIFS('ON Data'!AW:AW,'ON Data'!$D:$D,$A$4,'ON Data'!$E:$E,9),SUMIFS('ON Data'!AW:AW,'ON Data'!$E:$E,9))</f>
        <v>0</v>
      </c>
      <c r="F19" s="409"/>
    </row>
    <row r="20" spans="1:6" ht="15" collapsed="1" thickBot="1" x14ac:dyDescent="0.35">
      <c r="A20" s="205" t="s">
        <v>50</v>
      </c>
      <c r="B20" s="225">
        <f xml:space="preserve">
IF($A$4&lt;=12,SUMIFS('ON Data'!F:F,'ON Data'!$D:$D,$A$4,'ON Data'!$E:$E,6),SUMIFS('ON Data'!F:F,'ON Data'!$E:$E,6))</f>
        <v>1127035</v>
      </c>
      <c r="C20" s="226">
        <f xml:space="preserve">
IF($A$4&lt;=12,SUMIFS('ON Data'!O:O,'ON Data'!$D:$D,$A$4,'ON Data'!$E:$E,6),SUMIFS('ON Data'!O:O,'ON Data'!$E:$E,6))</f>
        <v>0</v>
      </c>
      <c r="D20" s="226">
        <f xml:space="preserve">
IF($A$4&lt;=12,SUMIFS('ON Data'!AG:AG,'ON Data'!$D:$D,$A$4,'ON Data'!$E:$E,6),SUMIFS('ON Data'!AG:AG,'ON Data'!$E:$E,6))</f>
        <v>1106396</v>
      </c>
      <c r="E20" s="404">
        <f xml:space="preserve">
IF($A$4&lt;=12,SUMIFS('ON Data'!AW:AW,'ON Data'!$D:$D,$A$4,'ON Data'!$E:$E,6),SUMIFS('ON Data'!AW:AW,'ON Data'!$E:$E,6))</f>
        <v>20639</v>
      </c>
      <c r="F20" s="409"/>
    </row>
    <row r="21" spans="1:6" ht="15" hidden="1" outlineLevel="1" thickBot="1" x14ac:dyDescent="0.35">
      <c r="A21" s="198" t="s">
        <v>84</v>
      </c>
      <c r="B21" s="217">
        <f xml:space="preserve">
IF($A$4&lt;=12,SUMIFS('ON Data'!F:F,'ON Data'!$D:$D,$A$4,'ON Data'!$E:$E,12),SUMIFS('ON Data'!F:F,'ON Data'!$E:$E,12))</f>
        <v>0</v>
      </c>
      <c r="C21" s="218">
        <f xml:space="preserve">
IF($A$4&lt;=12,SUMIFS('ON Data'!O:O,'ON Data'!$D:$D,$A$4,'ON Data'!$E:$E,12),SUMIFS('ON Data'!O:O,'ON Data'!$E:$E,12))</f>
        <v>0</v>
      </c>
      <c r="D21" s="218">
        <f xml:space="preserve">
IF($A$4&lt;=12,SUMIFS('ON Data'!AG:AG,'ON Data'!$D:$D,$A$4,'ON Data'!$E:$E,12),SUMIFS('ON Data'!AG:AG,'ON Data'!$E:$E,12))</f>
        <v>0</v>
      </c>
      <c r="F21" s="409"/>
    </row>
    <row r="22" spans="1:6" ht="15" hidden="1" outlineLevel="1" thickBot="1" x14ac:dyDescent="0.35">
      <c r="A22" s="198" t="s">
        <v>52</v>
      </c>
      <c r="B22" s="264" t="str">
        <f xml:space="preserve">
IF(OR(B21="",B21=0),"",B20/B21)</f>
        <v/>
      </c>
      <c r="C22" s="265" t="str">
        <f t="shared" ref="C22:D22" si="2" xml:space="preserve">
IF(OR(C21="",C21=0),"",C20/C21)</f>
        <v/>
      </c>
      <c r="D22" s="265" t="str">
        <f t="shared" si="2"/>
        <v/>
      </c>
      <c r="F22" s="409"/>
    </row>
    <row r="23" spans="1:6" ht="15" hidden="1" outlineLevel="1" thickBot="1" x14ac:dyDescent="0.35">
      <c r="A23" s="206" t="s">
        <v>45</v>
      </c>
      <c r="B23" s="219">
        <f xml:space="preserve">
IF(B21="","",B20-B21)</f>
        <v>1127035</v>
      </c>
      <c r="C23" s="220">
        <f t="shared" ref="C23:D23" si="3" xml:space="preserve">
IF(C21="","",C20-C21)</f>
        <v>0</v>
      </c>
      <c r="D23" s="220">
        <f t="shared" si="3"/>
        <v>1106396</v>
      </c>
      <c r="F23" s="409"/>
    </row>
    <row r="24" spans="1:6" x14ac:dyDescent="0.3">
      <c r="A24" s="200" t="s">
        <v>142</v>
      </c>
      <c r="B24" s="237" t="s">
        <v>3</v>
      </c>
      <c r="C24" s="410" t="s">
        <v>153</v>
      </c>
      <c r="D24" s="390"/>
      <c r="E24" s="405" t="s">
        <v>154</v>
      </c>
      <c r="F24" s="409"/>
    </row>
    <row r="25" spans="1:6" x14ac:dyDescent="0.3">
      <c r="A25" s="201" t="s">
        <v>50</v>
      </c>
      <c r="B25" s="217">
        <f xml:space="preserve">
SUM(C25:E25)</f>
        <v>0</v>
      </c>
      <c r="C25" s="411">
        <f xml:space="preserve">
IF($A$4&lt;=12,SUMIFS('ON Data'!O:O,'ON Data'!$D:$D,$A$4,'ON Data'!$E:$E,10),SUMIFS('ON Data'!O:O,'ON Data'!$E:$E,10))</f>
        <v>0</v>
      </c>
      <c r="D25" s="391"/>
      <c r="E25" s="406">
        <f xml:space="preserve">
IF($A$4&lt;=12,SUMIFS('ON Data'!AW:AW,'ON Data'!$D:$D,$A$4,'ON Data'!$E:$E,10),SUMIFS('ON Data'!AW:AW,'ON Data'!$E:$E,10))</f>
        <v>0</v>
      </c>
      <c r="F25" s="409"/>
    </row>
    <row r="26" spans="1:6" x14ac:dyDescent="0.3">
      <c r="A26" s="207" t="s">
        <v>152</v>
      </c>
      <c r="B26" s="223">
        <f xml:space="preserve">
SUM(C26:E26)</f>
        <v>1100</v>
      </c>
      <c r="C26" s="412">
        <f xml:space="preserve">
IF($A$4&lt;=12,SUMIFS('ON Data'!O:O,'ON Data'!$D:$D,$A$4,'ON Data'!$E:$E,11),SUMIFS('ON Data'!O:O,'ON Data'!$E:$E,11))</f>
        <v>1100</v>
      </c>
      <c r="D26" s="392"/>
      <c r="E26" s="406">
        <f xml:space="preserve">
IF($A$4&lt;=12,SUMIFS('ON Data'!AW:AW,'ON Data'!$D:$D,$A$4,'ON Data'!$E:$E,11),SUMIFS('ON Data'!AW:AW,'ON Data'!$E:$E,11))</f>
        <v>0</v>
      </c>
      <c r="F26" s="409"/>
    </row>
    <row r="27" spans="1:6" x14ac:dyDescent="0.3">
      <c r="A27" s="207" t="s">
        <v>52</v>
      </c>
      <c r="B27" s="238">
        <f xml:space="preserve">
IF(B26=0,0,B25/B26)</f>
        <v>0</v>
      </c>
      <c r="C27" s="413">
        <f xml:space="preserve">
IF(C26=0,0,C25/C26)</f>
        <v>0</v>
      </c>
      <c r="D27" s="391"/>
      <c r="E27" s="407">
        <f xml:space="preserve">
IF(E26=0,0,E25/E26)</f>
        <v>0</v>
      </c>
      <c r="F27" s="409"/>
    </row>
    <row r="28" spans="1:6" ht="15" thickBot="1" x14ac:dyDescent="0.35">
      <c r="A28" s="207" t="s">
        <v>151</v>
      </c>
      <c r="B28" s="223">
        <f xml:space="preserve">
SUM(C28:E28)</f>
        <v>1100</v>
      </c>
      <c r="C28" s="414">
        <f xml:space="preserve">
C26-C25</f>
        <v>1100</v>
      </c>
      <c r="D28" s="393"/>
      <c r="E28" s="408">
        <f xml:space="preserve">
E26-E25</f>
        <v>0</v>
      </c>
      <c r="F28" s="409"/>
    </row>
    <row r="29" spans="1:6" x14ac:dyDescent="0.3">
      <c r="A29" s="208"/>
      <c r="B29" s="208"/>
      <c r="C29" s="209"/>
      <c r="D29" s="209"/>
    </row>
    <row r="30" spans="1:6" x14ac:dyDescent="0.3">
      <c r="A30" s="85" t="s">
        <v>115</v>
      </c>
      <c r="B30" s="102"/>
      <c r="C30" s="102"/>
      <c r="D30" s="102"/>
    </row>
    <row r="31" spans="1:6" x14ac:dyDescent="0.3">
      <c r="A31" s="86" t="s">
        <v>149</v>
      </c>
      <c r="B31" s="102"/>
      <c r="C31" s="102"/>
      <c r="D31" s="102"/>
    </row>
    <row r="32" spans="1:6" ht="14.4" customHeight="1" x14ac:dyDescent="0.3">
      <c r="A32" s="234" t="s">
        <v>146</v>
      </c>
      <c r="B32" s="235"/>
      <c r="C32" s="235"/>
      <c r="D32" s="235"/>
    </row>
    <row r="33" spans="1:1" x14ac:dyDescent="0.3">
      <c r="A33" s="236" t="s">
        <v>175</v>
      </c>
    </row>
    <row r="34" spans="1:1" x14ac:dyDescent="0.3">
      <c r="A34" s="236" t="s">
        <v>176</v>
      </c>
    </row>
    <row r="35" spans="1:1" x14ac:dyDescent="0.3">
      <c r="A35" s="236" t="s">
        <v>177</v>
      </c>
    </row>
    <row r="36" spans="1:1" x14ac:dyDescent="0.3">
      <c r="A36" s="236" t="s">
        <v>155</v>
      </c>
    </row>
  </sheetData>
  <mergeCells count="7">
    <mergeCell ref="B3:B4"/>
    <mergeCell ref="A1:E1"/>
    <mergeCell ref="C27:D27"/>
    <mergeCell ref="C28:D28"/>
    <mergeCell ref="C24:D24"/>
    <mergeCell ref="C25:D25"/>
    <mergeCell ref="C26:D26"/>
  </mergeCells>
  <conditionalFormatting sqref="B22:D22">
    <cfRule type="cellIs" dxfId="6" priority="6" operator="greaterThan">
      <formula>1</formula>
    </cfRule>
  </conditionalFormatting>
  <conditionalFormatting sqref="B23:D23">
    <cfRule type="cellIs" dxfId="5" priority="5" operator="greaterThan">
      <formula>0</formula>
    </cfRule>
  </conditionalFormatting>
  <conditionalFormatting sqref="E27">
    <cfRule type="cellIs" dxfId="4" priority="4" operator="greaterThan">
      <formula>1</formula>
    </cfRule>
  </conditionalFormatting>
  <conditionalFormatting sqref="E28">
    <cfRule type="cellIs" dxfId="3" priority="3" operator="lessThan">
      <formula>0</formula>
    </cfRule>
  </conditionalFormatting>
  <conditionalFormatting sqref="C28">
    <cfRule type="cellIs" dxfId="2" priority="1" operator="lessThan">
      <formula>0</formula>
    </cfRule>
  </conditionalFormatting>
  <conditionalFormatting sqref="C27">
    <cfRule type="cellIs" dxfId="1" priority="2" operator="greater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'ON Data'!$B$3:$B$16</xm:f>
          </x14:formula1>
          <xm:sqref>A4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W28"/>
  <sheetViews>
    <sheetView showGridLines="0" showRowColHeaders="0" workbookViewId="0"/>
  </sheetViews>
  <sheetFormatPr defaultRowHeight="14.4" x14ac:dyDescent="0.3"/>
  <cols>
    <col min="1" max="16384" width="8.88671875" style="191"/>
  </cols>
  <sheetData>
    <row r="1" spans="1:49" x14ac:dyDescent="0.3">
      <c r="A1" s="191" t="s">
        <v>315</v>
      </c>
    </row>
    <row r="2" spans="1:49" x14ac:dyDescent="0.3">
      <c r="A2" s="195" t="s">
        <v>199</v>
      </c>
    </row>
    <row r="3" spans="1:49" x14ac:dyDescent="0.3">
      <c r="A3" s="191" t="s">
        <v>119</v>
      </c>
      <c r="B3" s="212">
        <v>2016</v>
      </c>
      <c r="D3" s="192">
        <f>MAX(D5:D1048576)</f>
        <v>6</v>
      </c>
      <c r="F3" s="192">
        <f>SUMIF($E5:$E1048576,"&lt;10",F5:F1048576)</f>
        <v>1131801</v>
      </c>
      <c r="G3" s="192">
        <f t="shared" ref="G3:AW3" si="0">SUMIF($E5:$E1048576,"&lt;10",G5:G1048576)</f>
        <v>0</v>
      </c>
      <c r="H3" s="192">
        <f t="shared" si="0"/>
        <v>0</v>
      </c>
      <c r="I3" s="192">
        <f t="shared" si="0"/>
        <v>0</v>
      </c>
      <c r="J3" s="192">
        <f t="shared" si="0"/>
        <v>0</v>
      </c>
      <c r="K3" s="192">
        <f t="shared" si="0"/>
        <v>0</v>
      </c>
      <c r="L3" s="192">
        <f t="shared" si="0"/>
        <v>0</v>
      </c>
      <c r="M3" s="192">
        <f t="shared" si="0"/>
        <v>0</v>
      </c>
      <c r="N3" s="192">
        <f t="shared" si="0"/>
        <v>0</v>
      </c>
      <c r="O3" s="192">
        <f t="shared" si="0"/>
        <v>0</v>
      </c>
      <c r="P3" s="192">
        <f t="shared" si="0"/>
        <v>0</v>
      </c>
      <c r="Q3" s="192">
        <f t="shared" si="0"/>
        <v>0</v>
      </c>
      <c r="R3" s="192">
        <f t="shared" si="0"/>
        <v>0</v>
      </c>
      <c r="S3" s="192">
        <f t="shared" si="0"/>
        <v>0</v>
      </c>
      <c r="T3" s="192">
        <f t="shared" si="0"/>
        <v>0</v>
      </c>
      <c r="U3" s="192">
        <f t="shared" si="0"/>
        <v>0</v>
      </c>
      <c r="V3" s="192">
        <f t="shared" si="0"/>
        <v>0</v>
      </c>
      <c r="W3" s="192">
        <f t="shared" si="0"/>
        <v>0</v>
      </c>
      <c r="X3" s="192">
        <f t="shared" si="0"/>
        <v>0</v>
      </c>
      <c r="Y3" s="192">
        <f t="shared" si="0"/>
        <v>0</v>
      </c>
      <c r="Z3" s="192">
        <f t="shared" si="0"/>
        <v>0</v>
      </c>
      <c r="AA3" s="192">
        <f t="shared" si="0"/>
        <v>0</v>
      </c>
      <c r="AB3" s="192">
        <f t="shared" si="0"/>
        <v>0</v>
      </c>
      <c r="AC3" s="192">
        <f t="shared" si="0"/>
        <v>0</v>
      </c>
      <c r="AD3" s="192">
        <f t="shared" si="0"/>
        <v>0</v>
      </c>
      <c r="AE3" s="192">
        <f t="shared" si="0"/>
        <v>0</v>
      </c>
      <c r="AF3" s="192">
        <f t="shared" si="0"/>
        <v>0</v>
      </c>
      <c r="AG3" s="192">
        <f t="shared" si="0"/>
        <v>1111162</v>
      </c>
      <c r="AH3" s="192">
        <f t="shared" si="0"/>
        <v>0</v>
      </c>
      <c r="AI3" s="192">
        <f t="shared" si="0"/>
        <v>0</v>
      </c>
      <c r="AJ3" s="192">
        <f t="shared" si="0"/>
        <v>0</v>
      </c>
      <c r="AK3" s="192">
        <f t="shared" si="0"/>
        <v>0</v>
      </c>
      <c r="AL3" s="192">
        <f t="shared" si="0"/>
        <v>0</v>
      </c>
      <c r="AM3" s="192">
        <f t="shared" si="0"/>
        <v>0</v>
      </c>
      <c r="AN3" s="192">
        <f t="shared" si="0"/>
        <v>0</v>
      </c>
      <c r="AO3" s="192">
        <f t="shared" si="0"/>
        <v>0</v>
      </c>
      <c r="AP3" s="192">
        <f t="shared" si="0"/>
        <v>0</v>
      </c>
      <c r="AQ3" s="192">
        <f t="shared" si="0"/>
        <v>0</v>
      </c>
      <c r="AR3" s="192">
        <f t="shared" si="0"/>
        <v>0</v>
      </c>
      <c r="AS3" s="192">
        <f t="shared" si="0"/>
        <v>0</v>
      </c>
      <c r="AT3" s="192">
        <f t="shared" si="0"/>
        <v>0</v>
      </c>
      <c r="AU3" s="192">
        <f t="shared" si="0"/>
        <v>0</v>
      </c>
      <c r="AV3" s="192">
        <f t="shared" si="0"/>
        <v>0</v>
      </c>
      <c r="AW3" s="192">
        <f t="shared" si="0"/>
        <v>20639</v>
      </c>
    </row>
    <row r="4" spans="1:49" x14ac:dyDescent="0.3">
      <c r="A4" s="191" t="s">
        <v>120</v>
      </c>
      <c r="B4" s="212">
        <v>1</v>
      </c>
      <c r="C4" s="193" t="s">
        <v>4</v>
      </c>
      <c r="D4" s="194" t="s">
        <v>44</v>
      </c>
      <c r="E4" s="194" t="s">
        <v>118</v>
      </c>
      <c r="F4" s="194" t="s">
        <v>3</v>
      </c>
      <c r="G4" s="194">
        <v>0</v>
      </c>
      <c r="H4" s="194">
        <v>25</v>
      </c>
      <c r="I4" s="194">
        <v>99</v>
      </c>
      <c r="J4" s="194">
        <v>100</v>
      </c>
      <c r="K4" s="194">
        <v>101</v>
      </c>
      <c r="L4" s="194">
        <v>102</v>
      </c>
      <c r="M4" s="194">
        <v>103</v>
      </c>
      <c r="N4" s="194">
        <v>203</v>
      </c>
      <c r="O4" s="194">
        <v>302</v>
      </c>
      <c r="P4" s="194">
        <v>303</v>
      </c>
      <c r="Q4" s="194">
        <v>304</v>
      </c>
      <c r="R4" s="194">
        <v>305</v>
      </c>
      <c r="S4" s="194">
        <v>306</v>
      </c>
      <c r="T4" s="194">
        <v>407</v>
      </c>
      <c r="U4" s="194">
        <v>408</v>
      </c>
      <c r="V4" s="194">
        <v>409</v>
      </c>
      <c r="W4" s="194">
        <v>410</v>
      </c>
      <c r="X4" s="194">
        <v>415</v>
      </c>
      <c r="Y4" s="194">
        <v>416</v>
      </c>
      <c r="Z4" s="194">
        <v>418</v>
      </c>
      <c r="AA4" s="194">
        <v>419</v>
      </c>
      <c r="AB4" s="194">
        <v>420</v>
      </c>
      <c r="AC4" s="194">
        <v>421</v>
      </c>
      <c r="AD4" s="194">
        <v>520</v>
      </c>
      <c r="AE4" s="194">
        <v>521</v>
      </c>
      <c r="AF4" s="194">
        <v>522</v>
      </c>
      <c r="AG4" s="194">
        <v>523</v>
      </c>
      <c r="AH4" s="194">
        <v>524</v>
      </c>
      <c r="AI4" s="194">
        <v>525</v>
      </c>
      <c r="AJ4" s="194">
        <v>526</v>
      </c>
      <c r="AK4" s="194">
        <v>527</v>
      </c>
      <c r="AL4" s="194">
        <v>528</v>
      </c>
      <c r="AM4" s="194">
        <v>629</v>
      </c>
      <c r="AN4" s="194">
        <v>630</v>
      </c>
      <c r="AO4" s="194">
        <v>636</v>
      </c>
      <c r="AP4" s="194">
        <v>637</v>
      </c>
      <c r="AQ4" s="194">
        <v>640</v>
      </c>
      <c r="AR4" s="194">
        <v>642</v>
      </c>
      <c r="AS4" s="194">
        <v>743</v>
      </c>
      <c r="AT4" s="194">
        <v>745</v>
      </c>
      <c r="AU4" s="194">
        <v>746</v>
      </c>
      <c r="AV4" s="194">
        <v>747</v>
      </c>
      <c r="AW4" s="194">
        <v>930</v>
      </c>
    </row>
    <row r="5" spans="1:49" x14ac:dyDescent="0.3">
      <c r="A5" s="191" t="s">
        <v>121</v>
      </c>
      <c r="B5" s="212">
        <v>2</v>
      </c>
      <c r="C5" s="191">
        <v>36</v>
      </c>
      <c r="D5" s="191">
        <v>1</v>
      </c>
      <c r="E5" s="191">
        <v>1</v>
      </c>
      <c r="F5" s="191">
        <v>5</v>
      </c>
      <c r="G5" s="191">
        <v>0</v>
      </c>
      <c r="H5" s="191">
        <v>0</v>
      </c>
      <c r="I5" s="191">
        <v>0</v>
      </c>
      <c r="J5" s="191">
        <v>0</v>
      </c>
      <c r="K5" s="191">
        <v>0</v>
      </c>
      <c r="L5" s="191">
        <v>0</v>
      </c>
      <c r="M5" s="191">
        <v>0</v>
      </c>
      <c r="N5" s="191">
        <v>0</v>
      </c>
      <c r="O5" s="191">
        <v>0</v>
      </c>
      <c r="P5" s="191">
        <v>0</v>
      </c>
      <c r="Q5" s="191">
        <v>0</v>
      </c>
      <c r="R5" s="191">
        <v>0</v>
      </c>
      <c r="S5" s="191">
        <v>0</v>
      </c>
      <c r="T5" s="191">
        <v>0</v>
      </c>
      <c r="U5" s="191">
        <v>0</v>
      </c>
      <c r="V5" s="191">
        <v>0</v>
      </c>
      <c r="W5" s="191">
        <v>0</v>
      </c>
      <c r="X5" s="191">
        <v>0</v>
      </c>
      <c r="Y5" s="191">
        <v>0</v>
      </c>
      <c r="Z5" s="191">
        <v>0</v>
      </c>
      <c r="AA5" s="191">
        <v>0</v>
      </c>
      <c r="AB5" s="191">
        <v>0</v>
      </c>
      <c r="AC5" s="191">
        <v>0</v>
      </c>
      <c r="AD5" s="191">
        <v>0</v>
      </c>
      <c r="AE5" s="191">
        <v>0</v>
      </c>
      <c r="AF5" s="191">
        <v>0</v>
      </c>
      <c r="AG5" s="191">
        <v>5</v>
      </c>
      <c r="AH5" s="191">
        <v>0</v>
      </c>
      <c r="AI5" s="191">
        <v>0</v>
      </c>
      <c r="AJ5" s="191">
        <v>0</v>
      </c>
      <c r="AK5" s="191">
        <v>0</v>
      </c>
      <c r="AL5" s="191">
        <v>0</v>
      </c>
      <c r="AM5" s="191">
        <v>0</v>
      </c>
      <c r="AN5" s="191">
        <v>0</v>
      </c>
      <c r="AO5" s="191">
        <v>0</v>
      </c>
      <c r="AP5" s="191">
        <v>0</v>
      </c>
      <c r="AQ5" s="191">
        <v>0</v>
      </c>
      <c r="AR5" s="191">
        <v>0</v>
      </c>
      <c r="AS5" s="191">
        <v>0</v>
      </c>
      <c r="AT5" s="191">
        <v>0</v>
      </c>
      <c r="AU5" s="191">
        <v>0</v>
      </c>
      <c r="AV5" s="191">
        <v>0</v>
      </c>
      <c r="AW5" s="191">
        <v>0</v>
      </c>
    </row>
    <row r="6" spans="1:49" x14ac:dyDescent="0.3">
      <c r="A6" s="191" t="s">
        <v>122</v>
      </c>
      <c r="B6" s="212">
        <v>3</v>
      </c>
      <c r="C6" s="191">
        <v>36</v>
      </c>
      <c r="D6" s="191">
        <v>1</v>
      </c>
      <c r="E6" s="191">
        <v>2</v>
      </c>
      <c r="F6" s="191">
        <v>728</v>
      </c>
      <c r="G6" s="191">
        <v>0</v>
      </c>
      <c r="H6" s="191">
        <v>0</v>
      </c>
      <c r="I6" s="191">
        <v>0</v>
      </c>
      <c r="J6" s="191">
        <v>0</v>
      </c>
      <c r="K6" s="191">
        <v>0</v>
      </c>
      <c r="L6" s="191">
        <v>0</v>
      </c>
      <c r="M6" s="191">
        <v>0</v>
      </c>
      <c r="N6" s="191">
        <v>0</v>
      </c>
      <c r="O6" s="191">
        <v>0</v>
      </c>
      <c r="P6" s="191">
        <v>0</v>
      </c>
      <c r="Q6" s="191">
        <v>0</v>
      </c>
      <c r="R6" s="191">
        <v>0</v>
      </c>
      <c r="S6" s="191">
        <v>0</v>
      </c>
      <c r="T6" s="191">
        <v>0</v>
      </c>
      <c r="U6" s="191">
        <v>0</v>
      </c>
      <c r="V6" s="191">
        <v>0</v>
      </c>
      <c r="W6" s="191">
        <v>0</v>
      </c>
      <c r="X6" s="191">
        <v>0</v>
      </c>
      <c r="Y6" s="191">
        <v>0</v>
      </c>
      <c r="Z6" s="191">
        <v>0</v>
      </c>
      <c r="AA6" s="191">
        <v>0</v>
      </c>
      <c r="AB6" s="191">
        <v>0</v>
      </c>
      <c r="AC6" s="191">
        <v>0</v>
      </c>
      <c r="AD6" s="191">
        <v>0</v>
      </c>
      <c r="AE6" s="191">
        <v>0</v>
      </c>
      <c r="AF6" s="191">
        <v>0</v>
      </c>
      <c r="AG6" s="191">
        <v>728</v>
      </c>
      <c r="AH6" s="191">
        <v>0</v>
      </c>
      <c r="AI6" s="191">
        <v>0</v>
      </c>
      <c r="AJ6" s="191">
        <v>0</v>
      </c>
      <c r="AK6" s="191">
        <v>0</v>
      </c>
      <c r="AL6" s="191">
        <v>0</v>
      </c>
      <c r="AM6" s="191">
        <v>0</v>
      </c>
      <c r="AN6" s="191">
        <v>0</v>
      </c>
      <c r="AO6" s="191">
        <v>0</v>
      </c>
      <c r="AP6" s="191">
        <v>0</v>
      </c>
      <c r="AQ6" s="191">
        <v>0</v>
      </c>
      <c r="AR6" s="191">
        <v>0</v>
      </c>
      <c r="AS6" s="191">
        <v>0</v>
      </c>
      <c r="AT6" s="191">
        <v>0</v>
      </c>
      <c r="AU6" s="191">
        <v>0</v>
      </c>
      <c r="AV6" s="191">
        <v>0</v>
      </c>
      <c r="AW6" s="191">
        <v>0</v>
      </c>
    </row>
    <row r="7" spans="1:49" x14ac:dyDescent="0.3">
      <c r="A7" s="191" t="s">
        <v>123</v>
      </c>
      <c r="B7" s="212">
        <v>4</v>
      </c>
      <c r="C7" s="191">
        <v>36</v>
      </c>
      <c r="D7" s="191">
        <v>1</v>
      </c>
      <c r="E7" s="191">
        <v>6</v>
      </c>
      <c r="F7" s="191">
        <v>178735</v>
      </c>
      <c r="G7" s="191">
        <v>0</v>
      </c>
      <c r="H7" s="191">
        <v>0</v>
      </c>
      <c r="I7" s="191">
        <v>0</v>
      </c>
      <c r="J7" s="191">
        <v>0</v>
      </c>
      <c r="K7" s="191">
        <v>0</v>
      </c>
      <c r="L7" s="191">
        <v>0</v>
      </c>
      <c r="M7" s="191">
        <v>0</v>
      </c>
      <c r="N7" s="191">
        <v>0</v>
      </c>
      <c r="O7" s="191">
        <v>0</v>
      </c>
      <c r="P7" s="191">
        <v>0</v>
      </c>
      <c r="Q7" s="191">
        <v>0</v>
      </c>
      <c r="R7" s="191">
        <v>0</v>
      </c>
      <c r="S7" s="191">
        <v>0</v>
      </c>
      <c r="T7" s="191">
        <v>0</v>
      </c>
      <c r="U7" s="191">
        <v>0</v>
      </c>
      <c r="V7" s="191">
        <v>0</v>
      </c>
      <c r="W7" s="191">
        <v>0</v>
      </c>
      <c r="X7" s="191">
        <v>0</v>
      </c>
      <c r="Y7" s="191">
        <v>0</v>
      </c>
      <c r="Z7" s="191">
        <v>0</v>
      </c>
      <c r="AA7" s="191">
        <v>0</v>
      </c>
      <c r="AB7" s="191">
        <v>0</v>
      </c>
      <c r="AC7" s="191">
        <v>0</v>
      </c>
      <c r="AD7" s="191">
        <v>0</v>
      </c>
      <c r="AE7" s="191">
        <v>0</v>
      </c>
      <c r="AF7" s="191">
        <v>0</v>
      </c>
      <c r="AG7" s="191">
        <v>175215</v>
      </c>
      <c r="AH7" s="191">
        <v>0</v>
      </c>
      <c r="AI7" s="191">
        <v>0</v>
      </c>
      <c r="AJ7" s="191">
        <v>0</v>
      </c>
      <c r="AK7" s="191">
        <v>0</v>
      </c>
      <c r="AL7" s="191">
        <v>0</v>
      </c>
      <c r="AM7" s="191">
        <v>0</v>
      </c>
      <c r="AN7" s="191">
        <v>0</v>
      </c>
      <c r="AO7" s="191">
        <v>0</v>
      </c>
      <c r="AP7" s="191">
        <v>0</v>
      </c>
      <c r="AQ7" s="191">
        <v>0</v>
      </c>
      <c r="AR7" s="191">
        <v>0</v>
      </c>
      <c r="AS7" s="191">
        <v>0</v>
      </c>
      <c r="AT7" s="191">
        <v>0</v>
      </c>
      <c r="AU7" s="191">
        <v>0</v>
      </c>
      <c r="AV7" s="191">
        <v>0</v>
      </c>
      <c r="AW7" s="191">
        <v>3520</v>
      </c>
    </row>
    <row r="8" spans="1:49" x14ac:dyDescent="0.3">
      <c r="A8" s="191" t="s">
        <v>124</v>
      </c>
      <c r="B8" s="212">
        <v>5</v>
      </c>
      <c r="C8" s="191">
        <v>36</v>
      </c>
      <c r="D8" s="191">
        <v>1</v>
      </c>
      <c r="E8" s="191">
        <v>11</v>
      </c>
      <c r="F8" s="191">
        <v>183.33333333333334</v>
      </c>
      <c r="G8" s="191">
        <v>0</v>
      </c>
      <c r="H8" s="191">
        <v>0</v>
      </c>
      <c r="I8" s="191">
        <v>0</v>
      </c>
      <c r="J8" s="191">
        <v>0</v>
      </c>
      <c r="K8" s="191">
        <v>0</v>
      </c>
      <c r="L8" s="191">
        <v>0</v>
      </c>
      <c r="M8" s="191">
        <v>0</v>
      </c>
      <c r="N8" s="191">
        <v>0</v>
      </c>
      <c r="O8" s="191">
        <v>183.33333333333334</v>
      </c>
      <c r="P8" s="191">
        <v>0</v>
      </c>
      <c r="Q8" s="191">
        <v>0</v>
      </c>
      <c r="R8" s="191">
        <v>0</v>
      </c>
      <c r="S8" s="191">
        <v>0</v>
      </c>
      <c r="T8" s="191">
        <v>0</v>
      </c>
      <c r="U8" s="191">
        <v>0</v>
      </c>
      <c r="V8" s="191">
        <v>0</v>
      </c>
      <c r="W8" s="191">
        <v>0</v>
      </c>
      <c r="X8" s="191">
        <v>0</v>
      </c>
      <c r="Y8" s="191">
        <v>0</v>
      </c>
      <c r="Z8" s="191">
        <v>0</v>
      </c>
      <c r="AA8" s="191">
        <v>0</v>
      </c>
      <c r="AB8" s="191">
        <v>0</v>
      </c>
      <c r="AC8" s="191">
        <v>0</v>
      </c>
      <c r="AD8" s="191">
        <v>0</v>
      </c>
      <c r="AE8" s="191">
        <v>0</v>
      </c>
      <c r="AF8" s="191">
        <v>0</v>
      </c>
      <c r="AG8" s="191">
        <v>0</v>
      </c>
      <c r="AH8" s="191">
        <v>0</v>
      </c>
      <c r="AI8" s="191">
        <v>0</v>
      </c>
      <c r="AJ8" s="191">
        <v>0</v>
      </c>
      <c r="AK8" s="191">
        <v>0</v>
      </c>
      <c r="AL8" s="191">
        <v>0</v>
      </c>
      <c r="AM8" s="191">
        <v>0</v>
      </c>
      <c r="AN8" s="191">
        <v>0</v>
      </c>
      <c r="AO8" s="191">
        <v>0</v>
      </c>
      <c r="AP8" s="191">
        <v>0</v>
      </c>
      <c r="AQ8" s="191">
        <v>0</v>
      </c>
      <c r="AR8" s="191">
        <v>0</v>
      </c>
      <c r="AS8" s="191">
        <v>0</v>
      </c>
      <c r="AT8" s="191">
        <v>0</v>
      </c>
      <c r="AU8" s="191">
        <v>0</v>
      </c>
      <c r="AV8" s="191">
        <v>0</v>
      </c>
      <c r="AW8" s="191">
        <v>0</v>
      </c>
    </row>
    <row r="9" spans="1:49" x14ac:dyDescent="0.3">
      <c r="A9" s="191" t="s">
        <v>125</v>
      </c>
      <c r="B9" s="212">
        <v>6</v>
      </c>
      <c r="C9" s="191">
        <v>36</v>
      </c>
      <c r="D9" s="191">
        <v>2</v>
      </c>
      <c r="E9" s="191">
        <v>1</v>
      </c>
      <c r="F9" s="191">
        <v>5</v>
      </c>
      <c r="G9" s="191">
        <v>0</v>
      </c>
      <c r="H9" s="191">
        <v>0</v>
      </c>
      <c r="I9" s="191">
        <v>0</v>
      </c>
      <c r="J9" s="191">
        <v>0</v>
      </c>
      <c r="K9" s="191">
        <v>0</v>
      </c>
      <c r="L9" s="191">
        <v>0</v>
      </c>
      <c r="M9" s="191">
        <v>0</v>
      </c>
      <c r="N9" s="191">
        <v>0</v>
      </c>
      <c r="O9" s="191">
        <v>0</v>
      </c>
      <c r="P9" s="191">
        <v>0</v>
      </c>
      <c r="Q9" s="191">
        <v>0</v>
      </c>
      <c r="R9" s="191">
        <v>0</v>
      </c>
      <c r="S9" s="191">
        <v>0</v>
      </c>
      <c r="T9" s="191">
        <v>0</v>
      </c>
      <c r="U9" s="191">
        <v>0</v>
      </c>
      <c r="V9" s="191">
        <v>0</v>
      </c>
      <c r="W9" s="191">
        <v>0</v>
      </c>
      <c r="X9" s="191">
        <v>0</v>
      </c>
      <c r="Y9" s="191">
        <v>0</v>
      </c>
      <c r="Z9" s="191">
        <v>0</v>
      </c>
      <c r="AA9" s="191">
        <v>0</v>
      </c>
      <c r="AB9" s="191">
        <v>0</v>
      </c>
      <c r="AC9" s="191">
        <v>0</v>
      </c>
      <c r="AD9" s="191">
        <v>0</v>
      </c>
      <c r="AE9" s="191">
        <v>0</v>
      </c>
      <c r="AF9" s="191">
        <v>0</v>
      </c>
      <c r="AG9" s="191">
        <v>5</v>
      </c>
      <c r="AH9" s="191">
        <v>0</v>
      </c>
      <c r="AI9" s="191">
        <v>0</v>
      </c>
      <c r="AJ9" s="191">
        <v>0</v>
      </c>
      <c r="AK9" s="191">
        <v>0</v>
      </c>
      <c r="AL9" s="191">
        <v>0</v>
      </c>
      <c r="AM9" s="191">
        <v>0</v>
      </c>
      <c r="AN9" s="191">
        <v>0</v>
      </c>
      <c r="AO9" s="191">
        <v>0</v>
      </c>
      <c r="AP9" s="191">
        <v>0</v>
      </c>
      <c r="AQ9" s="191">
        <v>0</v>
      </c>
      <c r="AR9" s="191">
        <v>0</v>
      </c>
      <c r="AS9" s="191">
        <v>0</v>
      </c>
      <c r="AT9" s="191">
        <v>0</v>
      </c>
      <c r="AU9" s="191">
        <v>0</v>
      </c>
      <c r="AV9" s="191">
        <v>0</v>
      </c>
      <c r="AW9" s="191">
        <v>0</v>
      </c>
    </row>
    <row r="10" spans="1:49" x14ac:dyDescent="0.3">
      <c r="A10" s="191" t="s">
        <v>126</v>
      </c>
      <c r="B10" s="212">
        <v>7</v>
      </c>
      <c r="C10" s="191">
        <v>36</v>
      </c>
      <c r="D10" s="191">
        <v>2</v>
      </c>
      <c r="E10" s="191">
        <v>2</v>
      </c>
      <c r="F10" s="191">
        <v>752</v>
      </c>
      <c r="G10" s="191">
        <v>0</v>
      </c>
      <c r="H10" s="191">
        <v>0</v>
      </c>
      <c r="I10" s="191">
        <v>0</v>
      </c>
      <c r="J10" s="191">
        <v>0</v>
      </c>
      <c r="K10" s="191">
        <v>0</v>
      </c>
      <c r="L10" s="191">
        <v>0</v>
      </c>
      <c r="M10" s="191">
        <v>0</v>
      </c>
      <c r="N10" s="191">
        <v>0</v>
      </c>
      <c r="O10" s="191">
        <v>0</v>
      </c>
      <c r="P10" s="191">
        <v>0</v>
      </c>
      <c r="Q10" s="191">
        <v>0</v>
      </c>
      <c r="R10" s="191">
        <v>0</v>
      </c>
      <c r="S10" s="191">
        <v>0</v>
      </c>
      <c r="T10" s="191">
        <v>0</v>
      </c>
      <c r="U10" s="191">
        <v>0</v>
      </c>
      <c r="V10" s="191">
        <v>0</v>
      </c>
      <c r="W10" s="191">
        <v>0</v>
      </c>
      <c r="X10" s="191">
        <v>0</v>
      </c>
      <c r="Y10" s="191">
        <v>0</v>
      </c>
      <c r="Z10" s="191">
        <v>0</v>
      </c>
      <c r="AA10" s="191">
        <v>0</v>
      </c>
      <c r="AB10" s="191">
        <v>0</v>
      </c>
      <c r="AC10" s="191">
        <v>0</v>
      </c>
      <c r="AD10" s="191">
        <v>0</v>
      </c>
      <c r="AE10" s="191">
        <v>0</v>
      </c>
      <c r="AF10" s="191">
        <v>0</v>
      </c>
      <c r="AG10" s="191">
        <v>752</v>
      </c>
      <c r="AH10" s="191">
        <v>0</v>
      </c>
      <c r="AI10" s="191">
        <v>0</v>
      </c>
      <c r="AJ10" s="191">
        <v>0</v>
      </c>
      <c r="AK10" s="191">
        <v>0</v>
      </c>
      <c r="AL10" s="191">
        <v>0</v>
      </c>
      <c r="AM10" s="191">
        <v>0</v>
      </c>
      <c r="AN10" s="191">
        <v>0</v>
      </c>
      <c r="AO10" s="191">
        <v>0</v>
      </c>
      <c r="AP10" s="191">
        <v>0</v>
      </c>
      <c r="AQ10" s="191">
        <v>0</v>
      </c>
      <c r="AR10" s="191">
        <v>0</v>
      </c>
      <c r="AS10" s="191">
        <v>0</v>
      </c>
      <c r="AT10" s="191">
        <v>0</v>
      </c>
      <c r="AU10" s="191">
        <v>0</v>
      </c>
      <c r="AV10" s="191">
        <v>0</v>
      </c>
      <c r="AW10" s="191">
        <v>0</v>
      </c>
    </row>
    <row r="11" spans="1:49" x14ac:dyDescent="0.3">
      <c r="A11" s="191" t="s">
        <v>127</v>
      </c>
      <c r="B11" s="212">
        <v>8</v>
      </c>
      <c r="C11" s="191">
        <v>36</v>
      </c>
      <c r="D11" s="191">
        <v>2</v>
      </c>
      <c r="E11" s="191">
        <v>6</v>
      </c>
      <c r="F11" s="191">
        <v>198847</v>
      </c>
      <c r="G11" s="191">
        <v>0</v>
      </c>
      <c r="H11" s="191">
        <v>0</v>
      </c>
      <c r="I11" s="191">
        <v>0</v>
      </c>
      <c r="J11" s="191">
        <v>0</v>
      </c>
      <c r="K11" s="191">
        <v>0</v>
      </c>
      <c r="L11" s="191">
        <v>0</v>
      </c>
      <c r="M11" s="191">
        <v>0</v>
      </c>
      <c r="N11" s="191">
        <v>0</v>
      </c>
      <c r="O11" s="191">
        <v>0</v>
      </c>
      <c r="P11" s="191">
        <v>0</v>
      </c>
      <c r="Q11" s="191">
        <v>0</v>
      </c>
      <c r="R11" s="191">
        <v>0</v>
      </c>
      <c r="S11" s="191">
        <v>0</v>
      </c>
      <c r="T11" s="191">
        <v>0</v>
      </c>
      <c r="U11" s="191">
        <v>0</v>
      </c>
      <c r="V11" s="191">
        <v>0</v>
      </c>
      <c r="W11" s="191">
        <v>0</v>
      </c>
      <c r="X11" s="191">
        <v>0</v>
      </c>
      <c r="Y11" s="191">
        <v>0</v>
      </c>
      <c r="Z11" s="191">
        <v>0</v>
      </c>
      <c r="AA11" s="191">
        <v>0</v>
      </c>
      <c r="AB11" s="191">
        <v>0</v>
      </c>
      <c r="AC11" s="191">
        <v>0</v>
      </c>
      <c r="AD11" s="191">
        <v>0</v>
      </c>
      <c r="AE11" s="191">
        <v>0</v>
      </c>
      <c r="AF11" s="191">
        <v>0</v>
      </c>
      <c r="AG11" s="191">
        <v>195327</v>
      </c>
      <c r="AH11" s="191">
        <v>0</v>
      </c>
      <c r="AI11" s="191">
        <v>0</v>
      </c>
      <c r="AJ11" s="191">
        <v>0</v>
      </c>
      <c r="AK11" s="191">
        <v>0</v>
      </c>
      <c r="AL11" s="191">
        <v>0</v>
      </c>
      <c r="AM11" s="191">
        <v>0</v>
      </c>
      <c r="AN11" s="191">
        <v>0</v>
      </c>
      <c r="AO11" s="191">
        <v>0</v>
      </c>
      <c r="AP11" s="191">
        <v>0</v>
      </c>
      <c r="AQ11" s="191">
        <v>0</v>
      </c>
      <c r="AR11" s="191">
        <v>0</v>
      </c>
      <c r="AS11" s="191">
        <v>0</v>
      </c>
      <c r="AT11" s="191">
        <v>0</v>
      </c>
      <c r="AU11" s="191">
        <v>0</v>
      </c>
      <c r="AV11" s="191">
        <v>0</v>
      </c>
      <c r="AW11" s="191">
        <v>3520</v>
      </c>
    </row>
    <row r="12" spans="1:49" x14ac:dyDescent="0.3">
      <c r="A12" s="191" t="s">
        <v>128</v>
      </c>
      <c r="B12" s="212">
        <v>9</v>
      </c>
      <c r="C12" s="191">
        <v>36</v>
      </c>
      <c r="D12" s="191">
        <v>2</v>
      </c>
      <c r="E12" s="191">
        <v>11</v>
      </c>
      <c r="F12" s="191">
        <v>183.33333333333334</v>
      </c>
      <c r="G12" s="191">
        <v>0</v>
      </c>
      <c r="H12" s="191">
        <v>0</v>
      </c>
      <c r="I12" s="191">
        <v>0</v>
      </c>
      <c r="J12" s="191">
        <v>0</v>
      </c>
      <c r="K12" s="191">
        <v>0</v>
      </c>
      <c r="L12" s="191">
        <v>0</v>
      </c>
      <c r="M12" s="191">
        <v>0</v>
      </c>
      <c r="N12" s="191">
        <v>0</v>
      </c>
      <c r="O12" s="191">
        <v>183.33333333333334</v>
      </c>
      <c r="P12" s="191">
        <v>0</v>
      </c>
      <c r="Q12" s="191">
        <v>0</v>
      </c>
      <c r="R12" s="191">
        <v>0</v>
      </c>
      <c r="S12" s="191">
        <v>0</v>
      </c>
      <c r="T12" s="191">
        <v>0</v>
      </c>
      <c r="U12" s="191">
        <v>0</v>
      </c>
      <c r="V12" s="191">
        <v>0</v>
      </c>
      <c r="W12" s="191">
        <v>0</v>
      </c>
      <c r="X12" s="191">
        <v>0</v>
      </c>
      <c r="Y12" s="191">
        <v>0</v>
      </c>
      <c r="Z12" s="191">
        <v>0</v>
      </c>
      <c r="AA12" s="191">
        <v>0</v>
      </c>
      <c r="AB12" s="191">
        <v>0</v>
      </c>
      <c r="AC12" s="191">
        <v>0</v>
      </c>
      <c r="AD12" s="191">
        <v>0</v>
      </c>
      <c r="AE12" s="191">
        <v>0</v>
      </c>
      <c r="AF12" s="191">
        <v>0</v>
      </c>
      <c r="AG12" s="191">
        <v>0</v>
      </c>
      <c r="AH12" s="191">
        <v>0</v>
      </c>
      <c r="AI12" s="191">
        <v>0</v>
      </c>
      <c r="AJ12" s="191">
        <v>0</v>
      </c>
      <c r="AK12" s="191">
        <v>0</v>
      </c>
      <c r="AL12" s="191">
        <v>0</v>
      </c>
      <c r="AM12" s="191">
        <v>0</v>
      </c>
      <c r="AN12" s="191">
        <v>0</v>
      </c>
      <c r="AO12" s="191">
        <v>0</v>
      </c>
      <c r="AP12" s="191">
        <v>0</v>
      </c>
      <c r="AQ12" s="191">
        <v>0</v>
      </c>
      <c r="AR12" s="191">
        <v>0</v>
      </c>
      <c r="AS12" s="191">
        <v>0</v>
      </c>
      <c r="AT12" s="191">
        <v>0</v>
      </c>
      <c r="AU12" s="191">
        <v>0</v>
      </c>
      <c r="AV12" s="191">
        <v>0</v>
      </c>
      <c r="AW12" s="191">
        <v>0</v>
      </c>
    </row>
    <row r="13" spans="1:49" x14ac:dyDescent="0.3">
      <c r="A13" s="191" t="s">
        <v>129</v>
      </c>
      <c r="B13" s="212">
        <v>10</v>
      </c>
      <c r="C13" s="191">
        <v>36</v>
      </c>
      <c r="D13" s="191">
        <v>3</v>
      </c>
      <c r="E13" s="191">
        <v>1</v>
      </c>
      <c r="F13" s="191">
        <v>5</v>
      </c>
      <c r="G13" s="191">
        <v>0</v>
      </c>
      <c r="H13" s="191">
        <v>0</v>
      </c>
      <c r="I13" s="191">
        <v>0</v>
      </c>
      <c r="J13" s="191">
        <v>0</v>
      </c>
      <c r="K13" s="191">
        <v>0</v>
      </c>
      <c r="L13" s="191">
        <v>0</v>
      </c>
      <c r="M13" s="191">
        <v>0</v>
      </c>
      <c r="N13" s="191">
        <v>0</v>
      </c>
      <c r="O13" s="191">
        <v>0</v>
      </c>
      <c r="P13" s="191">
        <v>0</v>
      </c>
      <c r="Q13" s="191">
        <v>0</v>
      </c>
      <c r="R13" s="191">
        <v>0</v>
      </c>
      <c r="S13" s="191">
        <v>0</v>
      </c>
      <c r="T13" s="191">
        <v>0</v>
      </c>
      <c r="U13" s="191">
        <v>0</v>
      </c>
      <c r="V13" s="191">
        <v>0</v>
      </c>
      <c r="W13" s="191">
        <v>0</v>
      </c>
      <c r="X13" s="191">
        <v>0</v>
      </c>
      <c r="Y13" s="191">
        <v>0</v>
      </c>
      <c r="Z13" s="191">
        <v>0</v>
      </c>
      <c r="AA13" s="191">
        <v>0</v>
      </c>
      <c r="AB13" s="191">
        <v>0</v>
      </c>
      <c r="AC13" s="191">
        <v>0</v>
      </c>
      <c r="AD13" s="191">
        <v>0</v>
      </c>
      <c r="AE13" s="191">
        <v>0</v>
      </c>
      <c r="AF13" s="191">
        <v>0</v>
      </c>
      <c r="AG13" s="191">
        <v>5</v>
      </c>
      <c r="AH13" s="191">
        <v>0</v>
      </c>
      <c r="AI13" s="191">
        <v>0</v>
      </c>
      <c r="AJ13" s="191">
        <v>0</v>
      </c>
      <c r="AK13" s="191">
        <v>0</v>
      </c>
      <c r="AL13" s="191">
        <v>0</v>
      </c>
      <c r="AM13" s="191">
        <v>0</v>
      </c>
      <c r="AN13" s="191">
        <v>0</v>
      </c>
      <c r="AO13" s="191">
        <v>0</v>
      </c>
      <c r="AP13" s="191">
        <v>0</v>
      </c>
      <c r="AQ13" s="191">
        <v>0</v>
      </c>
      <c r="AR13" s="191">
        <v>0</v>
      </c>
      <c r="AS13" s="191">
        <v>0</v>
      </c>
      <c r="AT13" s="191">
        <v>0</v>
      </c>
      <c r="AU13" s="191">
        <v>0</v>
      </c>
      <c r="AV13" s="191">
        <v>0</v>
      </c>
      <c r="AW13" s="191">
        <v>0</v>
      </c>
    </row>
    <row r="14" spans="1:49" x14ac:dyDescent="0.3">
      <c r="A14" s="191" t="s">
        <v>130</v>
      </c>
      <c r="B14" s="212">
        <v>11</v>
      </c>
      <c r="C14" s="191">
        <v>36</v>
      </c>
      <c r="D14" s="191">
        <v>3</v>
      </c>
      <c r="E14" s="191">
        <v>2</v>
      </c>
      <c r="F14" s="191">
        <v>920</v>
      </c>
      <c r="G14" s="191">
        <v>0</v>
      </c>
      <c r="H14" s="191">
        <v>0</v>
      </c>
      <c r="I14" s="191">
        <v>0</v>
      </c>
      <c r="J14" s="191">
        <v>0</v>
      </c>
      <c r="K14" s="191">
        <v>0</v>
      </c>
      <c r="L14" s="191">
        <v>0</v>
      </c>
      <c r="M14" s="191">
        <v>0</v>
      </c>
      <c r="N14" s="191">
        <v>0</v>
      </c>
      <c r="O14" s="191">
        <v>0</v>
      </c>
      <c r="P14" s="191">
        <v>0</v>
      </c>
      <c r="Q14" s="191">
        <v>0</v>
      </c>
      <c r="R14" s="191">
        <v>0</v>
      </c>
      <c r="S14" s="191">
        <v>0</v>
      </c>
      <c r="T14" s="191">
        <v>0</v>
      </c>
      <c r="U14" s="191">
        <v>0</v>
      </c>
      <c r="V14" s="191">
        <v>0</v>
      </c>
      <c r="W14" s="191">
        <v>0</v>
      </c>
      <c r="X14" s="191">
        <v>0</v>
      </c>
      <c r="Y14" s="191">
        <v>0</v>
      </c>
      <c r="Z14" s="191">
        <v>0</v>
      </c>
      <c r="AA14" s="191">
        <v>0</v>
      </c>
      <c r="AB14" s="191">
        <v>0</v>
      </c>
      <c r="AC14" s="191">
        <v>0</v>
      </c>
      <c r="AD14" s="191">
        <v>0</v>
      </c>
      <c r="AE14" s="191">
        <v>0</v>
      </c>
      <c r="AF14" s="191">
        <v>0</v>
      </c>
      <c r="AG14" s="191">
        <v>920</v>
      </c>
      <c r="AH14" s="191">
        <v>0</v>
      </c>
      <c r="AI14" s="191">
        <v>0</v>
      </c>
      <c r="AJ14" s="191">
        <v>0</v>
      </c>
      <c r="AK14" s="191">
        <v>0</v>
      </c>
      <c r="AL14" s="191">
        <v>0</v>
      </c>
      <c r="AM14" s="191">
        <v>0</v>
      </c>
      <c r="AN14" s="191">
        <v>0</v>
      </c>
      <c r="AO14" s="191">
        <v>0</v>
      </c>
      <c r="AP14" s="191">
        <v>0</v>
      </c>
      <c r="AQ14" s="191">
        <v>0</v>
      </c>
      <c r="AR14" s="191">
        <v>0</v>
      </c>
      <c r="AS14" s="191">
        <v>0</v>
      </c>
      <c r="AT14" s="191">
        <v>0</v>
      </c>
      <c r="AU14" s="191">
        <v>0</v>
      </c>
      <c r="AV14" s="191">
        <v>0</v>
      </c>
      <c r="AW14" s="191">
        <v>0</v>
      </c>
    </row>
    <row r="15" spans="1:49" x14ac:dyDescent="0.3">
      <c r="A15" s="191" t="s">
        <v>131</v>
      </c>
      <c r="B15" s="212">
        <v>12</v>
      </c>
      <c r="C15" s="191">
        <v>36</v>
      </c>
      <c r="D15" s="191">
        <v>3</v>
      </c>
      <c r="E15" s="191">
        <v>6</v>
      </c>
      <c r="F15" s="191">
        <v>197145</v>
      </c>
      <c r="G15" s="191">
        <v>0</v>
      </c>
      <c r="H15" s="191">
        <v>0</v>
      </c>
      <c r="I15" s="191">
        <v>0</v>
      </c>
      <c r="J15" s="191">
        <v>0</v>
      </c>
      <c r="K15" s="191">
        <v>0</v>
      </c>
      <c r="L15" s="191">
        <v>0</v>
      </c>
      <c r="M15" s="191">
        <v>0</v>
      </c>
      <c r="N15" s="191">
        <v>0</v>
      </c>
      <c r="O15" s="191">
        <v>0</v>
      </c>
      <c r="P15" s="191">
        <v>0</v>
      </c>
      <c r="Q15" s="191">
        <v>0</v>
      </c>
      <c r="R15" s="191">
        <v>0</v>
      </c>
      <c r="S15" s="191">
        <v>0</v>
      </c>
      <c r="T15" s="191">
        <v>0</v>
      </c>
      <c r="U15" s="191">
        <v>0</v>
      </c>
      <c r="V15" s="191">
        <v>0</v>
      </c>
      <c r="W15" s="191">
        <v>0</v>
      </c>
      <c r="X15" s="191">
        <v>0</v>
      </c>
      <c r="Y15" s="191">
        <v>0</v>
      </c>
      <c r="Z15" s="191">
        <v>0</v>
      </c>
      <c r="AA15" s="191">
        <v>0</v>
      </c>
      <c r="AB15" s="191">
        <v>0</v>
      </c>
      <c r="AC15" s="191">
        <v>0</v>
      </c>
      <c r="AD15" s="191">
        <v>0</v>
      </c>
      <c r="AE15" s="191">
        <v>0</v>
      </c>
      <c r="AF15" s="191">
        <v>0</v>
      </c>
      <c r="AG15" s="191">
        <v>193610</v>
      </c>
      <c r="AH15" s="191">
        <v>0</v>
      </c>
      <c r="AI15" s="191">
        <v>0</v>
      </c>
      <c r="AJ15" s="191">
        <v>0</v>
      </c>
      <c r="AK15" s="191">
        <v>0</v>
      </c>
      <c r="AL15" s="191">
        <v>0</v>
      </c>
      <c r="AM15" s="191">
        <v>0</v>
      </c>
      <c r="AN15" s="191">
        <v>0</v>
      </c>
      <c r="AO15" s="191">
        <v>0</v>
      </c>
      <c r="AP15" s="191">
        <v>0</v>
      </c>
      <c r="AQ15" s="191">
        <v>0</v>
      </c>
      <c r="AR15" s="191">
        <v>0</v>
      </c>
      <c r="AS15" s="191">
        <v>0</v>
      </c>
      <c r="AT15" s="191">
        <v>0</v>
      </c>
      <c r="AU15" s="191">
        <v>0</v>
      </c>
      <c r="AV15" s="191">
        <v>0</v>
      </c>
      <c r="AW15" s="191">
        <v>3535</v>
      </c>
    </row>
    <row r="16" spans="1:49" x14ac:dyDescent="0.3">
      <c r="A16" s="191" t="s">
        <v>119</v>
      </c>
      <c r="B16" s="212">
        <v>2016</v>
      </c>
      <c r="C16" s="191">
        <v>36</v>
      </c>
      <c r="D16" s="191">
        <v>3</v>
      </c>
      <c r="E16" s="191">
        <v>11</v>
      </c>
      <c r="F16" s="191">
        <v>183.33333333333334</v>
      </c>
      <c r="G16" s="191">
        <v>0</v>
      </c>
      <c r="H16" s="191">
        <v>0</v>
      </c>
      <c r="I16" s="191">
        <v>0</v>
      </c>
      <c r="J16" s="191">
        <v>0</v>
      </c>
      <c r="K16" s="191">
        <v>0</v>
      </c>
      <c r="L16" s="191">
        <v>0</v>
      </c>
      <c r="M16" s="191">
        <v>0</v>
      </c>
      <c r="N16" s="191">
        <v>0</v>
      </c>
      <c r="O16" s="191">
        <v>183.33333333333334</v>
      </c>
      <c r="P16" s="191">
        <v>0</v>
      </c>
      <c r="Q16" s="191">
        <v>0</v>
      </c>
      <c r="R16" s="191">
        <v>0</v>
      </c>
      <c r="S16" s="191">
        <v>0</v>
      </c>
      <c r="T16" s="191">
        <v>0</v>
      </c>
      <c r="U16" s="191">
        <v>0</v>
      </c>
      <c r="V16" s="191">
        <v>0</v>
      </c>
      <c r="W16" s="191">
        <v>0</v>
      </c>
      <c r="X16" s="191">
        <v>0</v>
      </c>
      <c r="Y16" s="191">
        <v>0</v>
      </c>
      <c r="Z16" s="191">
        <v>0</v>
      </c>
      <c r="AA16" s="191">
        <v>0</v>
      </c>
      <c r="AB16" s="191">
        <v>0</v>
      </c>
      <c r="AC16" s="191">
        <v>0</v>
      </c>
      <c r="AD16" s="191">
        <v>0</v>
      </c>
      <c r="AE16" s="191">
        <v>0</v>
      </c>
      <c r="AF16" s="191">
        <v>0</v>
      </c>
      <c r="AG16" s="191">
        <v>0</v>
      </c>
      <c r="AH16" s="191">
        <v>0</v>
      </c>
      <c r="AI16" s="191">
        <v>0</v>
      </c>
      <c r="AJ16" s="191">
        <v>0</v>
      </c>
      <c r="AK16" s="191">
        <v>0</v>
      </c>
      <c r="AL16" s="191">
        <v>0</v>
      </c>
      <c r="AM16" s="191">
        <v>0</v>
      </c>
      <c r="AN16" s="191">
        <v>0</v>
      </c>
      <c r="AO16" s="191">
        <v>0</v>
      </c>
      <c r="AP16" s="191">
        <v>0</v>
      </c>
      <c r="AQ16" s="191">
        <v>0</v>
      </c>
      <c r="AR16" s="191">
        <v>0</v>
      </c>
      <c r="AS16" s="191">
        <v>0</v>
      </c>
      <c r="AT16" s="191">
        <v>0</v>
      </c>
      <c r="AU16" s="191">
        <v>0</v>
      </c>
      <c r="AV16" s="191">
        <v>0</v>
      </c>
      <c r="AW16" s="191">
        <v>0</v>
      </c>
    </row>
    <row r="17" spans="3:49" x14ac:dyDescent="0.3">
      <c r="C17" s="191">
        <v>36</v>
      </c>
      <c r="D17" s="191">
        <v>4</v>
      </c>
      <c r="E17" s="191">
        <v>1</v>
      </c>
      <c r="F17" s="191">
        <v>5</v>
      </c>
      <c r="G17" s="191">
        <v>0</v>
      </c>
      <c r="H17" s="191">
        <v>0</v>
      </c>
      <c r="I17" s="191">
        <v>0</v>
      </c>
      <c r="J17" s="191">
        <v>0</v>
      </c>
      <c r="K17" s="191">
        <v>0</v>
      </c>
      <c r="L17" s="191">
        <v>0</v>
      </c>
      <c r="M17" s="191">
        <v>0</v>
      </c>
      <c r="N17" s="191">
        <v>0</v>
      </c>
      <c r="O17" s="191">
        <v>0</v>
      </c>
      <c r="P17" s="191">
        <v>0</v>
      </c>
      <c r="Q17" s="191">
        <v>0</v>
      </c>
      <c r="R17" s="191">
        <v>0</v>
      </c>
      <c r="S17" s="191">
        <v>0</v>
      </c>
      <c r="T17" s="191">
        <v>0</v>
      </c>
      <c r="U17" s="191">
        <v>0</v>
      </c>
      <c r="V17" s="191">
        <v>0</v>
      </c>
      <c r="W17" s="191">
        <v>0</v>
      </c>
      <c r="X17" s="191">
        <v>0</v>
      </c>
      <c r="Y17" s="191">
        <v>0</v>
      </c>
      <c r="Z17" s="191">
        <v>0</v>
      </c>
      <c r="AA17" s="191">
        <v>0</v>
      </c>
      <c r="AB17" s="191">
        <v>0</v>
      </c>
      <c r="AC17" s="191">
        <v>0</v>
      </c>
      <c r="AD17" s="191">
        <v>0</v>
      </c>
      <c r="AE17" s="191">
        <v>0</v>
      </c>
      <c r="AF17" s="191">
        <v>0</v>
      </c>
      <c r="AG17" s="191">
        <v>5</v>
      </c>
      <c r="AH17" s="191">
        <v>0</v>
      </c>
      <c r="AI17" s="191">
        <v>0</v>
      </c>
      <c r="AJ17" s="191">
        <v>0</v>
      </c>
      <c r="AK17" s="191">
        <v>0</v>
      </c>
      <c r="AL17" s="191">
        <v>0</v>
      </c>
      <c r="AM17" s="191">
        <v>0</v>
      </c>
      <c r="AN17" s="191">
        <v>0</v>
      </c>
      <c r="AO17" s="191">
        <v>0</v>
      </c>
      <c r="AP17" s="191">
        <v>0</v>
      </c>
      <c r="AQ17" s="191">
        <v>0</v>
      </c>
      <c r="AR17" s="191">
        <v>0</v>
      </c>
      <c r="AS17" s="191">
        <v>0</v>
      </c>
      <c r="AT17" s="191">
        <v>0</v>
      </c>
      <c r="AU17" s="191">
        <v>0</v>
      </c>
      <c r="AV17" s="191">
        <v>0</v>
      </c>
      <c r="AW17" s="191">
        <v>0</v>
      </c>
    </row>
    <row r="18" spans="3:49" x14ac:dyDescent="0.3">
      <c r="C18" s="191">
        <v>36</v>
      </c>
      <c r="D18" s="191">
        <v>4</v>
      </c>
      <c r="E18" s="191">
        <v>2</v>
      </c>
      <c r="F18" s="191">
        <v>792</v>
      </c>
      <c r="G18" s="191">
        <v>0</v>
      </c>
      <c r="H18" s="191">
        <v>0</v>
      </c>
      <c r="I18" s="191">
        <v>0</v>
      </c>
      <c r="J18" s="191">
        <v>0</v>
      </c>
      <c r="K18" s="191">
        <v>0</v>
      </c>
      <c r="L18" s="191">
        <v>0</v>
      </c>
      <c r="M18" s="191">
        <v>0</v>
      </c>
      <c r="N18" s="191">
        <v>0</v>
      </c>
      <c r="O18" s="191">
        <v>0</v>
      </c>
      <c r="P18" s="191">
        <v>0</v>
      </c>
      <c r="Q18" s="191">
        <v>0</v>
      </c>
      <c r="R18" s="191">
        <v>0</v>
      </c>
      <c r="S18" s="191">
        <v>0</v>
      </c>
      <c r="T18" s="191">
        <v>0</v>
      </c>
      <c r="U18" s="191">
        <v>0</v>
      </c>
      <c r="V18" s="191">
        <v>0</v>
      </c>
      <c r="W18" s="191">
        <v>0</v>
      </c>
      <c r="X18" s="191">
        <v>0</v>
      </c>
      <c r="Y18" s="191">
        <v>0</v>
      </c>
      <c r="Z18" s="191">
        <v>0</v>
      </c>
      <c r="AA18" s="191">
        <v>0</v>
      </c>
      <c r="AB18" s="191">
        <v>0</v>
      </c>
      <c r="AC18" s="191">
        <v>0</v>
      </c>
      <c r="AD18" s="191">
        <v>0</v>
      </c>
      <c r="AE18" s="191">
        <v>0</v>
      </c>
      <c r="AF18" s="191">
        <v>0</v>
      </c>
      <c r="AG18" s="191">
        <v>792</v>
      </c>
      <c r="AH18" s="191">
        <v>0</v>
      </c>
      <c r="AI18" s="191">
        <v>0</v>
      </c>
      <c r="AJ18" s="191">
        <v>0</v>
      </c>
      <c r="AK18" s="191">
        <v>0</v>
      </c>
      <c r="AL18" s="191">
        <v>0</v>
      </c>
      <c r="AM18" s="191">
        <v>0</v>
      </c>
      <c r="AN18" s="191">
        <v>0</v>
      </c>
      <c r="AO18" s="191">
        <v>0</v>
      </c>
      <c r="AP18" s="191">
        <v>0</v>
      </c>
      <c r="AQ18" s="191">
        <v>0</v>
      </c>
      <c r="AR18" s="191">
        <v>0</v>
      </c>
      <c r="AS18" s="191">
        <v>0</v>
      </c>
      <c r="AT18" s="191">
        <v>0</v>
      </c>
      <c r="AU18" s="191">
        <v>0</v>
      </c>
      <c r="AV18" s="191">
        <v>0</v>
      </c>
      <c r="AW18" s="191">
        <v>0</v>
      </c>
    </row>
    <row r="19" spans="3:49" x14ac:dyDescent="0.3">
      <c r="C19" s="191">
        <v>36</v>
      </c>
      <c r="D19" s="191">
        <v>4</v>
      </c>
      <c r="E19" s="191">
        <v>6</v>
      </c>
      <c r="F19" s="191">
        <v>197460</v>
      </c>
      <c r="G19" s="191">
        <v>0</v>
      </c>
      <c r="H19" s="191">
        <v>0</v>
      </c>
      <c r="I19" s="191">
        <v>0</v>
      </c>
      <c r="J19" s="191">
        <v>0</v>
      </c>
      <c r="K19" s="191">
        <v>0</v>
      </c>
      <c r="L19" s="191">
        <v>0</v>
      </c>
      <c r="M19" s="191">
        <v>0</v>
      </c>
      <c r="N19" s="191">
        <v>0</v>
      </c>
      <c r="O19" s="191">
        <v>0</v>
      </c>
      <c r="P19" s="191">
        <v>0</v>
      </c>
      <c r="Q19" s="191">
        <v>0</v>
      </c>
      <c r="R19" s="191">
        <v>0</v>
      </c>
      <c r="S19" s="191">
        <v>0</v>
      </c>
      <c r="T19" s="191">
        <v>0</v>
      </c>
      <c r="U19" s="191">
        <v>0</v>
      </c>
      <c r="V19" s="191">
        <v>0</v>
      </c>
      <c r="W19" s="191">
        <v>0</v>
      </c>
      <c r="X19" s="191">
        <v>0</v>
      </c>
      <c r="Y19" s="191">
        <v>0</v>
      </c>
      <c r="Z19" s="191">
        <v>0</v>
      </c>
      <c r="AA19" s="191">
        <v>0</v>
      </c>
      <c r="AB19" s="191">
        <v>0</v>
      </c>
      <c r="AC19" s="191">
        <v>0</v>
      </c>
      <c r="AD19" s="191">
        <v>0</v>
      </c>
      <c r="AE19" s="191">
        <v>0</v>
      </c>
      <c r="AF19" s="191">
        <v>0</v>
      </c>
      <c r="AG19" s="191">
        <v>194116</v>
      </c>
      <c r="AH19" s="191">
        <v>0</v>
      </c>
      <c r="AI19" s="191">
        <v>0</v>
      </c>
      <c r="AJ19" s="191">
        <v>0</v>
      </c>
      <c r="AK19" s="191">
        <v>0</v>
      </c>
      <c r="AL19" s="191">
        <v>0</v>
      </c>
      <c r="AM19" s="191">
        <v>0</v>
      </c>
      <c r="AN19" s="191">
        <v>0</v>
      </c>
      <c r="AO19" s="191">
        <v>0</v>
      </c>
      <c r="AP19" s="191">
        <v>0</v>
      </c>
      <c r="AQ19" s="191">
        <v>0</v>
      </c>
      <c r="AR19" s="191">
        <v>0</v>
      </c>
      <c r="AS19" s="191">
        <v>0</v>
      </c>
      <c r="AT19" s="191">
        <v>0</v>
      </c>
      <c r="AU19" s="191">
        <v>0</v>
      </c>
      <c r="AV19" s="191">
        <v>0</v>
      </c>
      <c r="AW19" s="191">
        <v>3344</v>
      </c>
    </row>
    <row r="20" spans="3:49" x14ac:dyDescent="0.3">
      <c r="C20" s="191">
        <v>36</v>
      </c>
      <c r="D20" s="191">
        <v>4</v>
      </c>
      <c r="E20" s="191">
        <v>11</v>
      </c>
      <c r="F20" s="191">
        <v>183.33333333333334</v>
      </c>
      <c r="G20" s="191">
        <v>0</v>
      </c>
      <c r="H20" s="191">
        <v>0</v>
      </c>
      <c r="I20" s="191">
        <v>0</v>
      </c>
      <c r="J20" s="191">
        <v>0</v>
      </c>
      <c r="K20" s="191">
        <v>0</v>
      </c>
      <c r="L20" s="191">
        <v>0</v>
      </c>
      <c r="M20" s="191">
        <v>0</v>
      </c>
      <c r="N20" s="191">
        <v>0</v>
      </c>
      <c r="O20" s="191">
        <v>183.33333333333334</v>
      </c>
      <c r="P20" s="191">
        <v>0</v>
      </c>
      <c r="Q20" s="191">
        <v>0</v>
      </c>
      <c r="R20" s="191">
        <v>0</v>
      </c>
      <c r="S20" s="191">
        <v>0</v>
      </c>
      <c r="T20" s="191">
        <v>0</v>
      </c>
      <c r="U20" s="191">
        <v>0</v>
      </c>
      <c r="V20" s="191">
        <v>0</v>
      </c>
      <c r="W20" s="191">
        <v>0</v>
      </c>
      <c r="X20" s="191">
        <v>0</v>
      </c>
      <c r="Y20" s="191">
        <v>0</v>
      </c>
      <c r="Z20" s="191">
        <v>0</v>
      </c>
      <c r="AA20" s="191">
        <v>0</v>
      </c>
      <c r="AB20" s="191">
        <v>0</v>
      </c>
      <c r="AC20" s="191">
        <v>0</v>
      </c>
      <c r="AD20" s="191">
        <v>0</v>
      </c>
      <c r="AE20" s="191">
        <v>0</v>
      </c>
      <c r="AF20" s="191">
        <v>0</v>
      </c>
      <c r="AG20" s="191">
        <v>0</v>
      </c>
      <c r="AH20" s="191">
        <v>0</v>
      </c>
      <c r="AI20" s="191">
        <v>0</v>
      </c>
      <c r="AJ20" s="191">
        <v>0</v>
      </c>
      <c r="AK20" s="191">
        <v>0</v>
      </c>
      <c r="AL20" s="191">
        <v>0</v>
      </c>
      <c r="AM20" s="191">
        <v>0</v>
      </c>
      <c r="AN20" s="191">
        <v>0</v>
      </c>
      <c r="AO20" s="191">
        <v>0</v>
      </c>
      <c r="AP20" s="191">
        <v>0</v>
      </c>
      <c r="AQ20" s="191">
        <v>0</v>
      </c>
      <c r="AR20" s="191">
        <v>0</v>
      </c>
      <c r="AS20" s="191">
        <v>0</v>
      </c>
      <c r="AT20" s="191">
        <v>0</v>
      </c>
      <c r="AU20" s="191">
        <v>0</v>
      </c>
      <c r="AV20" s="191">
        <v>0</v>
      </c>
      <c r="AW20" s="191">
        <v>0</v>
      </c>
    </row>
    <row r="21" spans="3:49" x14ac:dyDescent="0.3">
      <c r="C21" s="191">
        <v>36</v>
      </c>
      <c r="D21" s="191">
        <v>5</v>
      </c>
      <c r="E21" s="191">
        <v>1</v>
      </c>
      <c r="F21" s="191">
        <v>5</v>
      </c>
      <c r="G21" s="191">
        <v>0</v>
      </c>
      <c r="H21" s="191">
        <v>0</v>
      </c>
      <c r="I21" s="191">
        <v>0</v>
      </c>
      <c r="J21" s="191">
        <v>0</v>
      </c>
      <c r="K21" s="191">
        <v>0</v>
      </c>
      <c r="L21" s="191">
        <v>0</v>
      </c>
      <c r="M21" s="191">
        <v>0</v>
      </c>
      <c r="N21" s="191">
        <v>0</v>
      </c>
      <c r="O21" s="191">
        <v>0</v>
      </c>
      <c r="P21" s="191">
        <v>0</v>
      </c>
      <c r="Q21" s="191">
        <v>0</v>
      </c>
      <c r="R21" s="191">
        <v>0</v>
      </c>
      <c r="S21" s="191">
        <v>0</v>
      </c>
      <c r="T21" s="191">
        <v>0</v>
      </c>
      <c r="U21" s="191">
        <v>0</v>
      </c>
      <c r="V21" s="191">
        <v>0</v>
      </c>
      <c r="W21" s="191">
        <v>0</v>
      </c>
      <c r="X21" s="191">
        <v>0</v>
      </c>
      <c r="Y21" s="191">
        <v>0</v>
      </c>
      <c r="Z21" s="191">
        <v>0</v>
      </c>
      <c r="AA21" s="191">
        <v>0</v>
      </c>
      <c r="AB21" s="191">
        <v>0</v>
      </c>
      <c r="AC21" s="191">
        <v>0</v>
      </c>
      <c r="AD21" s="191">
        <v>0</v>
      </c>
      <c r="AE21" s="191">
        <v>0</v>
      </c>
      <c r="AF21" s="191">
        <v>0</v>
      </c>
      <c r="AG21" s="191">
        <v>5</v>
      </c>
      <c r="AH21" s="191">
        <v>0</v>
      </c>
      <c r="AI21" s="191">
        <v>0</v>
      </c>
      <c r="AJ21" s="191">
        <v>0</v>
      </c>
      <c r="AK21" s="191">
        <v>0</v>
      </c>
      <c r="AL21" s="191">
        <v>0</v>
      </c>
      <c r="AM21" s="191">
        <v>0</v>
      </c>
      <c r="AN21" s="191">
        <v>0</v>
      </c>
      <c r="AO21" s="191">
        <v>0</v>
      </c>
      <c r="AP21" s="191">
        <v>0</v>
      </c>
      <c r="AQ21" s="191">
        <v>0</v>
      </c>
      <c r="AR21" s="191">
        <v>0</v>
      </c>
      <c r="AS21" s="191">
        <v>0</v>
      </c>
      <c r="AT21" s="191">
        <v>0</v>
      </c>
      <c r="AU21" s="191">
        <v>0</v>
      </c>
      <c r="AV21" s="191">
        <v>0</v>
      </c>
      <c r="AW21" s="191">
        <v>0</v>
      </c>
    </row>
    <row r="22" spans="3:49" x14ac:dyDescent="0.3">
      <c r="C22" s="191">
        <v>36</v>
      </c>
      <c r="D22" s="191">
        <v>5</v>
      </c>
      <c r="E22" s="191">
        <v>2</v>
      </c>
      <c r="F22" s="191">
        <v>880</v>
      </c>
      <c r="G22" s="191">
        <v>0</v>
      </c>
      <c r="H22" s="191">
        <v>0</v>
      </c>
      <c r="I22" s="191">
        <v>0</v>
      </c>
      <c r="J22" s="191">
        <v>0</v>
      </c>
      <c r="K22" s="191">
        <v>0</v>
      </c>
      <c r="L22" s="191">
        <v>0</v>
      </c>
      <c r="M22" s="191">
        <v>0</v>
      </c>
      <c r="N22" s="191">
        <v>0</v>
      </c>
      <c r="O22" s="191">
        <v>0</v>
      </c>
      <c r="P22" s="191">
        <v>0</v>
      </c>
      <c r="Q22" s="191">
        <v>0</v>
      </c>
      <c r="R22" s="191">
        <v>0</v>
      </c>
      <c r="S22" s="191">
        <v>0</v>
      </c>
      <c r="T22" s="191">
        <v>0</v>
      </c>
      <c r="U22" s="191">
        <v>0</v>
      </c>
      <c r="V22" s="191">
        <v>0</v>
      </c>
      <c r="W22" s="191">
        <v>0</v>
      </c>
      <c r="X22" s="191">
        <v>0</v>
      </c>
      <c r="Y22" s="191">
        <v>0</v>
      </c>
      <c r="Z22" s="191">
        <v>0</v>
      </c>
      <c r="AA22" s="191">
        <v>0</v>
      </c>
      <c r="AB22" s="191">
        <v>0</v>
      </c>
      <c r="AC22" s="191">
        <v>0</v>
      </c>
      <c r="AD22" s="191">
        <v>0</v>
      </c>
      <c r="AE22" s="191">
        <v>0</v>
      </c>
      <c r="AF22" s="191">
        <v>0</v>
      </c>
      <c r="AG22" s="191">
        <v>880</v>
      </c>
      <c r="AH22" s="191">
        <v>0</v>
      </c>
      <c r="AI22" s="191">
        <v>0</v>
      </c>
      <c r="AJ22" s="191">
        <v>0</v>
      </c>
      <c r="AK22" s="191">
        <v>0</v>
      </c>
      <c r="AL22" s="191">
        <v>0</v>
      </c>
      <c r="AM22" s="191">
        <v>0</v>
      </c>
      <c r="AN22" s="191">
        <v>0</v>
      </c>
      <c r="AO22" s="191">
        <v>0</v>
      </c>
      <c r="AP22" s="191">
        <v>0</v>
      </c>
      <c r="AQ22" s="191">
        <v>0</v>
      </c>
      <c r="AR22" s="191">
        <v>0</v>
      </c>
      <c r="AS22" s="191">
        <v>0</v>
      </c>
      <c r="AT22" s="191">
        <v>0</v>
      </c>
      <c r="AU22" s="191">
        <v>0</v>
      </c>
      <c r="AV22" s="191">
        <v>0</v>
      </c>
      <c r="AW22" s="191">
        <v>0</v>
      </c>
    </row>
    <row r="23" spans="3:49" x14ac:dyDescent="0.3">
      <c r="C23" s="191">
        <v>36</v>
      </c>
      <c r="D23" s="191">
        <v>5</v>
      </c>
      <c r="E23" s="191">
        <v>6</v>
      </c>
      <c r="F23" s="191">
        <v>196802</v>
      </c>
      <c r="G23" s="191">
        <v>0</v>
      </c>
      <c r="H23" s="191">
        <v>0</v>
      </c>
      <c r="I23" s="191">
        <v>0</v>
      </c>
      <c r="J23" s="191">
        <v>0</v>
      </c>
      <c r="K23" s="191">
        <v>0</v>
      </c>
      <c r="L23" s="191">
        <v>0</v>
      </c>
      <c r="M23" s="191">
        <v>0</v>
      </c>
      <c r="N23" s="191">
        <v>0</v>
      </c>
      <c r="O23" s="191">
        <v>0</v>
      </c>
      <c r="P23" s="191">
        <v>0</v>
      </c>
      <c r="Q23" s="191">
        <v>0</v>
      </c>
      <c r="R23" s="191">
        <v>0</v>
      </c>
      <c r="S23" s="191">
        <v>0</v>
      </c>
      <c r="T23" s="191">
        <v>0</v>
      </c>
      <c r="U23" s="191">
        <v>0</v>
      </c>
      <c r="V23" s="191">
        <v>0</v>
      </c>
      <c r="W23" s="191">
        <v>0</v>
      </c>
      <c r="X23" s="191">
        <v>0</v>
      </c>
      <c r="Y23" s="191">
        <v>0</v>
      </c>
      <c r="Z23" s="191">
        <v>0</v>
      </c>
      <c r="AA23" s="191">
        <v>0</v>
      </c>
      <c r="AB23" s="191">
        <v>0</v>
      </c>
      <c r="AC23" s="191">
        <v>0</v>
      </c>
      <c r="AD23" s="191">
        <v>0</v>
      </c>
      <c r="AE23" s="191">
        <v>0</v>
      </c>
      <c r="AF23" s="191">
        <v>0</v>
      </c>
      <c r="AG23" s="191">
        <v>193610</v>
      </c>
      <c r="AH23" s="191">
        <v>0</v>
      </c>
      <c r="AI23" s="191">
        <v>0</v>
      </c>
      <c r="AJ23" s="191">
        <v>0</v>
      </c>
      <c r="AK23" s="191">
        <v>0</v>
      </c>
      <c r="AL23" s="191">
        <v>0</v>
      </c>
      <c r="AM23" s="191">
        <v>0</v>
      </c>
      <c r="AN23" s="191">
        <v>0</v>
      </c>
      <c r="AO23" s="191">
        <v>0</v>
      </c>
      <c r="AP23" s="191">
        <v>0</v>
      </c>
      <c r="AQ23" s="191">
        <v>0</v>
      </c>
      <c r="AR23" s="191">
        <v>0</v>
      </c>
      <c r="AS23" s="191">
        <v>0</v>
      </c>
      <c r="AT23" s="191">
        <v>0</v>
      </c>
      <c r="AU23" s="191">
        <v>0</v>
      </c>
      <c r="AV23" s="191">
        <v>0</v>
      </c>
      <c r="AW23" s="191">
        <v>3192</v>
      </c>
    </row>
    <row r="24" spans="3:49" x14ac:dyDescent="0.3">
      <c r="C24" s="191">
        <v>36</v>
      </c>
      <c r="D24" s="191">
        <v>5</v>
      </c>
      <c r="E24" s="191">
        <v>11</v>
      </c>
      <c r="F24" s="191">
        <v>183.33333333333334</v>
      </c>
      <c r="G24" s="191">
        <v>0</v>
      </c>
      <c r="H24" s="191">
        <v>0</v>
      </c>
      <c r="I24" s="191">
        <v>0</v>
      </c>
      <c r="J24" s="191">
        <v>0</v>
      </c>
      <c r="K24" s="191">
        <v>0</v>
      </c>
      <c r="L24" s="191">
        <v>0</v>
      </c>
      <c r="M24" s="191">
        <v>0</v>
      </c>
      <c r="N24" s="191">
        <v>0</v>
      </c>
      <c r="O24" s="191">
        <v>183.33333333333334</v>
      </c>
      <c r="P24" s="191">
        <v>0</v>
      </c>
      <c r="Q24" s="191">
        <v>0</v>
      </c>
      <c r="R24" s="191">
        <v>0</v>
      </c>
      <c r="S24" s="191">
        <v>0</v>
      </c>
      <c r="T24" s="191">
        <v>0</v>
      </c>
      <c r="U24" s="191">
        <v>0</v>
      </c>
      <c r="V24" s="191">
        <v>0</v>
      </c>
      <c r="W24" s="191">
        <v>0</v>
      </c>
      <c r="X24" s="191">
        <v>0</v>
      </c>
      <c r="Y24" s="191">
        <v>0</v>
      </c>
      <c r="Z24" s="191">
        <v>0</v>
      </c>
      <c r="AA24" s="191">
        <v>0</v>
      </c>
      <c r="AB24" s="191">
        <v>0</v>
      </c>
      <c r="AC24" s="191">
        <v>0</v>
      </c>
      <c r="AD24" s="191">
        <v>0</v>
      </c>
      <c r="AE24" s="191">
        <v>0</v>
      </c>
      <c r="AF24" s="191">
        <v>0</v>
      </c>
      <c r="AG24" s="191">
        <v>0</v>
      </c>
      <c r="AH24" s="191">
        <v>0</v>
      </c>
      <c r="AI24" s="191">
        <v>0</v>
      </c>
      <c r="AJ24" s="191">
        <v>0</v>
      </c>
      <c r="AK24" s="191">
        <v>0</v>
      </c>
      <c r="AL24" s="191">
        <v>0</v>
      </c>
      <c r="AM24" s="191">
        <v>0</v>
      </c>
      <c r="AN24" s="191">
        <v>0</v>
      </c>
      <c r="AO24" s="191">
        <v>0</v>
      </c>
      <c r="AP24" s="191">
        <v>0</v>
      </c>
      <c r="AQ24" s="191">
        <v>0</v>
      </c>
      <c r="AR24" s="191">
        <v>0</v>
      </c>
      <c r="AS24" s="191">
        <v>0</v>
      </c>
      <c r="AT24" s="191">
        <v>0</v>
      </c>
      <c r="AU24" s="191">
        <v>0</v>
      </c>
      <c r="AV24" s="191">
        <v>0</v>
      </c>
      <c r="AW24" s="191">
        <v>0</v>
      </c>
    </row>
    <row r="25" spans="3:49" x14ac:dyDescent="0.3">
      <c r="C25" s="191">
        <v>36</v>
      </c>
      <c r="D25" s="191">
        <v>6</v>
      </c>
      <c r="E25" s="191">
        <v>1</v>
      </c>
      <c r="F25" s="191">
        <v>5</v>
      </c>
      <c r="G25" s="191">
        <v>0</v>
      </c>
      <c r="H25" s="191">
        <v>0</v>
      </c>
      <c r="I25" s="191">
        <v>0</v>
      </c>
      <c r="J25" s="191">
        <v>0</v>
      </c>
      <c r="K25" s="191">
        <v>0</v>
      </c>
      <c r="L25" s="191">
        <v>0</v>
      </c>
      <c r="M25" s="191">
        <v>0</v>
      </c>
      <c r="N25" s="191">
        <v>0</v>
      </c>
      <c r="O25" s="191">
        <v>0</v>
      </c>
      <c r="P25" s="191">
        <v>0</v>
      </c>
      <c r="Q25" s="191">
        <v>0</v>
      </c>
      <c r="R25" s="191">
        <v>0</v>
      </c>
      <c r="S25" s="191">
        <v>0</v>
      </c>
      <c r="T25" s="191">
        <v>0</v>
      </c>
      <c r="U25" s="191">
        <v>0</v>
      </c>
      <c r="V25" s="191">
        <v>0</v>
      </c>
      <c r="W25" s="191">
        <v>0</v>
      </c>
      <c r="X25" s="191">
        <v>0</v>
      </c>
      <c r="Y25" s="191">
        <v>0</v>
      </c>
      <c r="Z25" s="191">
        <v>0</v>
      </c>
      <c r="AA25" s="191">
        <v>0</v>
      </c>
      <c r="AB25" s="191">
        <v>0</v>
      </c>
      <c r="AC25" s="191">
        <v>0</v>
      </c>
      <c r="AD25" s="191">
        <v>0</v>
      </c>
      <c r="AE25" s="191">
        <v>0</v>
      </c>
      <c r="AF25" s="191">
        <v>0</v>
      </c>
      <c r="AG25" s="191">
        <v>5</v>
      </c>
      <c r="AH25" s="191">
        <v>0</v>
      </c>
      <c r="AI25" s="191">
        <v>0</v>
      </c>
      <c r="AJ25" s="191">
        <v>0</v>
      </c>
      <c r="AK25" s="191">
        <v>0</v>
      </c>
      <c r="AL25" s="191">
        <v>0</v>
      </c>
      <c r="AM25" s="191">
        <v>0</v>
      </c>
      <c r="AN25" s="191">
        <v>0</v>
      </c>
      <c r="AO25" s="191">
        <v>0</v>
      </c>
      <c r="AP25" s="191">
        <v>0</v>
      </c>
      <c r="AQ25" s="191">
        <v>0</v>
      </c>
      <c r="AR25" s="191">
        <v>0</v>
      </c>
      <c r="AS25" s="191">
        <v>0</v>
      </c>
      <c r="AT25" s="191">
        <v>0</v>
      </c>
      <c r="AU25" s="191">
        <v>0</v>
      </c>
      <c r="AV25" s="191">
        <v>0</v>
      </c>
      <c r="AW25" s="191">
        <v>0</v>
      </c>
    </row>
    <row r="26" spans="3:49" x14ac:dyDescent="0.3">
      <c r="C26" s="191">
        <v>36</v>
      </c>
      <c r="D26" s="191">
        <v>6</v>
      </c>
      <c r="E26" s="191">
        <v>2</v>
      </c>
      <c r="F26" s="191">
        <v>664</v>
      </c>
      <c r="G26" s="191">
        <v>0</v>
      </c>
      <c r="H26" s="191">
        <v>0</v>
      </c>
      <c r="I26" s="191">
        <v>0</v>
      </c>
      <c r="J26" s="191">
        <v>0</v>
      </c>
      <c r="K26" s="191">
        <v>0</v>
      </c>
      <c r="L26" s="191">
        <v>0</v>
      </c>
      <c r="M26" s="191">
        <v>0</v>
      </c>
      <c r="N26" s="191">
        <v>0</v>
      </c>
      <c r="O26" s="191">
        <v>0</v>
      </c>
      <c r="P26" s="191">
        <v>0</v>
      </c>
      <c r="Q26" s="191">
        <v>0</v>
      </c>
      <c r="R26" s="191">
        <v>0</v>
      </c>
      <c r="S26" s="191">
        <v>0</v>
      </c>
      <c r="T26" s="191">
        <v>0</v>
      </c>
      <c r="U26" s="191">
        <v>0</v>
      </c>
      <c r="V26" s="191">
        <v>0</v>
      </c>
      <c r="W26" s="191">
        <v>0</v>
      </c>
      <c r="X26" s="191">
        <v>0</v>
      </c>
      <c r="Y26" s="191">
        <v>0</v>
      </c>
      <c r="Z26" s="191">
        <v>0</v>
      </c>
      <c r="AA26" s="191">
        <v>0</v>
      </c>
      <c r="AB26" s="191">
        <v>0</v>
      </c>
      <c r="AC26" s="191">
        <v>0</v>
      </c>
      <c r="AD26" s="191">
        <v>0</v>
      </c>
      <c r="AE26" s="191">
        <v>0</v>
      </c>
      <c r="AF26" s="191">
        <v>0</v>
      </c>
      <c r="AG26" s="191">
        <v>664</v>
      </c>
      <c r="AH26" s="191">
        <v>0</v>
      </c>
      <c r="AI26" s="191">
        <v>0</v>
      </c>
      <c r="AJ26" s="191">
        <v>0</v>
      </c>
      <c r="AK26" s="191">
        <v>0</v>
      </c>
      <c r="AL26" s="191">
        <v>0</v>
      </c>
      <c r="AM26" s="191">
        <v>0</v>
      </c>
      <c r="AN26" s="191">
        <v>0</v>
      </c>
      <c r="AO26" s="191">
        <v>0</v>
      </c>
      <c r="AP26" s="191">
        <v>0</v>
      </c>
      <c r="AQ26" s="191">
        <v>0</v>
      </c>
      <c r="AR26" s="191">
        <v>0</v>
      </c>
      <c r="AS26" s="191">
        <v>0</v>
      </c>
      <c r="AT26" s="191">
        <v>0</v>
      </c>
      <c r="AU26" s="191">
        <v>0</v>
      </c>
      <c r="AV26" s="191">
        <v>0</v>
      </c>
      <c r="AW26" s="191">
        <v>0</v>
      </c>
    </row>
    <row r="27" spans="3:49" x14ac:dyDescent="0.3">
      <c r="C27" s="191">
        <v>36</v>
      </c>
      <c r="D27" s="191">
        <v>6</v>
      </c>
      <c r="E27" s="191">
        <v>6</v>
      </c>
      <c r="F27" s="191">
        <v>158046</v>
      </c>
      <c r="G27" s="191">
        <v>0</v>
      </c>
      <c r="H27" s="191">
        <v>0</v>
      </c>
      <c r="I27" s="191">
        <v>0</v>
      </c>
      <c r="J27" s="191">
        <v>0</v>
      </c>
      <c r="K27" s="191">
        <v>0</v>
      </c>
      <c r="L27" s="191">
        <v>0</v>
      </c>
      <c r="M27" s="191">
        <v>0</v>
      </c>
      <c r="N27" s="191">
        <v>0</v>
      </c>
      <c r="O27" s="191">
        <v>0</v>
      </c>
      <c r="P27" s="191">
        <v>0</v>
      </c>
      <c r="Q27" s="191">
        <v>0</v>
      </c>
      <c r="R27" s="191">
        <v>0</v>
      </c>
      <c r="S27" s="191">
        <v>0</v>
      </c>
      <c r="T27" s="191">
        <v>0</v>
      </c>
      <c r="U27" s="191">
        <v>0</v>
      </c>
      <c r="V27" s="191">
        <v>0</v>
      </c>
      <c r="W27" s="191">
        <v>0</v>
      </c>
      <c r="X27" s="191">
        <v>0</v>
      </c>
      <c r="Y27" s="191">
        <v>0</v>
      </c>
      <c r="Z27" s="191">
        <v>0</v>
      </c>
      <c r="AA27" s="191">
        <v>0</v>
      </c>
      <c r="AB27" s="191">
        <v>0</v>
      </c>
      <c r="AC27" s="191">
        <v>0</v>
      </c>
      <c r="AD27" s="191">
        <v>0</v>
      </c>
      <c r="AE27" s="191">
        <v>0</v>
      </c>
      <c r="AF27" s="191">
        <v>0</v>
      </c>
      <c r="AG27" s="191">
        <v>154518</v>
      </c>
      <c r="AH27" s="191">
        <v>0</v>
      </c>
      <c r="AI27" s="191">
        <v>0</v>
      </c>
      <c r="AJ27" s="191">
        <v>0</v>
      </c>
      <c r="AK27" s="191">
        <v>0</v>
      </c>
      <c r="AL27" s="191">
        <v>0</v>
      </c>
      <c r="AM27" s="191">
        <v>0</v>
      </c>
      <c r="AN27" s="191">
        <v>0</v>
      </c>
      <c r="AO27" s="191">
        <v>0</v>
      </c>
      <c r="AP27" s="191">
        <v>0</v>
      </c>
      <c r="AQ27" s="191">
        <v>0</v>
      </c>
      <c r="AR27" s="191">
        <v>0</v>
      </c>
      <c r="AS27" s="191">
        <v>0</v>
      </c>
      <c r="AT27" s="191">
        <v>0</v>
      </c>
      <c r="AU27" s="191">
        <v>0</v>
      </c>
      <c r="AV27" s="191">
        <v>0</v>
      </c>
      <c r="AW27" s="191">
        <v>3528</v>
      </c>
    </row>
    <row r="28" spans="3:49" x14ac:dyDescent="0.3">
      <c r="C28" s="191">
        <v>36</v>
      </c>
      <c r="D28" s="191">
        <v>6</v>
      </c>
      <c r="E28" s="191">
        <v>11</v>
      </c>
      <c r="F28" s="191">
        <v>183.33333333333334</v>
      </c>
      <c r="G28" s="191">
        <v>0</v>
      </c>
      <c r="H28" s="191">
        <v>0</v>
      </c>
      <c r="I28" s="191">
        <v>0</v>
      </c>
      <c r="J28" s="191">
        <v>0</v>
      </c>
      <c r="K28" s="191">
        <v>0</v>
      </c>
      <c r="L28" s="191">
        <v>0</v>
      </c>
      <c r="M28" s="191">
        <v>0</v>
      </c>
      <c r="N28" s="191">
        <v>0</v>
      </c>
      <c r="O28" s="191">
        <v>183.33333333333334</v>
      </c>
      <c r="P28" s="191">
        <v>0</v>
      </c>
      <c r="Q28" s="191">
        <v>0</v>
      </c>
      <c r="R28" s="191">
        <v>0</v>
      </c>
      <c r="S28" s="191">
        <v>0</v>
      </c>
      <c r="T28" s="191">
        <v>0</v>
      </c>
      <c r="U28" s="191">
        <v>0</v>
      </c>
      <c r="V28" s="191">
        <v>0</v>
      </c>
      <c r="W28" s="191">
        <v>0</v>
      </c>
      <c r="X28" s="191">
        <v>0</v>
      </c>
      <c r="Y28" s="191">
        <v>0</v>
      </c>
      <c r="Z28" s="191">
        <v>0</v>
      </c>
      <c r="AA28" s="191">
        <v>0</v>
      </c>
      <c r="AB28" s="191">
        <v>0</v>
      </c>
      <c r="AC28" s="191">
        <v>0</v>
      </c>
      <c r="AD28" s="191">
        <v>0</v>
      </c>
      <c r="AE28" s="191">
        <v>0</v>
      </c>
      <c r="AF28" s="191">
        <v>0</v>
      </c>
      <c r="AG28" s="191">
        <v>0</v>
      </c>
      <c r="AH28" s="191">
        <v>0</v>
      </c>
      <c r="AI28" s="191">
        <v>0</v>
      </c>
      <c r="AJ28" s="191">
        <v>0</v>
      </c>
      <c r="AK28" s="191">
        <v>0</v>
      </c>
      <c r="AL28" s="191">
        <v>0</v>
      </c>
      <c r="AM28" s="191">
        <v>0</v>
      </c>
      <c r="AN28" s="191">
        <v>0</v>
      </c>
      <c r="AO28" s="191">
        <v>0</v>
      </c>
      <c r="AP28" s="191">
        <v>0</v>
      </c>
      <c r="AQ28" s="191">
        <v>0</v>
      </c>
      <c r="AR28" s="191">
        <v>0</v>
      </c>
      <c r="AS28" s="191">
        <v>0</v>
      </c>
      <c r="AT28" s="191">
        <v>0</v>
      </c>
      <c r="AU28" s="191">
        <v>0</v>
      </c>
      <c r="AV28" s="191">
        <v>0</v>
      </c>
      <c r="AW28" s="191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pageSetUpPr fitToPage="1"/>
  </sheetPr>
  <dimension ref="A1:S11"/>
  <sheetViews>
    <sheetView showGridLines="0" showRowColHeaders="0" workbookViewId="0">
      <pane ySplit="5" topLeftCell="A6" activePane="bottomLeft" state="frozen"/>
      <selection activeCell="A2" sqref="A2:M2"/>
      <selection pane="bottomLeft" sqref="A1:S1"/>
    </sheetView>
  </sheetViews>
  <sheetFormatPr defaultRowHeight="14.4" customHeight="1" x14ac:dyDescent="0.3"/>
  <cols>
    <col min="1" max="1" width="46.6640625" style="102" bestFit="1" customWidth="1"/>
    <col min="2" max="2" width="7.77734375" style="78" customWidth="1"/>
    <col min="3" max="3" width="5.44140625" style="102" hidden="1" customWidth="1"/>
    <col min="4" max="4" width="7.77734375" style="78" customWidth="1"/>
    <col min="5" max="5" width="5.44140625" style="102" hidden="1" customWidth="1"/>
    <col min="6" max="6" width="7.77734375" style="78" customWidth="1"/>
    <col min="7" max="7" width="7.77734375" style="179" customWidth="1"/>
    <col min="8" max="8" width="7.77734375" style="78" customWidth="1"/>
    <col min="9" max="9" width="5.44140625" style="102" hidden="1" customWidth="1"/>
    <col min="10" max="10" width="7.77734375" style="78" customWidth="1"/>
    <col min="11" max="11" width="5.44140625" style="102" hidden="1" customWidth="1"/>
    <col min="12" max="12" width="7.77734375" style="78" customWidth="1"/>
    <col min="13" max="13" width="7.77734375" style="179" customWidth="1"/>
    <col min="14" max="14" width="7.77734375" style="78" customWidth="1"/>
    <col min="15" max="15" width="5" style="102" hidden="1" customWidth="1"/>
    <col min="16" max="16" width="7.77734375" style="78" customWidth="1"/>
    <col min="17" max="17" width="5" style="102" hidden="1" customWidth="1"/>
    <col min="18" max="18" width="7.77734375" style="78" customWidth="1"/>
    <col min="19" max="19" width="7.77734375" style="179" customWidth="1"/>
    <col min="20" max="16384" width="8.88671875" style="102"/>
  </cols>
  <sheetData>
    <row r="1" spans="1:19" ht="18.600000000000001" customHeight="1" thickBot="1" x14ac:dyDescent="0.4">
      <c r="A1" s="313" t="s">
        <v>317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  <c r="L1" s="271"/>
      <c r="M1" s="271"/>
      <c r="N1" s="271"/>
      <c r="O1" s="271"/>
      <c r="P1" s="271"/>
      <c r="Q1" s="271"/>
      <c r="R1" s="271"/>
      <c r="S1" s="271"/>
    </row>
    <row r="2" spans="1:19" ht="14.4" customHeight="1" thickBot="1" x14ac:dyDescent="0.35">
      <c r="A2" s="195" t="s">
        <v>199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</row>
    <row r="3" spans="1:19" ht="14.4" customHeight="1" thickBot="1" x14ac:dyDescent="0.35">
      <c r="A3" s="181" t="s">
        <v>101</v>
      </c>
      <c r="B3" s="182">
        <f>SUBTOTAL(9,B6:B1048576)/2</f>
        <v>472508</v>
      </c>
      <c r="C3" s="183">
        <f t="shared" ref="C3:R3" si="0">SUBTOTAL(9,C6:C1048576)</f>
        <v>2</v>
      </c>
      <c r="D3" s="183">
        <f>SUBTOTAL(9,D6:D1048576)/2</f>
        <v>388752.66000000003</v>
      </c>
      <c r="E3" s="183">
        <f t="shared" si="0"/>
        <v>1.6454860446807251</v>
      </c>
      <c r="F3" s="183">
        <f>SUBTOTAL(9,F6:F1048576)/2</f>
        <v>404464.66999999993</v>
      </c>
      <c r="G3" s="184">
        <f>IF(B3&lt;&gt;0,F3/B3,"")</f>
        <v>0.85599539055423379</v>
      </c>
      <c r="H3" s="185">
        <f t="shared" si="0"/>
        <v>0</v>
      </c>
      <c r="I3" s="183">
        <f t="shared" si="0"/>
        <v>0</v>
      </c>
      <c r="J3" s="183">
        <f t="shared" si="0"/>
        <v>0</v>
      </c>
      <c r="K3" s="183">
        <f t="shared" si="0"/>
        <v>0</v>
      </c>
      <c r="L3" s="183">
        <f t="shared" si="0"/>
        <v>0</v>
      </c>
      <c r="M3" s="186" t="str">
        <f>IF(H3&lt;&gt;0,L3/H3,"")</f>
        <v/>
      </c>
      <c r="N3" s="182">
        <f t="shared" si="0"/>
        <v>0</v>
      </c>
      <c r="O3" s="183">
        <f t="shared" si="0"/>
        <v>0</v>
      </c>
      <c r="P3" s="183">
        <f t="shared" si="0"/>
        <v>0</v>
      </c>
      <c r="Q3" s="183">
        <f t="shared" si="0"/>
        <v>0</v>
      </c>
      <c r="R3" s="183">
        <f t="shared" si="0"/>
        <v>0</v>
      </c>
      <c r="S3" s="184" t="str">
        <f>IF(N3&lt;&gt;0,R3/N3,"")</f>
        <v/>
      </c>
    </row>
    <row r="4" spans="1:19" ht="14.4" customHeight="1" x14ac:dyDescent="0.3">
      <c r="A4" s="314" t="s">
        <v>173</v>
      </c>
      <c r="B4" s="315" t="s">
        <v>76</v>
      </c>
      <c r="C4" s="316"/>
      <c r="D4" s="316"/>
      <c r="E4" s="316"/>
      <c r="F4" s="316"/>
      <c r="G4" s="317"/>
      <c r="H4" s="315" t="s">
        <v>77</v>
      </c>
      <c r="I4" s="316"/>
      <c r="J4" s="316"/>
      <c r="K4" s="316"/>
      <c r="L4" s="316"/>
      <c r="M4" s="317"/>
      <c r="N4" s="315" t="s">
        <v>78</v>
      </c>
      <c r="O4" s="316"/>
      <c r="P4" s="316"/>
      <c r="Q4" s="316"/>
      <c r="R4" s="316"/>
      <c r="S4" s="317"/>
    </row>
    <row r="5" spans="1:19" ht="14.4" customHeight="1" thickBot="1" x14ac:dyDescent="0.35">
      <c r="A5" s="415"/>
      <c r="B5" s="416">
        <v>2014</v>
      </c>
      <c r="C5" s="417"/>
      <c r="D5" s="417">
        <v>2015</v>
      </c>
      <c r="E5" s="417"/>
      <c r="F5" s="417">
        <v>2016</v>
      </c>
      <c r="G5" s="418" t="s">
        <v>2</v>
      </c>
      <c r="H5" s="416">
        <v>2014</v>
      </c>
      <c r="I5" s="417"/>
      <c r="J5" s="417">
        <v>2015</v>
      </c>
      <c r="K5" s="417"/>
      <c r="L5" s="417">
        <v>2016</v>
      </c>
      <c r="M5" s="418" t="s">
        <v>2</v>
      </c>
      <c r="N5" s="416">
        <v>2014</v>
      </c>
      <c r="O5" s="417"/>
      <c r="P5" s="417">
        <v>2015</v>
      </c>
      <c r="Q5" s="417"/>
      <c r="R5" s="417">
        <v>2016</v>
      </c>
      <c r="S5" s="418" t="s">
        <v>2</v>
      </c>
    </row>
    <row r="6" spans="1:19" ht="14.4" customHeight="1" thickBot="1" x14ac:dyDescent="0.35">
      <c r="A6" s="421" t="s">
        <v>316</v>
      </c>
      <c r="B6" s="419">
        <v>472508</v>
      </c>
      <c r="C6" s="420">
        <v>1</v>
      </c>
      <c r="D6" s="419">
        <v>388752.66000000003</v>
      </c>
      <c r="E6" s="420">
        <v>0.82274302234036256</v>
      </c>
      <c r="F6" s="419">
        <v>404464.66999999993</v>
      </c>
      <c r="G6" s="249">
        <v>0.85599539055423379</v>
      </c>
      <c r="H6" s="419"/>
      <c r="I6" s="420"/>
      <c r="J6" s="419"/>
      <c r="K6" s="420"/>
      <c r="L6" s="419"/>
      <c r="M6" s="249"/>
      <c r="N6" s="419"/>
      <c r="O6" s="420"/>
      <c r="P6" s="419"/>
      <c r="Q6" s="420"/>
      <c r="R6" s="419"/>
      <c r="S6" s="250"/>
    </row>
    <row r="7" spans="1:19" ht="14.4" customHeight="1" thickBot="1" x14ac:dyDescent="0.35"/>
    <row r="8" spans="1:19" ht="14.4" customHeight="1" thickBot="1" x14ac:dyDescent="0.35">
      <c r="A8" s="421" t="s">
        <v>308</v>
      </c>
      <c r="B8" s="419">
        <v>472508</v>
      </c>
      <c r="C8" s="420">
        <v>1</v>
      </c>
      <c r="D8" s="419">
        <v>388752.66000000003</v>
      </c>
      <c r="E8" s="420">
        <v>0.82274302234036256</v>
      </c>
      <c r="F8" s="419">
        <v>404464.66999999993</v>
      </c>
      <c r="G8" s="249">
        <v>0.85599539055423379</v>
      </c>
      <c r="H8" s="419"/>
      <c r="I8" s="420"/>
      <c r="J8" s="419"/>
      <c r="K8" s="420"/>
      <c r="L8" s="419"/>
      <c r="M8" s="249"/>
      <c r="N8" s="419"/>
      <c r="O8" s="420"/>
      <c r="P8" s="419"/>
      <c r="Q8" s="420"/>
      <c r="R8" s="419"/>
      <c r="S8" s="250"/>
    </row>
    <row r="9" spans="1:19" ht="14.4" customHeight="1" x14ac:dyDescent="0.3">
      <c r="A9" s="422" t="s">
        <v>318</v>
      </c>
    </row>
    <row r="10" spans="1:19" ht="14.4" customHeight="1" x14ac:dyDescent="0.3">
      <c r="A10" s="423" t="s">
        <v>319</v>
      </c>
    </row>
    <row r="11" spans="1:19" ht="14.4" customHeight="1" x14ac:dyDescent="0.3">
      <c r="A11" s="422" t="s">
        <v>320</v>
      </c>
    </row>
  </sheetData>
  <mergeCells count="5">
    <mergeCell ref="A1:S1"/>
    <mergeCell ref="A4:A5"/>
    <mergeCell ref="B4:G4"/>
    <mergeCell ref="H4:M4"/>
    <mergeCell ref="N4:S4"/>
  </mergeCells>
  <conditionalFormatting sqref="G4:G1048576">
    <cfRule type="cellIs" dxfId="0" priority="4" stopIfTrue="1" operator="lessThan">
      <formula>0.95</formula>
    </cfRule>
  </conditionalFormatting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{791987AB-EB4E-4323-988C-2CC9543F5F95}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{3D1704E4-2CF0-40FE-8B51-535F514AA804}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{DA7CE90D-FADD-456D-9A84-45478435DA52}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H3 J3 L3 N3 P3 R3 F3 D3 B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91987AB-EB4E-4323-988C-2CC9543F5F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3D1704E4-2CF0-40FE-8B51-535F514AA80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DA7CE90D-FADD-456D-9A84-45478435DA5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11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x14ac:dyDescent="0.3"/>
  <cols>
    <col min="1" max="1" width="46.6640625" style="102" bestFit="1" customWidth="1"/>
    <col min="2" max="4" width="7.77734375" style="176" customWidth="1"/>
    <col min="5" max="7" width="7.77734375" style="78" customWidth="1"/>
    <col min="8" max="16384" width="8.88671875" style="102"/>
  </cols>
  <sheetData>
    <row r="1" spans="1:7" ht="18.600000000000001" customHeight="1" thickBot="1" x14ac:dyDescent="0.4">
      <c r="A1" s="313" t="s">
        <v>324</v>
      </c>
      <c r="B1" s="271"/>
      <c r="C1" s="271"/>
      <c r="D1" s="271"/>
      <c r="E1" s="271"/>
      <c r="F1" s="271"/>
      <c r="G1" s="271"/>
    </row>
    <row r="2" spans="1:7" ht="14.4" customHeight="1" thickBot="1" x14ac:dyDescent="0.35">
      <c r="A2" s="195" t="s">
        <v>199</v>
      </c>
      <c r="B2" s="83"/>
      <c r="C2" s="83"/>
      <c r="D2" s="83"/>
      <c r="E2" s="83"/>
      <c r="F2" s="83"/>
      <c r="G2" s="83"/>
    </row>
    <row r="3" spans="1:7" ht="14.4" customHeight="1" thickBot="1" x14ac:dyDescent="0.35">
      <c r="A3" s="181" t="s">
        <v>101</v>
      </c>
      <c r="B3" s="261">
        <f t="shared" ref="B3:G3" si="0">SUBTOTAL(9,B6:B1048576)</f>
        <v>1030</v>
      </c>
      <c r="C3" s="262">
        <f t="shared" si="0"/>
        <v>871</v>
      </c>
      <c r="D3" s="262">
        <f t="shared" si="0"/>
        <v>888</v>
      </c>
      <c r="E3" s="185">
        <f t="shared" si="0"/>
        <v>472508</v>
      </c>
      <c r="F3" s="183">
        <f t="shared" si="0"/>
        <v>388752.66000000003</v>
      </c>
      <c r="G3" s="263">
        <f t="shared" si="0"/>
        <v>404464.66999999993</v>
      </c>
    </row>
    <row r="4" spans="1:7" ht="14.4" customHeight="1" x14ac:dyDescent="0.3">
      <c r="A4" s="314" t="s">
        <v>102</v>
      </c>
      <c r="B4" s="315" t="s">
        <v>170</v>
      </c>
      <c r="C4" s="316"/>
      <c r="D4" s="316"/>
      <c r="E4" s="318" t="s">
        <v>76</v>
      </c>
      <c r="F4" s="319"/>
      <c r="G4" s="320"/>
    </row>
    <row r="5" spans="1:7" ht="14.4" customHeight="1" thickBot="1" x14ac:dyDescent="0.35">
      <c r="A5" s="415"/>
      <c r="B5" s="416">
        <v>2014</v>
      </c>
      <c r="C5" s="417">
        <v>2015</v>
      </c>
      <c r="D5" s="417">
        <v>2016</v>
      </c>
      <c r="E5" s="416">
        <v>2014</v>
      </c>
      <c r="F5" s="417">
        <v>2015</v>
      </c>
      <c r="G5" s="417">
        <v>2016</v>
      </c>
    </row>
    <row r="6" spans="1:7" ht="14.4" customHeight="1" x14ac:dyDescent="0.3">
      <c r="A6" s="373" t="s">
        <v>321</v>
      </c>
      <c r="B6" s="374">
        <v>1004</v>
      </c>
      <c r="C6" s="374">
        <v>871</v>
      </c>
      <c r="D6" s="374">
        <v>888</v>
      </c>
      <c r="E6" s="425">
        <v>472508</v>
      </c>
      <c r="F6" s="425">
        <v>388752.66000000003</v>
      </c>
      <c r="G6" s="426">
        <v>404464.66999999993</v>
      </c>
    </row>
    <row r="7" spans="1:7" ht="14.4" customHeight="1" x14ac:dyDescent="0.3">
      <c r="A7" s="434" t="s">
        <v>322</v>
      </c>
      <c r="B7" s="428">
        <v>3</v>
      </c>
      <c r="C7" s="428"/>
      <c r="D7" s="428"/>
      <c r="E7" s="429">
        <v>0</v>
      </c>
      <c r="F7" s="429"/>
      <c r="G7" s="430"/>
    </row>
    <row r="8" spans="1:7" ht="14.4" customHeight="1" thickBot="1" x14ac:dyDescent="0.35">
      <c r="A8" s="435" t="s">
        <v>323</v>
      </c>
      <c r="B8" s="377">
        <v>23</v>
      </c>
      <c r="C8" s="377"/>
      <c r="D8" s="377"/>
      <c r="E8" s="432">
        <v>0</v>
      </c>
      <c r="F8" s="432"/>
      <c r="G8" s="433"/>
    </row>
    <row r="9" spans="1:7" ht="14.4" customHeight="1" x14ac:dyDescent="0.3">
      <c r="A9" s="422" t="s">
        <v>318</v>
      </c>
    </row>
    <row r="10" spans="1:7" ht="14.4" customHeight="1" x14ac:dyDescent="0.3">
      <c r="A10" s="423" t="s">
        <v>319</v>
      </c>
    </row>
    <row r="11" spans="1:7" ht="14.4" customHeight="1" x14ac:dyDescent="0.3">
      <c r="A11" s="422" t="s">
        <v>320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pageSetUpPr fitToPage="1"/>
  </sheetPr>
  <dimension ref="A1:Q14"/>
  <sheetViews>
    <sheetView showGridLines="0" showRowColHeaders="0" workbookViewId="0">
      <pane ySplit="5" topLeftCell="A6" activePane="bottomLeft" state="frozen"/>
      <selection activeCell="U26" sqref="U26"/>
      <selection pane="bottomLeft" sqref="A1:Q1"/>
    </sheetView>
  </sheetViews>
  <sheetFormatPr defaultRowHeight="14.4" customHeight="1" x14ac:dyDescent="0.3"/>
  <cols>
    <col min="1" max="1" width="8.6640625" style="102" bestFit="1" customWidth="1"/>
    <col min="2" max="2" width="6.109375" style="102" customWidth="1"/>
    <col min="3" max="3" width="2.109375" style="102" bestFit="1" customWidth="1"/>
    <col min="4" max="4" width="8" style="102" customWidth="1"/>
    <col min="5" max="5" width="50.88671875" style="102" bestFit="1" customWidth="1"/>
    <col min="6" max="7" width="11.109375" style="176" customWidth="1"/>
    <col min="8" max="9" width="9.33203125" style="102" hidden="1" customWidth="1"/>
    <col min="10" max="11" width="11.109375" style="176" customWidth="1"/>
    <col min="12" max="13" width="9.33203125" style="102" hidden="1" customWidth="1"/>
    <col min="14" max="15" width="11.109375" style="176" customWidth="1"/>
    <col min="16" max="16" width="11.109375" style="179" customWidth="1"/>
    <col min="17" max="17" width="11.109375" style="176" customWidth="1"/>
    <col min="18" max="16384" width="8.88671875" style="102"/>
  </cols>
  <sheetData>
    <row r="1" spans="1:17" ht="18.600000000000001" customHeight="1" thickBot="1" x14ac:dyDescent="0.4">
      <c r="A1" s="271" t="s">
        <v>345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  <c r="L1" s="271"/>
      <c r="M1" s="271"/>
      <c r="N1" s="271"/>
      <c r="O1" s="271"/>
      <c r="P1" s="271"/>
      <c r="Q1" s="271"/>
    </row>
    <row r="2" spans="1:17" ht="14.4" customHeight="1" thickBot="1" x14ac:dyDescent="0.35">
      <c r="A2" s="195" t="s">
        <v>199</v>
      </c>
      <c r="B2" s="266"/>
      <c r="C2" s="103"/>
      <c r="D2" s="260"/>
      <c r="E2" s="103"/>
      <c r="F2" s="189"/>
      <c r="G2" s="189"/>
      <c r="H2" s="103"/>
      <c r="I2" s="103"/>
      <c r="J2" s="189"/>
      <c r="K2" s="189"/>
      <c r="L2" s="103"/>
      <c r="M2" s="103"/>
      <c r="N2" s="189"/>
      <c r="O2" s="189"/>
      <c r="P2" s="190"/>
      <c r="Q2" s="189"/>
    </row>
    <row r="3" spans="1:17" ht="14.4" customHeight="1" thickBot="1" x14ac:dyDescent="0.35">
      <c r="E3" s="62" t="s">
        <v>101</v>
      </c>
      <c r="F3" s="74">
        <f t="shared" ref="F3:O3" si="0">SUBTOTAL(9,F6:F1048576)</f>
        <v>1030</v>
      </c>
      <c r="G3" s="75">
        <f t="shared" si="0"/>
        <v>472508</v>
      </c>
      <c r="H3" s="57"/>
      <c r="I3" s="57"/>
      <c r="J3" s="75">
        <f t="shared" si="0"/>
        <v>871</v>
      </c>
      <c r="K3" s="75">
        <f t="shared" si="0"/>
        <v>388752.66</v>
      </c>
      <c r="L3" s="57"/>
      <c r="M3" s="57"/>
      <c r="N3" s="75">
        <f t="shared" si="0"/>
        <v>888</v>
      </c>
      <c r="O3" s="75">
        <f t="shared" si="0"/>
        <v>404464.67</v>
      </c>
      <c r="P3" s="58">
        <f>IF(G3=0,0,O3/G3)</f>
        <v>0.85599539055423401</v>
      </c>
      <c r="Q3" s="76">
        <f>IF(N3=0,0,O3/N3)</f>
        <v>455.47823198198199</v>
      </c>
    </row>
    <row r="4" spans="1:17" ht="14.4" customHeight="1" x14ac:dyDescent="0.3">
      <c r="A4" s="322" t="s">
        <v>72</v>
      </c>
      <c r="B4" s="329" t="s">
        <v>0</v>
      </c>
      <c r="C4" s="323" t="s">
        <v>73</v>
      </c>
      <c r="D4" s="328" t="s">
        <v>48</v>
      </c>
      <c r="E4" s="324" t="s">
        <v>47</v>
      </c>
      <c r="F4" s="325">
        <v>2014</v>
      </c>
      <c r="G4" s="326"/>
      <c r="H4" s="73"/>
      <c r="I4" s="73"/>
      <c r="J4" s="325">
        <v>2015</v>
      </c>
      <c r="K4" s="326"/>
      <c r="L4" s="73"/>
      <c r="M4" s="73"/>
      <c r="N4" s="325">
        <v>2016</v>
      </c>
      <c r="O4" s="326"/>
      <c r="P4" s="327" t="s">
        <v>2</v>
      </c>
      <c r="Q4" s="321" t="s">
        <v>75</v>
      </c>
    </row>
    <row r="5" spans="1:17" ht="14.4" customHeight="1" thickBot="1" x14ac:dyDescent="0.35">
      <c r="A5" s="436"/>
      <c r="B5" s="437"/>
      <c r="C5" s="438"/>
      <c r="D5" s="439"/>
      <c r="E5" s="440"/>
      <c r="F5" s="441" t="s">
        <v>49</v>
      </c>
      <c r="G5" s="442" t="s">
        <v>5</v>
      </c>
      <c r="H5" s="443"/>
      <c r="I5" s="443"/>
      <c r="J5" s="441" t="s">
        <v>49</v>
      </c>
      <c r="K5" s="442" t="s">
        <v>5</v>
      </c>
      <c r="L5" s="443"/>
      <c r="M5" s="443"/>
      <c r="N5" s="441" t="s">
        <v>49</v>
      </c>
      <c r="O5" s="442" t="s">
        <v>5</v>
      </c>
      <c r="P5" s="444"/>
      <c r="Q5" s="445"/>
    </row>
    <row r="6" spans="1:17" ht="14.4" customHeight="1" x14ac:dyDescent="0.3">
      <c r="A6" s="424" t="s">
        <v>325</v>
      </c>
      <c r="B6" s="446" t="s">
        <v>308</v>
      </c>
      <c r="C6" s="446" t="s">
        <v>326</v>
      </c>
      <c r="D6" s="446" t="s">
        <v>327</v>
      </c>
      <c r="E6" s="446" t="s">
        <v>328</v>
      </c>
      <c r="F6" s="374"/>
      <c r="G6" s="374"/>
      <c r="H6" s="446"/>
      <c r="I6" s="446"/>
      <c r="J6" s="374">
        <v>3</v>
      </c>
      <c r="K6" s="374">
        <v>105</v>
      </c>
      <c r="L6" s="446"/>
      <c r="M6" s="446">
        <v>35</v>
      </c>
      <c r="N6" s="374"/>
      <c r="O6" s="374"/>
      <c r="P6" s="375"/>
      <c r="Q6" s="386"/>
    </row>
    <row r="7" spans="1:17" ht="14.4" customHeight="1" x14ac:dyDescent="0.3">
      <c r="A7" s="427" t="s">
        <v>325</v>
      </c>
      <c r="B7" s="447" t="s">
        <v>308</v>
      </c>
      <c r="C7" s="447" t="s">
        <v>326</v>
      </c>
      <c r="D7" s="447" t="s">
        <v>329</v>
      </c>
      <c r="E7" s="447" t="s">
        <v>330</v>
      </c>
      <c r="F7" s="428">
        <v>51</v>
      </c>
      <c r="G7" s="428">
        <v>13536</v>
      </c>
      <c r="H7" s="447">
        <v>1</v>
      </c>
      <c r="I7" s="447">
        <v>265.41176470588238</v>
      </c>
      <c r="J7" s="428">
        <v>93</v>
      </c>
      <c r="K7" s="428">
        <v>24924</v>
      </c>
      <c r="L7" s="447">
        <v>1.8413120567375887</v>
      </c>
      <c r="M7" s="447">
        <v>268</v>
      </c>
      <c r="N7" s="428">
        <v>129</v>
      </c>
      <c r="O7" s="428">
        <v>36765</v>
      </c>
      <c r="P7" s="448">
        <v>2.7160904255319149</v>
      </c>
      <c r="Q7" s="449">
        <v>285</v>
      </c>
    </row>
    <row r="8" spans="1:17" ht="14.4" customHeight="1" x14ac:dyDescent="0.3">
      <c r="A8" s="427" t="s">
        <v>325</v>
      </c>
      <c r="B8" s="447" t="s">
        <v>308</v>
      </c>
      <c r="C8" s="447" t="s">
        <v>326</v>
      </c>
      <c r="D8" s="447" t="s">
        <v>331</v>
      </c>
      <c r="E8" s="447" t="s">
        <v>332</v>
      </c>
      <c r="F8" s="428">
        <v>700</v>
      </c>
      <c r="G8" s="428">
        <v>360244</v>
      </c>
      <c r="H8" s="447">
        <v>1</v>
      </c>
      <c r="I8" s="447">
        <v>514.63428571428574</v>
      </c>
      <c r="J8" s="428">
        <v>508</v>
      </c>
      <c r="K8" s="428">
        <v>263144</v>
      </c>
      <c r="L8" s="447">
        <v>0.73046046568436951</v>
      </c>
      <c r="M8" s="447">
        <v>518</v>
      </c>
      <c r="N8" s="428">
        <v>452</v>
      </c>
      <c r="O8" s="428">
        <v>249956</v>
      </c>
      <c r="P8" s="448">
        <v>0.69385194479297363</v>
      </c>
      <c r="Q8" s="449">
        <v>553</v>
      </c>
    </row>
    <row r="9" spans="1:17" ht="14.4" customHeight="1" x14ac:dyDescent="0.3">
      <c r="A9" s="427" t="s">
        <v>325</v>
      </c>
      <c r="B9" s="447" t="s">
        <v>308</v>
      </c>
      <c r="C9" s="447" t="s">
        <v>326</v>
      </c>
      <c r="D9" s="447" t="s">
        <v>333</v>
      </c>
      <c r="E9" s="447" t="s">
        <v>334</v>
      </c>
      <c r="F9" s="428">
        <v>2</v>
      </c>
      <c r="G9" s="428">
        <v>0</v>
      </c>
      <c r="H9" s="447"/>
      <c r="I9" s="447">
        <v>0</v>
      </c>
      <c r="J9" s="428"/>
      <c r="K9" s="428"/>
      <c r="L9" s="447"/>
      <c r="M9" s="447"/>
      <c r="N9" s="428"/>
      <c r="O9" s="428"/>
      <c r="P9" s="448"/>
      <c r="Q9" s="449"/>
    </row>
    <row r="10" spans="1:17" ht="14.4" customHeight="1" x14ac:dyDescent="0.3">
      <c r="A10" s="427" t="s">
        <v>325</v>
      </c>
      <c r="B10" s="447" t="s">
        <v>308</v>
      </c>
      <c r="C10" s="447" t="s">
        <v>326</v>
      </c>
      <c r="D10" s="447" t="s">
        <v>335</v>
      </c>
      <c r="E10" s="447" t="s">
        <v>336</v>
      </c>
      <c r="F10" s="428">
        <v>25</v>
      </c>
      <c r="G10" s="428">
        <v>0</v>
      </c>
      <c r="H10" s="447"/>
      <c r="I10" s="447">
        <v>0</v>
      </c>
      <c r="J10" s="428">
        <v>7</v>
      </c>
      <c r="K10" s="428">
        <v>66.66</v>
      </c>
      <c r="L10" s="447"/>
      <c r="M10" s="447">
        <v>9.5228571428571431</v>
      </c>
      <c r="N10" s="428">
        <v>26</v>
      </c>
      <c r="O10" s="428">
        <v>866.66999999999985</v>
      </c>
      <c r="P10" s="448"/>
      <c r="Q10" s="449">
        <v>33.333461538461535</v>
      </c>
    </row>
    <row r="11" spans="1:17" ht="14.4" customHeight="1" x14ac:dyDescent="0.3">
      <c r="A11" s="427" t="s">
        <v>325</v>
      </c>
      <c r="B11" s="447" t="s">
        <v>308</v>
      </c>
      <c r="C11" s="447" t="s">
        <v>326</v>
      </c>
      <c r="D11" s="447" t="s">
        <v>337</v>
      </c>
      <c r="E11" s="447" t="s">
        <v>338</v>
      </c>
      <c r="F11" s="428">
        <v>1</v>
      </c>
      <c r="G11" s="428">
        <v>209</v>
      </c>
      <c r="H11" s="447">
        <v>1</v>
      </c>
      <c r="I11" s="447">
        <v>209</v>
      </c>
      <c r="J11" s="428"/>
      <c r="K11" s="428"/>
      <c r="L11" s="447"/>
      <c r="M11" s="447"/>
      <c r="N11" s="428"/>
      <c r="O11" s="428"/>
      <c r="P11" s="448"/>
      <c r="Q11" s="449"/>
    </row>
    <row r="12" spans="1:17" ht="14.4" customHeight="1" x14ac:dyDescent="0.3">
      <c r="A12" s="427" t="s">
        <v>325</v>
      </c>
      <c r="B12" s="447" t="s">
        <v>308</v>
      </c>
      <c r="C12" s="447" t="s">
        <v>326</v>
      </c>
      <c r="D12" s="447" t="s">
        <v>339</v>
      </c>
      <c r="E12" s="447" t="s">
        <v>340</v>
      </c>
      <c r="F12" s="428">
        <v>29</v>
      </c>
      <c r="G12" s="428">
        <v>10059</v>
      </c>
      <c r="H12" s="447">
        <v>1</v>
      </c>
      <c r="I12" s="447">
        <v>346.86206896551727</v>
      </c>
      <c r="J12" s="428">
        <v>27</v>
      </c>
      <c r="K12" s="428">
        <v>9450</v>
      </c>
      <c r="L12" s="447">
        <v>0.93945720250521925</v>
      </c>
      <c r="M12" s="447">
        <v>350</v>
      </c>
      <c r="N12" s="428">
        <v>41</v>
      </c>
      <c r="O12" s="428">
        <v>15252</v>
      </c>
      <c r="P12" s="448">
        <v>1.516254100805249</v>
      </c>
      <c r="Q12" s="449">
        <v>372</v>
      </c>
    </row>
    <row r="13" spans="1:17" ht="14.4" customHeight="1" x14ac:dyDescent="0.3">
      <c r="A13" s="427" t="s">
        <v>325</v>
      </c>
      <c r="B13" s="447" t="s">
        <v>308</v>
      </c>
      <c r="C13" s="447" t="s">
        <v>326</v>
      </c>
      <c r="D13" s="447" t="s">
        <v>341</v>
      </c>
      <c r="E13" s="447" t="s">
        <v>342</v>
      </c>
      <c r="F13" s="428">
        <v>222</v>
      </c>
      <c r="G13" s="428">
        <v>88460</v>
      </c>
      <c r="H13" s="447">
        <v>1</v>
      </c>
      <c r="I13" s="447">
        <v>398.46846846846847</v>
      </c>
      <c r="J13" s="428">
        <v>214</v>
      </c>
      <c r="K13" s="428">
        <v>86028</v>
      </c>
      <c r="L13" s="447">
        <v>0.9725073479538775</v>
      </c>
      <c r="M13" s="447">
        <v>402</v>
      </c>
      <c r="N13" s="428">
        <v>219</v>
      </c>
      <c r="O13" s="428">
        <v>95703</v>
      </c>
      <c r="P13" s="448">
        <v>1.081878815283744</v>
      </c>
      <c r="Q13" s="449">
        <v>437</v>
      </c>
    </row>
    <row r="14" spans="1:17" ht="14.4" customHeight="1" thickBot="1" x14ac:dyDescent="0.35">
      <c r="A14" s="431" t="s">
        <v>325</v>
      </c>
      <c r="B14" s="450" t="s">
        <v>308</v>
      </c>
      <c r="C14" s="450" t="s">
        <v>326</v>
      </c>
      <c r="D14" s="450" t="s">
        <v>343</v>
      </c>
      <c r="E14" s="450" t="s">
        <v>344</v>
      </c>
      <c r="F14" s="377"/>
      <c r="G14" s="377"/>
      <c r="H14" s="450"/>
      <c r="I14" s="450"/>
      <c r="J14" s="377">
        <v>19</v>
      </c>
      <c r="K14" s="377">
        <v>5035</v>
      </c>
      <c r="L14" s="450"/>
      <c r="M14" s="450">
        <v>265</v>
      </c>
      <c r="N14" s="377">
        <v>21</v>
      </c>
      <c r="O14" s="377">
        <v>5922</v>
      </c>
      <c r="P14" s="378"/>
      <c r="Q14" s="387">
        <v>282</v>
      </c>
    </row>
  </sheetData>
  <autoFilter ref="A5:Q5"/>
  <mergeCells count="11">
    <mergeCell ref="Q4:Q5"/>
    <mergeCell ref="A1:Q1"/>
    <mergeCell ref="A4:A5"/>
    <mergeCell ref="C4:C5"/>
    <mergeCell ref="E4:E5"/>
    <mergeCell ref="F4:G4"/>
    <mergeCell ref="J4:K4"/>
    <mergeCell ref="N4:O4"/>
    <mergeCell ref="P4:P5"/>
    <mergeCell ref="D4:D5"/>
    <mergeCell ref="B4:B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pageSetUpPr fitToPage="1"/>
  </sheetPr>
  <dimension ref="A1:S19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x14ac:dyDescent="0.3"/>
  <cols>
    <col min="1" max="1" width="46.6640625" style="102" bestFit="1" customWidth="1"/>
    <col min="2" max="2" width="7.77734375" style="78" customWidth="1"/>
    <col min="3" max="3" width="0.109375" style="102" hidden="1" customWidth="1"/>
    <col min="4" max="4" width="7.77734375" style="78" customWidth="1"/>
    <col min="5" max="5" width="5.44140625" style="102" hidden="1" customWidth="1"/>
    <col min="6" max="6" width="7.77734375" style="78" customWidth="1"/>
    <col min="7" max="7" width="7.77734375" style="179" customWidth="1"/>
    <col min="8" max="8" width="7.77734375" style="78" customWidth="1"/>
    <col min="9" max="9" width="5.44140625" style="102" hidden="1" customWidth="1"/>
    <col min="10" max="10" width="7.77734375" style="78" customWidth="1"/>
    <col min="11" max="11" width="5.44140625" style="102" hidden="1" customWidth="1"/>
    <col min="12" max="12" width="7.77734375" style="78" customWidth="1"/>
    <col min="13" max="13" width="7.77734375" style="179" customWidth="1"/>
    <col min="14" max="14" width="7.77734375" style="78" customWidth="1"/>
    <col min="15" max="15" width="5" style="102" hidden="1" customWidth="1"/>
    <col min="16" max="16" width="7.77734375" style="78" customWidth="1"/>
    <col min="17" max="17" width="5" style="102" hidden="1" customWidth="1"/>
    <col min="18" max="18" width="7.77734375" style="78" customWidth="1"/>
    <col min="19" max="19" width="7.77734375" style="179" customWidth="1"/>
    <col min="20" max="16384" width="8.88671875" style="102"/>
  </cols>
  <sheetData>
    <row r="1" spans="1:19" ht="18.600000000000001" customHeight="1" thickBot="1" x14ac:dyDescent="0.4">
      <c r="A1" s="280" t="s">
        <v>100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  <c r="L1" s="271"/>
      <c r="M1" s="271"/>
      <c r="N1" s="271"/>
      <c r="O1" s="271"/>
      <c r="P1" s="271"/>
      <c r="Q1" s="271"/>
      <c r="R1" s="271"/>
      <c r="S1" s="271"/>
    </row>
    <row r="2" spans="1:19" ht="14.4" customHeight="1" thickBot="1" x14ac:dyDescent="0.35">
      <c r="A2" s="195" t="s">
        <v>199</v>
      </c>
      <c r="B2" s="187"/>
      <c r="C2" s="83"/>
      <c r="D2" s="187"/>
      <c r="E2" s="83"/>
      <c r="F2" s="187"/>
      <c r="G2" s="188"/>
      <c r="H2" s="187"/>
      <c r="I2" s="83"/>
      <c r="J2" s="187"/>
      <c r="K2" s="83"/>
      <c r="L2" s="187"/>
      <c r="M2" s="188"/>
      <c r="N2" s="187"/>
      <c r="O2" s="83"/>
      <c r="P2" s="187"/>
      <c r="Q2" s="83"/>
      <c r="R2" s="187"/>
      <c r="S2" s="188"/>
    </row>
    <row r="3" spans="1:19" ht="14.4" customHeight="1" thickBot="1" x14ac:dyDescent="0.35">
      <c r="A3" s="181" t="s">
        <v>101</v>
      </c>
      <c r="B3" s="182">
        <f>SUBTOTAL(9,B6:B1048576)</f>
        <v>490329</v>
      </c>
      <c r="C3" s="183">
        <f t="shared" ref="C3:R3" si="0">SUBTOTAL(9,C6:C1048576)</f>
        <v>8</v>
      </c>
      <c r="D3" s="183">
        <f t="shared" si="0"/>
        <v>770532.98</v>
      </c>
      <c r="E3" s="183">
        <f t="shared" si="0"/>
        <v>9.9539886670118243</v>
      </c>
      <c r="F3" s="183">
        <f t="shared" si="0"/>
        <v>846073.66</v>
      </c>
      <c r="G3" s="186">
        <f>IF(B3&lt;&gt;0,F3/B3,"")</f>
        <v>1.7255223737531331</v>
      </c>
      <c r="H3" s="182">
        <f t="shared" si="0"/>
        <v>0</v>
      </c>
      <c r="I3" s="183">
        <f t="shared" si="0"/>
        <v>0</v>
      </c>
      <c r="J3" s="183">
        <f t="shared" si="0"/>
        <v>0</v>
      </c>
      <c r="K3" s="183">
        <f t="shared" si="0"/>
        <v>0</v>
      </c>
      <c r="L3" s="183">
        <f t="shared" si="0"/>
        <v>0</v>
      </c>
      <c r="M3" s="184" t="str">
        <f>IF(H3&lt;&gt;0,L3/H3,"")</f>
        <v/>
      </c>
      <c r="N3" s="185">
        <f t="shared" si="0"/>
        <v>0</v>
      </c>
      <c r="O3" s="183">
        <f t="shared" si="0"/>
        <v>0</v>
      </c>
      <c r="P3" s="183">
        <f t="shared" si="0"/>
        <v>0</v>
      </c>
      <c r="Q3" s="183">
        <f t="shared" si="0"/>
        <v>0</v>
      </c>
      <c r="R3" s="183">
        <f t="shared" si="0"/>
        <v>0</v>
      </c>
      <c r="S3" s="184" t="str">
        <f>IF(N3&lt;&gt;0,R3/N3,"")</f>
        <v/>
      </c>
    </row>
    <row r="4" spans="1:19" ht="14.4" customHeight="1" x14ac:dyDescent="0.3">
      <c r="A4" s="314" t="s">
        <v>82</v>
      </c>
      <c r="B4" s="315" t="s">
        <v>76</v>
      </c>
      <c r="C4" s="316"/>
      <c r="D4" s="316"/>
      <c r="E4" s="316"/>
      <c r="F4" s="316"/>
      <c r="G4" s="317"/>
      <c r="H4" s="315" t="s">
        <v>77</v>
      </c>
      <c r="I4" s="316"/>
      <c r="J4" s="316"/>
      <c r="K4" s="316"/>
      <c r="L4" s="316"/>
      <c r="M4" s="317"/>
      <c r="N4" s="315" t="s">
        <v>78</v>
      </c>
      <c r="O4" s="316"/>
      <c r="P4" s="316"/>
      <c r="Q4" s="316"/>
      <c r="R4" s="316"/>
      <c r="S4" s="317"/>
    </row>
    <row r="5" spans="1:19" ht="14.4" customHeight="1" thickBot="1" x14ac:dyDescent="0.35">
      <c r="A5" s="415"/>
      <c r="B5" s="416">
        <v>2014</v>
      </c>
      <c r="C5" s="417"/>
      <c r="D5" s="417">
        <v>2015</v>
      </c>
      <c r="E5" s="417"/>
      <c r="F5" s="417">
        <v>2016</v>
      </c>
      <c r="G5" s="418" t="s">
        <v>2</v>
      </c>
      <c r="H5" s="416">
        <v>2014</v>
      </c>
      <c r="I5" s="417"/>
      <c r="J5" s="417">
        <v>2015</v>
      </c>
      <c r="K5" s="417"/>
      <c r="L5" s="417">
        <v>2016</v>
      </c>
      <c r="M5" s="418" t="s">
        <v>2</v>
      </c>
      <c r="N5" s="416">
        <v>2014</v>
      </c>
      <c r="O5" s="417"/>
      <c r="P5" s="417">
        <v>2015</v>
      </c>
      <c r="Q5" s="417"/>
      <c r="R5" s="417">
        <v>2016</v>
      </c>
      <c r="S5" s="418" t="s">
        <v>2</v>
      </c>
    </row>
    <row r="6" spans="1:19" ht="14.4" customHeight="1" x14ac:dyDescent="0.3">
      <c r="A6" s="373" t="s">
        <v>346</v>
      </c>
      <c r="B6" s="425">
        <v>6249</v>
      </c>
      <c r="C6" s="446">
        <v>1</v>
      </c>
      <c r="D6" s="425">
        <v>5530</v>
      </c>
      <c r="E6" s="446">
        <v>0.88494159065450473</v>
      </c>
      <c r="F6" s="425">
        <v>553</v>
      </c>
      <c r="G6" s="375">
        <v>8.8494159065450467E-2</v>
      </c>
      <c r="H6" s="425"/>
      <c r="I6" s="446"/>
      <c r="J6" s="425"/>
      <c r="K6" s="446"/>
      <c r="L6" s="425"/>
      <c r="M6" s="375"/>
      <c r="N6" s="425"/>
      <c r="O6" s="446"/>
      <c r="P6" s="425"/>
      <c r="Q6" s="446"/>
      <c r="R6" s="425"/>
      <c r="S6" s="376"/>
    </row>
    <row r="7" spans="1:19" ht="14.4" customHeight="1" x14ac:dyDescent="0.3">
      <c r="A7" s="434" t="s">
        <v>347</v>
      </c>
      <c r="B7" s="429">
        <v>1032</v>
      </c>
      <c r="C7" s="447">
        <v>1</v>
      </c>
      <c r="D7" s="429">
        <v>3108</v>
      </c>
      <c r="E7" s="447">
        <v>3.0116279069767442</v>
      </c>
      <c r="F7" s="429"/>
      <c r="G7" s="448"/>
      <c r="H7" s="429"/>
      <c r="I7" s="447"/>
      <c r="J7" s="429"/>
      <c r="K7" s="447"/>
      <c r="L7" s="429"/>
      <c r="M7" s="448"/>
      <c r="N7" s="429"/>
      <c r="O7" s="447"/>
      <c r="P7" s="429"/>
      <c r="Q7" s="447"/>
      <c r="R7" s="429"/>
      <c r="S7" s="451"/>
    </row>
    <row r="8" spans="1:19" ht="14.4" customHeight="1" x14ac:dyDescent="0.3">
      <c r="A8" s="434" t="s">
        <v>348</v>
      </c>
      <c r="B8" s="429"/>
      <c r="C8" s="447"/>
      <c r="D8" s="429">
        <v>2422</v>
      </c>
      <c r="E8" s="447"/>
      <c r="F8" s="429"/>
      <c r="G8" s="448"/>
      <c r="H8" s="429"/>
      <c r="I8" s="447"/>
      <c r="J8" s="429"/>
      <c r="K8" s="447"/>
      <c r="L8" s="429"/>
      <c r="M8" s="448"/>
      <c r="N8" s="429"/>
      <c r="O8" s="447"/>
      <c r="P8" s="429"/>
      <c r="Q8" s="447"/>
      <c r="R8" s="429"/>
      <c r="S8" s="451"/>
    </row>
    <row r="9" spans="1:19" ht="14.4" customHeight="1" x14ac:dyDescent="0.3">
      <c r="A9" s="434" t="s">
        <v>349</v>
      </c>
      <c r="B9" s="429"/>
      <c r="C9" s="447"/>
      <c r="D9" s="429"/>
      <c r="E9" s="447"/>
      <c r="F9" s="429">
        <v>553</v>
      </c>
      <c r="G9" s="448"/>
      <c r="H9" s="429"/>
      <c r="I9" s="447"/>
      <c r="J9" s="429"/>
      <c r="K9" s="447"/>
      <c r="L9" s="429"/>
      <c r="M9" s="448"/>
      <c r="N9" s="429"/>
      <c r="O9" s="447"/>
      <c r="P9" s="429"/>
      <c r="Q9" s="447"/>
      <c r="R9" s="429"/>
      <c r="S9" s="451"/>
    </row>
    <row r="10" spans="1:19" ht="14.4" customHeight="1" x14ac:dyDescent="0.3">
      <c r="A10" s="434" t="s">
        <v>350</v>
      </c>
      <c r="B10" s="429">
        <v>7596</v>
      </c>
      <c r="C10" s="447">
        <v>1</v>
      </c>
      <c r="D10" s="429">
        <v>6330</v>
      </c>
      <c r="E10" s="447">
        <v>0.83333333333333337</v>
      </c>
      <c r="F10" s="429">
        <v>15570.67</v>
      </c>
      <c r="G10" s="448">
        <v>2.0498512374934177</v>
      </c>
      <c r="H10" s="429"/>
      <c r="I10" s="447"/>
      <c r="J10" s="429"/>
      <c r="K10" s="447"/>
      <c r="L10" s="429"/>
      <c r="M10" s="448"/>
      <c r="N10" s="429"/>
      <c r="O10" s="447"/>
      <c r="P10" s="429"/>
      <c r="Q10" s="447"/>
      <c r="R10" s="429"/>
      <c r="S10" s="451"/>
    </row>
    <row r="11" spans="1:19" ht="14.4" customHeight="1" x14ac:dyDescent="0.3">
      <c r="A11" s="434" t="s">
        <v>351</v>
      </c>
      <c r="B11" s="429"/>
      <c r="C11" s="447"/>
      <c r="D11" s="429">
        <v>350</v>
      </c>
      <c r="E11" s="447"/>
      <c r="F11" s="429"/>
      <c r="G11" s="448"/>
      <c r="H11" s="429"/>
      <c r="I11" s="447"/>
      <c r="J11" s="429"/>
      <c r="K11" s="447"/>
      <c r="L11" s="429"/>
      <c r="M11" s="448"/>
      <c r="N11" s="429"/>
      <c r="O11" s="447"/>
      <c r="P11" s="429"/>
      <c r="Q11" s="447"/>
      <c r="R11" s="429"/>
      <c r="S11" s="451"/>
    </row>
    <row r="12" spans="1:19" ht="14.4" customHeight="1" x14ac:dyDescent="0.3">
      <c r="A12" s="434" t="s">
        <v>352</v>
      </c>
      <c r="B12" s="429"/>
      <c r="C12" s="447"/>
      <c r="D12" s="429">
        <v>4494</v>
      </c>
      <c r="E12" s="447"/>
      <c r="F12" s="429"/>
      <c r="G12" s="448"/>
      <c r="H12" s="429"/>
      <c r="I12" s="447"/>
      <c r="J12" s="429"/>
      <c r="K12" s="447"/>
      <c r="L12" s="429"/>
      <c r="M12" s="448"/>
      <c r="N12" s="429"/>
      <c r="O12" s="447"/>
      <c r="P12" s="429"/>
      <c r="Q12" s="447"/>
      <c r="R12" s="429"/>
      <c r="S12" s="451"/>
    </row>
    <row r="13" spans="1:19" ht="14.4" customHeight="1" x14ac:dyDescent="0.3">
      <c r="A13" s="434" t="s">
        <v>353</v>
      </c>
      <c r="B13" s="429">
        <v>217645</v>
      </c>
      <c r="C13" s="447">
        <v>1</v>
      </c>
      <c r="D13" s="429">
        <v>402302.33</v>
      </c>
      <c r="E13" s="447">
        <v>1.8484335959934757</v>
      </c>
      <c r="F13" s="429">
        <v>360073.66000000003</v>
      </c>
      <c r="G13" s="448">
        <v>1.6544081416986378</v>
      </c>
      <c r="H13" s="429"/>
      <c r="I13" s="447"/>
      <c r="J13" s="429"/>
      <c r="K13" s="447"/>
      <c r="L13" s="429"/>
      <c r="M13" s="448"/>
      <c r="N13" s="429"/>
      <c r="O13" s="447"/>
      <c r="P13" s="429"/>
      <c r="Q13" s="447"/>
      <c r="R13" s="429"/>
      <c r="S13" s="451"/>
    </row>
    <row r="14" spans="1:19" ht="14.4" customHeight="1" x14ac:dyDescent="0.3">
      <c r="A14" s="434" t="s">
        <v>354</v>
      </c>
      <c r="B14" s="429">
        <v>5389</v>
      </c>
      <c r="C14" s="447">
        <v>1</v>
      </c>
      <c r="D14" s="429">
        <v>3205</v>
      </c>
      <c r="E14" s="447">
        <v>0.59473000556689548</v>
      </c>
      <c r="F14" s="429">
        <v>2584</v>
      </c>
      <c r="G14" s="448">
        <v>0.47949526813880128</v>
      </c>
      <c r="H14" s="429"/>
      <c r="I14" s="447"/>
      <c r="J14" s="429"/>
      <c r="K14" s="447"/>
      <c r="L14" s="429"/>
      <c r="M14" s="448"/>
      <c r="N14" s="429"/>
      <c r="O14" s="447"/>
      <c r="P14" s="429"/>
      <c r="Q14" s="447"/>
      <c r="R14" s="429"/>
      <c r="S14" s="451"/>
    </row>
    <row r="15" spans="1:19" ht="14.4" customHeight="1" x14ac:dyDescent="0.3">
      <c r="A15" s="434" t="s">
        <v>355</v>
      </c>
      <c r="B15" s="429">
        <v>127047</v>
      </c>
      <c r="C15" s="447">
        <v>1</v>
      </c>
      <c r="D15" s="429">
        <v>190044.66</v>
      </c>
      <c r="E15" s="447">
        <v>1.4958610592930175</v>
      </c>
      <c r="F15" s="429">
        <v>251087.33</v>
      </c>
      <c r="G15" s="448">
        <v>1.9763341912835406</v>
      </c>
      <c r="H15" s="429"/>
      <c r="I15" s="447"/>
      <c r="J15" s="429"/>
      <c r="K15" s="447"/>
      <c r="L15" s="429"/>
      <c r="M15" s="448"/>
      <c r="N15" s="429"/>
      <c r="O15" s="447"/>
      <c r="P15" s="429"/>
      <c r="Q15" s="447"/>
      <c r="R15" s="429"/>
      <c r="S15" s="451"/>
    </row>
    <row r="16" spans="1:19" ht="14.4" customHeight="1" x14ac:dyDescent="0.3">
      <c r="A16" s="434" t="s">
        <v>356</v>
      </c>
      <c r="B16" s="429">
        <v>114262</v>
      </c>
      <c r="C16" s="447">
        <v>1</v>
      </c>
      <c r="D16" s="429">
        <v>146833.66</v>
      </c>
      <c r="E16" s="447">
        <v>1.2850611751938528</v>
      </c>
      <c r="F16" s="429">
        <v>211962</v>
      </c>
      <c r="G16" s="448">
        <v>1.8550524233778509</v>
      </c>
      <c r="H16" s="429"/>
      <c r="I16" s="447"/>
      <c r="J16" s="429"/>
      <c r="K16" s="447"/>
      <c r="L16" s="429"/>
      <c r="M16" s="448"/>
      <c r="N16" s="429"/>
      <c r="O16" s="447"/>
      <c r="P16" s="429"/>
      <c r="Q16" s="447"/>
      <c r="R16" s="429"/>
      <c r="S16" s="451"/>
    </row>
    <row r="17" spans="1:19" ht="14.4" customHeight="1" x14ac:dyDescent="0.3">
      <c r="A17" s="434" t="s">
        <v>357</v>
      </c>
      <c r="B17" s="429">
        <v>11109</v>
      </c>
      <c r="C17" s="447">
        <v>1</v>
      </c>
      <c r="D17" s="429"/>
      <c r="E17" s="447"/>
      <c r="F17" s="429">
        <v>3690</v>
      </c>
      <c r="G17" s="448">
        <v>0.33216311099108831</v>
      </c>
      <c r="H17" s="429"/>
      <c r="I17" s="447"/>
      <c r="J17" s="429"/>
      <c r="K17" s="447"/>
      <c r="L17" s="429"/>
      <c r="M17" s="448"/>
      <c r="N17" s="429"/>
      <c r="O17" s="447"/>
      <c r="P17" s="429"/>
      <c r="Q17" s="447"/>
      <c r="R17" s="429"/>
      <c r="S17" s="451"/>
    </row>
    <row r="18" spans="1:19" ht="14.4" customHeight="1" x14ac:dyDescent="0.3">
      <c r="A18" s="434" t="s">
        <v>358</v>
      </c>
      <c r="B18" s="429"/>
      <c r="C18" s="447"/>
      <c r="D18" s="429">
        <v>5395.33</v>
      </c>
      <c r="E18" s="447"/>
      <c r="F18" s="429"/>
      <c r="G18" s="448"/>
      <c r="H18" s="429"/>
      <c r="I18" s="447"/>
      <c r="J18" s="429"/>
      <c r="K18" s="447"/>
      <c r="L18" s="429"/>
      <c r="M18" s="448"/>
      <c r="N18" s="429"/>
      <c r="O18" s="447"/>
      <c r="P18" s="429"/>
      <c r="Q18" s="447"/>
      <c r="R18" s="429"/>
      <c r="S18" s="451"/>
    </row>
    <row r="19" spans="1:19" ht="14.4" customHeight="1" thickBot="1" x14ac:dyDescent="0.35">
      <c r="A19" s="435" t="s">
        <v>359</v>
      </c>
      <c r="B19" s="432"/>
      <c r="C19" s="450"/>
      <c r="D19" s="432">
        <v>518</v>
      </c>
      <c r="E19" s="450"/>
      <c r="F19" s="432"/>
      <c r="G19" s="378"/>
      <c r="H19" s="432"/>
      <c r="I19" s="450"/>
      <c r="J19" s="432"/>
      <c r="K19" s="450"/>
      <c r="L19" s="432"/>
      <c r="M19" s="378"/>
      <c r="N19" s="432"/>
      <c r="O19" s="450"/>
      <c r="P19" s="432"/>
      <c r="Q19" s="450"/>
      <c r="R19" s="432"/>
      <c r="S19" s="379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pageSetUpPr fitToPage="1"/>
  </sheetPr>
  <dimension ref="A1:Q46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x14ac:dyDescent="0.3"/>
  <cols>
    <col min="1" max="1" width="3" style="102" bestFit="1" customWidth="1"/>
    <col min="2" max="2" width="8.6640625" style="102" bestFit="1" customWidth="1"/>
    <col min="3" max="3" width="2.109375" style="102" bestFit="1" customWidth="1"/>
    <col min="4" max="4" width="8" style="102" bestFit="1" customWidth="1"/>
    <col min="5" max="5" width="52.88671875" style="102" bestFit="1" customWidth="1"/>
    <col min="6" max="7" width="11.109375" style="176" customWidth="1"/>
    <col min="8" max="9" width="9.33203125" style="176" hidden="1" customWidth="1"/>
    <col min="10" max="11" width="11.109375" style="176" customWidth="1"/>
    <col min="12" max="13" width="9.33203125" style="176" hidden="1" customWidth="1"/>
    <col min="14" max="15" width="11.109375" style="176" customWidth="1"/>
    <col min="16" max="16" width="11.109375" style="179" customWidth="1"/>
    <col min="17" max="17" width="11.109375" style="176" customWidth="1"/>
    <col min="18" max="16384" width="8.88671875" style="102"/>
  </cols>
  <sheetData>
    <row r="1" spans="1:17" ht="18.600000000000001" customHeight="1" thickBot="1" x14ac:dyDescent="0.4">
      <c r="A1" s="271" t="s">
        <v>376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  <c r="L1" s="271"/>
      <c r="M1" s="271"/>
      <c r="N1" s="271"/>
      <c r="O1" s="271"/>
      <c r="P1" s="271"/>
      <c r="Q1" s="271"/>
    </row>
    <row r="2" spans="1:17" ht="14.4" customHeight="1" thickBot="1" x14ac:dyDescent="0.35">
      <c r="A2" s="195" t="s">
        <v>199</v>
      </c>
      <c r="B2" s="103"/>
      <c r="C2" s="103"/>
      <c r="D2" s="103"/>
      <c r="E2" s="103"/>
      <c r="F2" s="189"/>
      <c r="G2" s="189"/>
      <c r="H2" s="189"/>
      <c r="I2" s="189"/>
      <c r="J2" s="189"/>
      <c r="K2" s="189"/>
      <c r="L2" s="189"/>
      <c r="M2" s="189"/>
      <c r="N2" s="189"/>
      <c r="O2" s="189"/>
      <c r="P2" s="190"/>
      <c r="Q2" s="189"/>
    </row>
    <row r="3" spans="1:17" ht="14.4" customHeight="1" thickBot="1" x14ac:dyDescent="0.35">
      <c r="E3" s="62" t="s">
        <v>101</v>
      </c>
      <c r="F3" s="74">
        <f t="shared" ref="F3:O3" si="0">SUBTOTAL(9,F6:F1048576)</f>
        <v>994</v>
      </c>
      <c r="G3" s="75">
        <f t="shared" si="0"/>
        <v>490329</v>
      </c>
      <c r="H3" s="75"/>
      <c r="I3" s="75"/>
      <c r="J3" s="75">
        <f t="shared" si="0"/>
        <v>1649</v>
      </c>
      <c r="K3" s="75">
        <f t="shared" si="0"/>
        <v>770532.9800000001</v>
      </c>
      <c r="L3" s="75"/>
      <c r="M3" s="75"/>
      <c r="N3" s="75">
        <f t="shared" si="0"/>
        <v>1623</v>
      </c>
      <c r="O3" s="75">
        <f t="shared" si="0"/>
        <v>846073.65999999992</v>
      </c>
      <c r="P3" s="58">
        <f>IF(G3=0,0,O3/G3)</f>
        <v>1.7255223737531329</v>
      </c>
      <c r="Q3" s="76">
        <f>IF(N3=0,0,O3/N3)</f>
        <v>521.30231669747377</v>
      </c>
    </row>
    <row r="4" spans="1:17" ht="14.4" customHeight="1" x14ac:dyDescent="0.3">
      <c r="A4" s="323" t="s">
        <v>46</v>
      </c>
      <c r="B4" s="322" t="s">
        <v>72</v>
      </c>
      <c r="C4" s="323" t="s">
        <v>73</v>
      </c>
      <c r="D4" s="332" t="s">
        <v>74</v>
      </c>
      <c r="E4" s="324" t="s">
        <v>47</v>
      </c>
      <c r="F4" s="330">
        <v>2014</v>
      </c>
      <c r="G4" s="331"/>
      <c r="H4" s="77"/>
      <c r="I4" s="77"/>
      <c r="J4" s="330">
        <v>2015</v>
      </c>
      <c r="K4" s="331"/>
      <c r="L4" s="77"/>
      <c r="M4" s="77"/>
      <c r="N4" s="330">
        <v>2016</v>
      </c>
      <c r="O4" s="331"/>
      <c r="P4" s="333" t="s">
        <v>2</v>
      </c>
      <c r="Q4" s="321" t="s">
        <v>75</v>
      </c>
    </row>
    <row r="5" spans="1:17" ht="14.4" customHeight="1" thickBot="1" x14ac:dyDescent="0.35">
      <c r="A5" s="438"/>
      <c r="B5" s="436"/>
      <c r="C5" s="438"/>
      <c r="D5" s="452"/>
      <c r="E5" s="440"/>
      <c r="F5" s="453" t="s">
        <v>49</v>
      </c>
      <c r="G5" s="454" t="s">
        <v>5</v>
      </c>
      <c r="H5" s="455"/>
      <c r="I5" s="455"/>
      <c r="J5" s="453" t="s">
        <v>49</v>
      </c>
      <c r="K5" s="454" t="s">
        <v>5</v>
      </c>
      <c r="L5" s="455"/>
      <c r="M5" s="455"/>
      <c r="N5" s="453" t="s">
        <v>49</v>
      </c>
      <c r="O5" s="454" t="s">
        <v>5</v>
      </c>
      <c r="P5" s="456"/>
      <c r="Q5" s="445"/>
    </row>
    <row r="6" spans="1:17" ht="14.4" customHeight="1" x14ac:dyDescent="0.3">
      <c r="A6" s="424" t="s">
        <v>360</v>
      </c>
      <c r="B6" s="446" t="s">
        <v>325</v>
      </c>
      <c r="C6" s="446" t="s">
        <v>326</v>
      </c>
      <c r="D6" s="446" t="s">
        <v>331</v>
      </c>
      <c r="E6" s="446" t="s">
        <v>332</v>
      </c>
      <c r="F6" s="374">
        <v>11</v>
      </c>
      <c r="G6" s="374">
        <v>5640</v>
      </c>
      <c r="H6" s="374">
        <v>1</v>
      </c>
      <c r="I6" s="374">
        <v>512.72727272727275</v>
      </c>
      <c r="J6" s="374">
        <v>10</v>
      </c>
      <c r="K6" s="374">
        <v>5180</v>
      </c>
      <c r="L6" s="374">
        <v>0.91843971631205679</v>
      </c>
      <c r="M6" s="374">
        <v>518</v>
      </c>
      <c r="N6" s="374">
        <v>1</v>
      </c>
      <c r="O6" s="374">
        <v>553</v>
      </c>
      <c r="P6" s="375">
        <v>9.8049645390070925E-2</v>
      </c>
      <c r="Q6" s="386">
        <v>553</v>
      </c>
    </row>
    <row r="7" spans="1:17" ht="14.4" customHeight="1" x14ac:dyDescent="0.3">
      <c r="A7" s="427" t="s">
        <v>360</v>
      </c>
      <c r="B7" s="447" t="s">
        <v>325</v>
      </c>
      <c r="C7" s="447" t="s">
        <v>326</v>
      </c>
      <c r="D7" s="447" t="s">
        <v>335</v>
      </c>
      <c r="E7" s="447" t="s">
        <v>336</v>
      </c>
      <c r="F7" s="428"/>
      <c r="G7" s="428"/>
      <c r="H7" s="428"/>
      <c r="I7" s="428"/>
      <c r="J7" s="428">
        <v>1</v>
      </c>
      <c r="K7" s="428">
        <v>0</v>
      </c>
      <c r="L7" s="428"/>
      <c r="M7" s="428">
        <v>0</v>
      </c>
      <c r="N7" s="428"/>
      <c r="O7" s="428"/>
      <c r="P7" s="448"/>
      <c r="Q7" s="449"/>
    </row>
    <row r="8" spans="1:17" ht="14.4" customHeight="1" x14ac:dyDescent="0.3">
      <c r="A8" s="427" t="s">
        <v>360</v>
      </c>
      <c r="B8" s="447" t="s">
        <v>325</v>
      </c>
      <c r="C8" s="447" t="s">
        <v>326</v>
      </c>
      <c r="D8" s="447" t="s">
        <v>339</v>
      </c>
      <c r="E8" s="447" t="s">
        <v>340</v>
      </c>
      <c r="F8" s="428">
        <v>1</v>
      </c>
      <c r="G8" s="428">
        <v>345</v>
      </c>
      <c r="H8" s="428">
        <v>1</v>
      </c>
      <c r="I8" s="428">
        <v>345</v>
      </c>
      <c r="J8" s="428">
        <v>1</v>
      </c>
      <c r="K8" s="428">
        <v>350</v>
      </c>
      <c r="L8" s="428">
        <v>1.0144927536231885</v>
      </c>
      <c r="M8" s="428">
        <v>350</v>
      </c>
      <c r="N8" s="428"/>
      <c r="O8" s="428"/>
      <c r="P8" s="448"/>
      <c r="Q8" s="449"/>
    </row>
    <row r="9" spans="1:17" ht="14.4" customHeight="1" x14ac:dyDescent="0.3">
      <c r="A9" s="427" t="s">
        <v>360</v>
      </c>
      <c r="B9" s="447" t="s">
        <v>325</v>
      </c>
      <c r="C9" s="447" t="s">
        <v>326</v>
      </c>
      <c r="D9" s="447" t="s">
        <v>343</v>
      </c>
      <c r="E9" s="447" t="s">
        <v>344</v>
      </c>
      <c r="F9" s="428">
        <v>1</v>
      </c>
      <c r="G9" s="428">
        <v>264</v>
      </c>
      <c r="H9" s="428">
        <v>1</v>
      </c>
      <c r="I9" s="428">
        <v>264</v>
      </c>
      <c r="J9" s="428"/>
      <c r="K9" s="428"/>
      <c r="L9" s="428"/>
      <c r="M9" s="428"/>
      <c r="N9" s="428"/>
      <c r="O9" s="428"/>
      <c r="P9" s="448"/>
      <c r="Q9" s="449"/>
    </row>
    <row r="10" spans="1:17" ht="14.4" customHeight="1" x14ac:dyDescent="0.3">
      <c r="A10" s="427" t="s">
        <v>361</v>
      </c>
      <c r="B10" s="447" t="s">
        <v>325</v>
      </c>
      <c r="C10" s="447" t="s">
        <v>326</v>
      </c>
      <c r="D10" s="447" t="s">
        <v>331</v>
      </c>
      <c r="E10" s="447" t="s">
        <v>332</v>
      </c>
      <c r="F10" s="428">
        <v>2</v>
      </c>
      <c r="G10" s="428">
        <v>1032</v>
      </c>
      <c r="H10" s="428">
        <v>1</v>
      </c>
      <c r="I10" s="428">
        <v>516</v>
      </c>
      <c r="J10" s="428">
        <v>6</v>
      </c>
      <c r="K10" s="428">
        <v>3108</v>
      </c>
      <c r="L10" s="428">
        <v>3.0116279069767442</v>
      </c>
      <c r="M10" s="428">
        <v>518</v>
      </c>
      <c r="N10" s="428"/>
      <c r="O10" s="428"/>
      <c r="P10" s="448"/>
      <c r="Q10" s="449"/>
    </row>
    <row r="11" spans="1:17" ht="14.4" customHeight="1" x14ac:dyDescent="0.3">
      <c r="A11" s="427" t="s">
        <v>362</v>
      </c>
      <c r="B11" s="447" t="s">
        <v>325</v>
      </c>
      <c r="C11" s="447" t="s">
        <v>326</v>
      </c>
      <c r="D11" s="447" t="s">
        <v>331</v>
      </c>
      <c r="E11" s="447" t="s">
        <v>332</v>
      </c>
      <c r="F11" s="428"/>
      <c r="G11" s="428"/>
      <c r="H11" s="428"/>
      <c r="I11" s="428"/>
      <c r="J11" s="428">
        <v>4</v>
      </c>
      <c r="K11" s="428">
        <v>2072</v>
      </c>
      <c r="L11" s="428"/>
      <c r="M11" s="428">
        <v>518</v>
      </c>
      <c r="N11" s="428"/>
      <c r="O11" s="428"/>
      <c r="P11" s="448"/>
      <c r="Q11" s="449"/>
    </row>
    <row r="12" spans="1:17" ht="14.4" customHeight="1" x14ac:dyDescent="0.3">
      <c r="A12" s="427" t="s">
        <v>362</v>
      </c>
      <c r="B12" s="447" t="s">
        <v>325</v>
      </c>
      <c r="C12" s="447" t="s">
        <v>326</v>
      </c>
      <c r="D12" s="447" t="s">
        <v>339</v>
      </c>
      <c r="E12" s="447" t="s">
        <v>340</v>
      </c>
      <c r="F12" s="428"/>
      <c r="G12" s="428"/>
      <c r="H12" s="428"/>
      <c r="I12" s="428"/>
      <c r="J12" s="428">
        <v>1</v>
      </c>
      <c r="K12" s="428">
        <v>350</v>
      </c>
      <c r="L12" s="428"/>
      <c r="M12" s="428">
        <v>350</v>
      </c>
      <c r="N12" s="428"/>
      <c r="O12" s="428"/>
      <c r="P12" s="448"/>
      <c r="Q12" s="449"/>
    </row>
    <row r="13" spans="1:17" ht="14.4" customHeight="1" x14ac:dyDescent="0.3">
      <c r="A13" s="427" t="s">
        <v>363</v>
      </c>
      <c r="B13" s="447" t="s">
        <v>325</v>
      </c>
      <c r="C13" s="447" t="s">
        <v>326</v>
      </c>
      <c r="D13" s="447" t="s">
        <v>331</v>
      </c>
      <c r="E13" s="447" t="s">
        <v>332</v>
      </c>
      <c r="F13" s="428"/>
      <c r="G13" s="428"/>
      <c r="H13" s="428"/>
      <c r="I13" s="428"/>
      <c r="J13" s="428"/>
      <c r="K13" s="428"/>
      <c r="L13" s="428"/>
      <c r="M13" s="428"/>
      <c r="N13" s="428">
        <v>1</v>
      </c>
      <c r="O13" s="428">
        <v>553</v>
      </c>
      <c r="P13" s="448"/>
      <c r="Q13" s="449">
        <v>553</v>
      </c>
    </row>
    <row r="14" spans="1:17" ht="14.4" customHeight="1" x14ac:dyDescent="0.3">
      <c r="A14" s="427" t="s">
        <v>364</v>
      </c>
      <c r="B14" s="447" t="s">
        <v>325</v>
      </c>
      <c r="C14" s="447" t="s">
        <v>326</v>
      </c>
      <c r="D14" s="447" t="s">
        <v>331</v>
      </c>
      <c r="E14" s="447" t="s">
        <v>332</v>
      </c>
      <c r="F14" s="428">
        <v>10</v>
      </c>
      <c r="G14" s="428">
        <v>5160</v>
      </c>
      <c r="H14" s="428">
        <v>1</v>
      </c>
      <c r="I14" s="428">
        <v>516</v>
      </c>
      <c r="J14" s="428">
        <v>10</v>
      </c>
      <c r="K14" s="428">
        <v>5180</v>
      </c>
      <c r="L14" s="428">
        <v>1.0038759689922481</v>
      </c>
      <c r="M14" s="428">
        <v>518</v>
      </c>
      <c r="N14" s="428">
        <v>24</v>
      </c>
      <c r="O14" s="428">
        <v>13272</v>
      </c>
      <c r="P14" s="448">
        <v>2.5720930232558139</v>
      </c>
      <c r="Q14" s="449">
        <v>553</v>
      </c>
    </row>
    <row r="15" spans="1:17" ht="14.4" customHeight="1" x14ac:dyDescent="0.3">
      <c r="A15" s="427" t="s">
        <v>364</v>
      </c>
      <c r="B15" s="447" t="s">
        <v>325</v>
      </c>
      <c r="C15" s="447" t="s">
        <v>326</v>
      </c>
      <c r="D15" s="447" t="s">
        <v>335</v>
      </c>
      <c r="E15" s="447" t="s">
        <v>336</v>
      </c>
      <c r="F15" s="428"/>
      <c r="G15" s="428"/>
      <c r="H15" s="428"/>
      <c r="I15" s="428"/>
      <c r="J15" s="428">
        <v>3</v>
      </c>
      <c r="K15" s="428">
        <v>100</v>
      </c>
      <c r="L15" s="428"/>
      <c r="M15" s="428">
        <v>33.333333333333336</v>
      </c>
      <c r="N15" s="428">
        <v>2</v>
      </c>
      <c r="O15" s="428">
        <v>66.67</v>
      </c>
      <c r="P15" s="448"/>
      <c r="Q15" s="449">
        <v>33.335000000000001</v>
      </c>
    </row>
    <row r="16" spans="1:17" ht="14.4" customHeight="1" x14ac:dyDescent="0.3">
      <c r="A16" s="427" t="s">
        <v>364</v>
      </c>
      <c r="B16" s="447" t="s">
        <v>325</v>
      </c>
      <c r="C16" s="447" t="s">
        <v>326</v>
      </c>
      <c r="D16" s="447" t="s">
        <v>339</v>
      </c>
      <c r="E16" s="447" t="s">
        <v>340</v>
      </c>
      <c r="F16" s="428">
        <v>7</v>
      </c>
      <c r="G16" s="428">
        <v>2436</v>
      </c>
      <c r="H16" s="428">
        <v>1</v>
      </c>
      <c r="I16" s="428">
        <v>348</v>
      </c>
      <c r="J16" s="428">
        <v>3</v>
      </c>
      <c r="K16" s="428">
        <v>1050</v>
      </c>
      <c r="L16" s="428">
        <v>0.43103448275862066</v>
      </c>
      <c r="M16" s="428">
        <v>350</v>
      </c>
      <c r="N16" s="428">
        <v>6</v>
      </c>
      <c r="O16" s="428">
        <v>2232</v>
      </c>
      <c r="P16" s="448">
        <v>0.91625615763546797</v>
      </c>
      <c r="Q16" s="449">
        <v>372</v>
      </c>
    </row>
    <row r="17" spans="1:17" ht="14.4" customHeight="1" x14ac:dyDescent="0.3">
      <c r="A17" s="427" t="s">
        <v>364</v>
      </c>
      <c r="B17" s="447" t="s">
        <v>325</v>
      </c>
      <c r="C17" s="447" t="s">
        <v>326</v>
      </c>
      <c r="D17" s="447" t="s">
        <v>343</v>
      </c>
      <c r="E17" s="447" t="s">
        <v>344</v>
      </c>
      <c r="F17" s="428"/>
      <c r="G17" s="428"/>
      <c r="H17" s="428"/>
      <c r="I17" s="428"/>
      <c r="J17" s="428"/>
      <c r="K17" s="428"/>
      <c r="L17" s="428"/>
      <c r="M17" s="428"/>
      <c r="N17" s="428">
        <v>0</v>
      </c>
      <c r="O17" s="428">
        <v>0</v>
      </c>
      <c r="P17" s="448"/>
      <c r="Q17" s="449"/>
    </row>
    <row r="18" spans="1:17" ht="14.4" customHeight="1" x14ac:dyDescent="0.3">
      <c r="A18" s="427" t="s">
        <v>365</v>
      </c>
      <c r="B18" s="447" t="s">
        <v>325</v>
      </c>
      <c r="C18" s="447" t="s">
        <v>326</v>
      </c>
      <c r="D18" s="447" t="s">
        <v>335</v>
      </c>
      <c r="E18" s="447" t="s">
        <v>336</v>
      </c>
      <c r="F18" s="428"/>
      <c r="G18" s="428"/>
      <c r="H18" s="428"/>
      <c r="I18" s="428"/>
      <c r="J18" s="428">
        <v>0</v>
      </c>
      <c r="K18" s="428">
        <v>0</v>
      </c>
      <c r="L18" s="428"/>
      <c r="M18" s="428"/>
      <c r="N18" s="428"/>
      <c r="O18" s="428"/>
      <c r="P18" s="448"/>
      <c r="Q18" s="449"/>
    </row>
    <row r="19" spans="1:17" ht="14.4" customHeight="1" x14ac:dyDescent="0.3">
      <c r="A19" s="427" t="s">
        <v>365</v>
      </c>
      <c r="B19" s="447" t="s">
        <v>325</v>
      </c>
      <c r="C19" s="447" t="s">
        <v>326</v>
      </c>
      <c r="D19" s="447" t="s">
        <v>339</v>
      </c>
      <c r="E19" s="447" t="s">
        <v>340</v>
      </c>
      <c r="F19" s="428"/>
      <c r="G19" s="428"/>
      <c r="H19" s="428"/>
      <c r="I19" s="428"/>
      <c r="J19" s="428">
        <v>1</v>
      </c>
      <c r="K19" s="428">
        <v>350</v>
      </c>
      <c r="L19" s="428"/>
      <c r="M19" s="428">
        <v>350</v>
      </c>
      <c r="N19" s="428"/>
      <c r="O19" s="428"/>
      <c r="P19" s="448"/>
      <c r="Q19" s="449"/>
    </row>
    <row r="20" spans="1:17" ht="14.4" customHeight="1" x14ac:dyDescent="0.3">
      <c r="A20" s="427" t="s">
        <v>366</v>
      </c>
      <c r="B20" s="447" t="s">
        <v>325</v>
      </c>
      <c r="C20" s="447" t="s">
        <v>326</v>
      </c>
      <c r="D20" s="447" t="s">
        <v>331</v>
      </c>
      <c r="E20" s="447" t="s">
        <v>332</v>
      </c>
      <c r="F20" s="428"/>
      <c r="G20" s="428"/>
      <c r="H20" s="428"/>
      <c r="I20" s="428"/>
      <c r="J20" s="428">
        <v>8</v>
      </c>
      <c r="K20" s="428">
        <v>4144</v>
      </c>
      <c r="L20" s="428"/>
      <c r="M20" s="428">
        <v>518</v>
      </c>
      <c r="N20" s="428"/>
      <c r="O20" s="428"/>
      <c r="P20" s="448"/>
      <c r="Q20" s="449"/>
    </row>
    <row r="21" spans="1:17" ht="14.4" customHeight="1" x14ac:dyDescent="0.3">
      <c r="A21" s="427" t="s">
        <v>366</v>
      </c>
      <c r="B21" s="447" t="s">
        <v>325</v>
      </c>
      <c r="C21" s="447" t="s">
        <v>326</v>
      </c>
      <c r="D21" s="447" t="s">
        <v>335</v>
      </c>
      <c r="E21" s="447" t="s">
        <v>336</v>
      </c>
      <c r="F21" s="428"/>
      <c r="G21" s="428"/>
      <c r="H21" s="428"/>
      <c r="I21" s="428"/>
      <c r="J21" s="428">
        <v>1</v>
      </c>
      <c r="K21" s="428">
        <v>0</v>
      </c>
      <c r="L21" s="428"/>
      <c r="M21" s="428">
        <v>0</v>
      </c>
      <c r="N21" s="428"/>
      <c r="O21" s="428"/>
      <c r="P21" s="448"/>
      <c r="Q21" s="449"/>
    </row>
    <row r="22" spans="1:17" ht="14.4" customHeight="1" x14ac:dyDescent="0.3">
      <c r="A22" s="427" t="s">
        <v>366</v>
      </c>
      <c r="B22" s="447" t="s">
        <v>325</v>
      </c>
      <c r="C22" s="447" t="s">
        <v>326</v>
      </c>
      <c r="D22" s="447" t="s">
        <v>339</v>
      </c>
      <c r="E22" s="447" t="s">
        <v>340</v>
      </c>
      <c r="F22" s="428"/>
      <c r="G22" s="428"/>
      <c r="H22" s="428"/>
      <c r="I22" s="428"/>
      <c r="J22" s="428">
        <v>1</v>
      </c>
      <c r="K22" s="428">
        <v>350</v>
      </c>
      <c r="L22" s="428"/>
      <c r="M22" s="428">
        <v>350</v>
      </c>
      <c r="N22" s="428"/>
      <c r="O22" s="428"/>
      <c r="P22" s="448"/>
      <c r="Q22" s="449"/>
    </row>
    <row r="23" spans="1:17" ht="14.4" customHeight="1" x14ac:dyDescent="0.3">
      <c r="A23" s="427" t="s">
        <v>367</v>
      </c>
      <c r="B23" s="447" t="s">
        <v>325</v>
      </c>
      <c r="C23" s="447" t="s">
        <v>326</v>
      </c>
      <c r="D23" s="447" t="s">
        <v>331</v>
      </c>
      <c r="E23" s="447" t="s">
        <v>332</v>
      </c>
      <c r="F23" s="428">
        <v>372</v>
      </c>
      <c r="G23" s="428">
        <v>191452</v>
      </c>
      <c r="H23" s="428">
        <v>1</v>
      </c>
      <c r="I23" s="428">
        <v>514.6559139784946</v>
      </c>
      <c r="J23" s="428">
        <v>683</v>
      </c>
      <c r="K23" s="428">
        <v>353794</v>
      </c>
      <c r="L23" s="428">
        <v>1.8479514447485532</v>
      </c>
      <c r="M23" s="428">
        <v>518</v>
      </c>
      <c r="N23" s="428">
        <v>561</v>
      </c>
      <c r="O23" s="428">
        <v>310233</v>
      </c>
      <c r="P23" s="448">
        <v>1.6204218289701857</v>
      </c>
      <c r="Q23" s="449">
        <v>553</v>
      </c>
    </row>
    <row r="24" spans="1:17" ht="14.4" customHeight="1" x14ac:dyDescent="0.3">
      <c r="A24" s="427" t="s">
        <v>367</v>
      </c>
      <c r="B24" s="447" t="s">
        <v>325</v>
      </c>
      <c r="C24" s="447" t="s">
        <v>326</v>
      </c>
      <c r="D24" s="447" t="s">
        <v>335</v>
      </c>
      <c r="E24" s="447" t="s">
        <v>336</v>
      </c>
      <c r="F24" s="428"/>
      <c r="G24" s="428"/>
      <c r="H24" s="428"/>
      <c r="I24" s="428"/>
      <c r="J24" s="428">
        <v>86</v>
      </c>
      <c r="K24" s="428">
        <v>1833.3299999999997</v>
      </c>
      <c r="L24" s="428"/>
      <c r="M24" s="428">
        <v>21.317790697674415</v>
      </c>
      <c r="N24" s="428">
        <v>23</v>
      </c>
      <c r="O24" s="428">
        <v>766.66</v>
      </c>
      <c r="P24" s="448"/>
      <c r="Q24" s="449">
        <v>33.333043478260869</v>
      </c>
    </row>
    <row r="25" spans="1:17" ht="14.4" customHeight="1" x14ac:dyDescent="0.3">
      <c r="A25" s="427" t="s">
        <v>367</v>
      </c>
      <c r="B25" s="447" t="s">
        <v>325</v>
      </c>
      <c r="C25" s="447" t="s">
        <v>326</v>
      </c>
      <c r="D25" s="447" t="s">
        <v>339</v>
      </c>
      <c r="E25" s="447" t="s">
        <v>340</v>
      </c>
      <c r="F25" s="428">
        <v>58</v>
      </c>
      <c r="G25" s="428">
        <v>20130</v>
      </c>
      <c r="H25" s="428">
        <v>1</v>
      </c>
      <c r="I25" s="428">
        <v>347.06896551724139</v>
      </c>
      <c r="J25" s="428">
        <v>122</v>
      </c>
      <c r="K25" s="428">
        <v>42700</v>
      </c>
      <c r="L25" s="428">
        <v>2.1212121212121211</v>
      </c>
      <c r="M25" s="428">
        <v>350</v>
      </c>
      <c r="N25" s="428">
        <v>116</v>
      </c>
      <c r="O25" s="428">
        <v>43152</v>
      </c>
      <c r="P25" s="448">
        <v>2.143666169895678</v>
      </c>
      <c r="Q25" s="449">
        <v>372</v>
      </c>
    </row>
    <row r="26" spans="1:17" ht="14.4" customHeight="1" x14ac:dyDescent="0.3">
      <c r="A26" s="427" t="s">
        <v>367</v>
      </c>
      <c r="B26" s="447" t="s">
        <v>325</v>
      </c>
      <c r="C26" s="447" t="s">
        <v>326</v>
      </c>
      <c r="D26" s="447" t="s">
        <v>343</v>
      </c>
      <c r="E26" s="447" t="s">
        <v>344</v>
      </c>
      <c r="F26" s="428">
        <v>23</v>
      </c>
      <c r="G26" s="428">
        <v>6063</v>
      </c>
      <c r="H26" s="428">
        <v>1</v>
      </c>
      <c r="I26" s="428">
        <v>263.60869565217394</v>
      </c>
      <c r="J26" s="428">
        <v>15</v>
      </c>
      <c r="K26" s="428">
        <v>3975</v>
      </c>
      <c r="L26" s="428">
        <v>0.65561603166749138</v>
      </c>
      <c r="M26" s="428">
        <v>265</v>
      </c>
      <c r="N26" s="428">
        <v>21</v>
      </c>
      <c r="O26" s="428">
        <v>5922</v>
      </c>
      <c r="P26" s="448">
        <v>0.97674418604651159</v>
      </c>
      <c r="Q26" s="449">
        <v>282</v>
      </c>
    </row>
    <row r="27" spans="1:17" ht="14.4" customHeight="1" x14ac:dyDescent="0.3">
      <c r="A27" s="427" t="s">
        <v>368</v>
      </c>
      <c r="B27" s="447" t="s">
        <v>325</v>
      </c>
      <c r="C27" s="447" t="s">
        <v>326</v>
      </c>
      <c r="D27" s="447" t="s">
        <v>331</v>
      </c>
      <c r="E27" s="447" t="s">
        <v>332</v>
      </c>
      <c r="F27" s="428">
        <v>10</v>
      </c>
      <c r="G27" s="428">
        <v>5128</v>
      </c>
      <c r="H27" s="428">
        <v>1</v>
      </c>
      <c r="I27" s="428">
        <v>512.79999999999995</v>
      </c>
      <c r="J27" s="428">
        <v>5</v>
      </c>
      <c r="K27" s="428">
        <v>2590</v>
      </c>
      <c r="L27" s="428">
        <v>0.50507020280811232</v>
      </c>
      <c r="M27" s="428">
        <v>518</v>
      </c>
      <c r="N27" s="428">
        <v>4</v>
      </c>
      <c r="O27" s="428">
        <v>2212</v>
      </c>
      <c r="P27" s="448">
        <v>0.43135725429017163</v>
      </c>
      <c r="Q27" s="449">
        <v>553</v>
      </c>
    </row>
    <row r="28" spans="1:17" ht="14.4" customHeight="1" x14ac:dyDescent="0.3">
      <c r="A28" s="427" t="s">
        <v>368</v>
      </c>
      <c r="B28" s="447" t="s">
        <v>325</v>
      </c>
      <c r="C28" s="447" t="s">
        <v>326</v>
      </c>
      <c r="D28" s="447" t="s">
        <v>335</v>
      </c>
      <c r="E28" s="447" t="s">
        <v>336</v>
      </c>
      <c r="F28" s="428"/>
      <c r="G28" s="428"/>
      <c r="H28" s="428"/>
      <c r="I28" s="428"/>
      <c r="J28" s="428">
        <v>2</v>
      </c>
      <c r="K28" s="428">
        <v>0</v>
      </c>
      <c r="L28" s="428"/>
      <c r="M28" s="428">
        <v>0</v>
      </c>
      <c r="N28" s="428"/>
      <c r="O28" s="428"/>
      <c r="P28" s="448"/>
      <c r="Q28" s="449"/>
    </row>
    <row r="29" spans="1:17" ht="14.4" customHeight="1" x14ac:dyDescent="0.3">
      <c r="A29" s="427" t="s">
        <v>368</v>
      </c>
      <c r="B29" s="447" t="s">
        <v>325</v>
      </c>
      <c r="C29" s="447" t="s">
        <v>326</v>
      </c>
      <c r="D29" s="447" t="s">
        <v>339</v>
      </c>
      <c r="E29" s="447" t="s">
        <v>340</v>
      </c>
      <c r="F29" s="428"/>
      <c r="G29" s="428"/>
      <c r="H29" s="428"/>
      <c r="I29" s="428"/>
      <c r="J29" s="428">
        <v>1</v>
      </c>
      <c r="K29" s="428">
        <v>350</v>
      </c>
      <c r="L29" s="428"/>
      <c r="M29" s="428">
        <v>350</v>
      </c>
      <c r="N29" s="428">
        <v>1</v>
      </c>
      <c r="O29" s="428">
        <v>372</v>
      </c>
      <c r="P29" s="448"/>
      <c r="Q29" s="449">
        <v>372</v>
      </c>
    </row>
    <row r="30" spans="1:17" ht="14.4" customHeight="1" x14ac:dyDescent="0.3">
      <c r="A30" s="427" t="s">
        <v>368</v>
      </c>
      <c r="B30" s="447" t="s">
        <v>325</v>
      </c>
      <c r="C30" s="447" t="s">
        <v>326</v>
      </c>
      <c r="D30" s="447" t="s">
        <v>343</v>
      </c>
      <c r="E30" s="447" t="s">
        <v>344</v>
      </c>
      <c r="F30" s="428">
        <v>1</v>
      </c>
      <c r="G30" s="428">
        <v>261</v>
      </c>
      <c r="H30" s="428">
        <v>1</v>
      </c>
      <c r="I30" s="428">
        <v>261</v>
      </c>
      <c r="J30" s="428">
        <v>1</v>
      </c>
      <c r="K30" s="428">
        <v>265</v>
      </c>
      <c r="L30" s="428">
        <v>1.0153256704980842</v>
      </c>
      <c r="M30" s="428">
        <v>265</v>
      </c>
      <c r="N30" s="428"/>
      <c r="O30" s="428"/>
      <c r="P30" s="448"/>
      <c r="Q30" s="449"/>
    </row>
    <row r="31" spans="1:17" ht="14.4" customHeight="1" x14ac:dyDescent="0.3">
      <c r="A31" s="427" t="s">
        <v>369</v>
      </c>
      <c r="B31" s="447" t="s">
        <v>325</v>
      </c>
      <c r="C31" s="447" t="s">
        <v>326</v>
      </c>
      <c r="D31" s="447" t="s">
        <v>370</v>
      </c>
      <c r="E31" s="447" t="s">
        <v>371</v>
      </c>
      <c r="F31" s="428">
        <v>2</v>
      </c>
      <c r="G31" s="428">
        <v>263</v>
      </c>
      <c r="H31" s="428">
        <v>1</v>
      </c>
      <c r="I31" s="428">
        <v>131.5</v>
      </c>
      <c r="J31" s="428">
        <v>4</v>
      </c>
      <c r="K31" s="428">
        <v>532</v>
      </c>
      <c r="L31" s="428">
        <v>2.0228136882129277</v>
      </c>
      <c r="M31" s="428">
        <v>133</v>
      </c>
      <c r="N31" s="428">
        <v>1</v>
      </c>
      <c r="O31" s="428">
        <v>141</v>
      </c>
      <c r="P31" s="448">
        <v>0.53612167300380231</v>
      </c>
      <c r="Q31" s="449">
        <v>141</v>
      </c>
    </row>
    <row r="32" spans="1:17" ht="14.4" customHeight="1" x14ac:dyDescent="0.3">
      <c r="A32" s="427" t="s">
        <v>369</v>
      </c>
      <c r="B32" s="447" t="s">
        <v>325</v>
      </c>
      <c r="C32" s="447" t="s">
        <v>326</v>
      </c>
      <c r="D32" s="447" t="s">
        <v>331</v>
      </c>
      <c r="E32" s="447" t="s">
        <v>332</v>
      </c>
      <c r="F32" s="428">
        <v>242</v>
      </c>
      <c r="G32" s="428">
        <v>124600</v>
      </c>
      <c r="H32" s="428">
        <v>1</v>
      </c>
      <c r="I32" s="428">
        <v>514.87603305785126</v>
      </c>
      <c r="J32" s="428">
        <v>362</v>
      </c>
      <c r="K32" s="428">
        <v>187516</v>
      </c>
      <c r="L32" s="428">
        <v>1.5049438202247192</v>
      </c>
      <c r="M32" s="428">
        <v>518</v>
      </c>
      <c r="N32" s="428">
        <v>449</v>
      </c>
      <c r="O32" s="428">
        <v>248297</v>
      </c>
      <c r="P32" s="448">
        <v>1.9927528089887641</v>
      </c>
      <c r="Q32" s="449">
        <v>553</v>
      </c>
    </row>
    <row r="33" spans="1:17" ht="14.4" customHeight="1" x14ac:dyDescent="0.3">
      <c r="A33" s="427" t="s">
        <v>369</v>
      </c>
      <c r="B33" s="447" t="s">
        <v>325</v>
      </c>
      <c r="C33" s="447" t="s">
        <v>326</v>
      </c>
      <c r="D33" s="447" t="s">
        <v>335</v>
      </c>
      <c r="E33" s="447" t="s">
        <v>336</v>
      </c>
      <c r="F33" s="428"/>
      <c r="G33" s="428"/>
      <c r="H33" s="428"/>
      <c r="I33" s="428"/>
      <c r="J33" s="428">
        <v>3</v>
      </c>
      <c r="K33" s="428">
        <v>66.66</v>
      </c>
      <c r="L33" s="428"/>
      <c r="M33" s="428">
        <v>22.22</v>
      </c>
      <c r="N33" s="428">
        <v>1</v>
      </c>
      <c r="O33" s="428">
        <v>33.33</v>
      </c>
      <c r="P33" s="448"/>
      <c r="Q33" s="449">
        <v>33.33</v>
      </c>
    </row>
    <row r="34" spans="1:17" ht="14.4" customHeight="1" x14ac:dyDescent="0.3">
      <c r="A34" s="427" t="s">
        <v>369</v>
      </c>
      <c r="B34" s="447" t="s">
        <v>325</v>
      </c>
      <c r="C34" s="447" t="s">
        <v>326</v>
      </c>
      <c r="D34" s="447" t="s">
        <v>339</v>
      </c>
      <c r="E34" s="447" t="s">
        <v>340</v>
      </c>
      <c r="F34" s="428">
        <v>4</v>
      </c>
      <c r="G34" s="428">
        <v>1392</v>
      </c>
      <c r="H34" s="428">
        <v>1</v>
      </c>
      <c r="I34" s="428">
        <v>348</v>
      </c>
      <c r="J34" s="428">
        <v>4</v>
      </c>
      <c r="K34" s="428">
        <v>1400</v>
      </c>
      <c r="L34" s="428">
        <v>1.0057471264367817</v>
      </c>
      <c r="M34" s="428">
        <v>350</v>
      </c>
      <c r="N34" s="428">
        <v>4</v>
      </c>
      <c r="O34" s="428">
        <v>1488</v>
      </c>
      <c r="P34" s="448">
        <v>1.0689655172413792</v>
      </c>
      <c r="Q34" s="449">
        <v>372</v>
      </c>
    </row>
    <row r="35" spans="1:17" ht="14.4" customHeight="1" x14ac:dyDescent="0.3">
      <c r="A35" s="427" t="s">
        <v>369</v>
      </c>
      <c r="B35" s="447" t="s">
        <v>325</v>
      </c>
      <c r="C35" s="447" t="s">
        <v>326</v>
      </c>
      <c r="D35" s="447" t="s">
        <v>343</v>
      </c>
      <c r="E35" s="447" t="s">
        <v>344</v>
      </c>
      <c r="F35" s="428">
        <v>3</v>
      </c>
      <c r="G35" s="428">
        <v>792</v>
      </c>
      <c r="H35" s="428">
        <v>1</v>
      </c>
      <c r="I35" s="428">
        <v>264</v>
      </c>
      <c r="J35" s="428">
        <v>2</v>
      </c>
      <c r="K35" s="428">
        <v>530</v>
      </c>
      <c r="L35" s="428">
        <v>0.66919191919191923</v>
      </c>
      <c r="M35" s="428">
        <v>265</v>
      </c>
      <c r="N35" s="428">
        <v>4</v>
      </c>
      <c r="O35" s="428">
        <v>1128</v>
      </c>
      <c r="P35" s="448">
        <v>1.4242424242424243</v>
      </c>
      <c r="Q35" s="449">
        <v>282</v>
      </c>
    </row>
    <row r="36" spans="1:17" ht="14.4" customHeight="1" x14ac:dyDescent="0.3">
      <c r="A36" s="427" t="s">
        <v>372</v>
      </c>
      <c r="B36" s="447" t="s">
        <v>325</v>
      </c>
      <c r="C36" s="447" t="s">
        <v>326</v>
      </c>
      <c r="D36" s="447" t="s">
        <v>370</v>
      </c>
      <c r="E36" s="447" t="s">
        <v>371</v>
      </c>
      <c r="F36" s="428"/>
      <c r="G36" s="428"/>
      <c r="H36" s="428"/>
      <c r="I36" s="428"/>
      <c r="J36" s="428">
        <v>1</v>
      </c>
      <c r="K36" s="428">
        <v>133</v>
      </c>
      <c r="L36" s="428"/>
      <c r="M36" s="428">
        <v>133</v>
      </c>
      <c r="N36" s="428">
        <v>6</v>
      </c>
      <c r="O36" s="428">
        <v>846</v>
      </c>
      <c r="P36" s="448"/>
      <c r="Q36" s="449">
        <v>141</v>
      </c>
    </row>
    <row r="37" spans="1:17" ht="14.4" customHeight="1" x14ac:dyDescent="0.3">
      <c r="A37" s="427" t="s">
        <v>372</v>
      </c>
      <c r="B37" s="447" t="s">
        <v>325</v>
      </c>
      <c r="C37" s="447" t="s">
        <v>326</v>
      </c>
      <c r="D37" s="447" t="s">
        <v>331</v>
      </c>
      <c r="E37" s="447" t="s">
        <v>332</v>
      </c>
      <c r="F37" s="428">
        <v>218</v>
      </c>
      <c r="G37" s="428">
        <v>112000</v>
      </c>
      <c r="H37" s="428">
        <v>1</v>
      </c>
      <c r="I37" s="428">
        <v>513.7614678899082</v>
      </c>
      <c r="J37" s="428">
        <v>278</v>
      </c>
      <c r="K37" s="428">
        <v>144004</v>
      </c>
      <c r="L37" s="428">
        <v>1.2857499999999999</v>
      </c>
      <c r="M37" s="428">
        <v>518</v>
      </c>
      <c r="N37" s="428">
        <v>376</v>
      </c>
      <c r="O37" s="428">
        <v>207928</v>
      </c>
      <c r="P37" s="448">
        <v>1.8565</v>
      </c>
      <c r="Q37" s="449">
        <v>553</v>
      </c>
    </row>
    <row r="38" spans="1:17" ht="14.4" customHeight="1" x14ac:dyDescent="0.3">
      <c r="A38" s="427" t="s">
        <v>372</v>
      </c>
      <c r="B38" s="447" t="s">
        <v>325</v>
      </c>
      <c r="C38" s="447" t="s">
        <v>326</v>
      </c>
      <c r="D38" s="447" t="s">
        <v>335</v>
      </c>
      <c r="E38" s="447" t="s">
        <v>336</v>
      </c>
      <c r="F38" s="428"/>
      <c r="G38" s="428"/>
      <c r="H38" s="428"/>
      <c r="I38" s="428"/>
      <c r="J38" s="428">
        <v>9</v>
      </c>
      <c r="K38" s="428">
        <v>66.66</v>
      </c>
      <c r="L38" s="428"/>
      <c r="M38" s="428">
        <v>7.4066666666666663</v>
      </c>
      <c r="N38" s="428">
        <v>6</v>
      </c>
      <c r="O38" s="428">
        <v>200</v>
      </c>
      <c r="P38" s="448"/>
      <c r="Q38" s="449">
        <v>33.333333333333336</v>
      </c>
    </row>
    <row r="39" spans="1:17" ht="14.4" customHeight="1" x14ac:dyDescent="0.3">
      <c r="A39" s="427" t="s">
        <v>372</v>
      </c>
      <c r="B39" s="447" t="s">
        <v>325</v>
      </c>
      <c r="C39" s="447" t="s">
        <v>326</v>
      </c>
      <c r="D39" s="447" t="s">
        <v>339</v>
      </c>
      <c r="E39" s="447" t="s">
        <v>340</v>
      </c>
      <c r="F39" s="428">
        <v>5</v>
      </c>
      <c r="G39" s="428">
        <v>1737</v>
      </c>
      <c r="H39" s="428">
        <v>1</v>
      </c>
      <c r="I39" s="428">
        <v>347.4</v>
      </c>
      <c r="J39" s="428">
        <v>6</v>
      </c>
      <c r="K39" s="428">
        <v>2100</v>
      </c>
      <c r="L39" s="428">
        <v>1.2089810017271156</v>
      </c>
      <c r="M39" s="428">
        <v>350</v>
      </c>
      <c r="N39" s="428">
        <v>5</v>
      </c>
      <c r="O39" s="428">
        <v>1860</v>
      </c>
      <c r="P39" s="448">
        <v>1.0708117443868739</v>
      </c>
      <c r="Q39" s="449">
        <v>372</v>
      </c>
    </row>
    <row r="40" spans="1:17" ht="14.4" customHeight="1" x14ac:dyDescent="0.3">
      <c r="A40" s="427" t="s">
        <v>372</v>
      </c>
      <c r="B40" s="447" t="s">
        <v>325</v>
      </c>
      <c r="C40" s="447" t="s">
        <v>326</v>
      </c>
      <c r="D40" s="447" t="s">
        <v>343</v>
      </c>
      <c r="E40" s="447" t="s">
        <v>344</v>
      </c>
      <c r="F40" s="428">
        <v>2</v>
      </c>
      <c r="G40" s="428">
        <v>525</v>
      </c>
      <c r="H40" s="428">
        <v>1</v>
      </c>
      <c r="I40" s="428">
        <v>262.5</v>
      </c>
      <c r="J40" s="428">
        <v>2</v>
      </c>
      <c r="K40" s="428">
        <v>530</v>
      </c>
      <c r="L40" s="428">
        <v>1.0095238095238095</v>
      </c>
      <c r="M40" s="428">
        <v>265</v>
      </c>
      <c r="N40" s="428">
        <v>4</v>
      </c>
      <c r="O40" s="428">
        <v>1128</v>
      </c>
      <c r="P40" s="448">
        <v>2.1485714285714286</v>
      </c>
      <c r="Q40" s="449">
        <v>282</v>
      </c>
    </row>
    <row r="41" spans="1:17" ht="14.4" customHeight="1" x14ac:dyDescent="0.3">
      <c r="A41" s="427" t="s">
        <v>373</v>
      </c>
      <c r="B41" s="447" t="s">
        <v>325</v>
      </c>
      <c r="C41" s="447" t="s">
        <v>326</v>
      </c>
      <c r="D41" s="447" t="s">
        <v>331</v>
      </c>
      <c r="E41" s="447" t="s">
        <v>332</v>
      </c>
      <c r="F41" s="428">
        <v>21</v>
      </c>
      <c r="G41" s="428">
        <v>10764</v>
      </c>
      <c r="H41" s="428">
        <v>1</v>
      </c>
      <c r="I41" s="428">
        <v>512.57142857142856</v>
      </c>
      <c r="J41" s="428"/>
      <c r="K41" s="428"/>
      <c r="L41" s="428"/>
      <c r="M41" s="428"/>
      <c r="N41" s="428">
        <v>6</v>
      </c>
      <c r="O41" s="428">
        <v>3318</v>
      </c>
      <c r="P41" s="448">
        <v>0.30824972129319955</v>
      </c>
      <c r="Q41" s="449">
        <v>553</v>
      </c>
    </row>
    <row r="42" spans="1:17" ht="14.4" customHeight="1" x14ac:dyDescent="0.3">
      <c r="A42" s="427" t="s">
        <v>373</v>
      </c>
      <c r="B42" s="447" t="s">
        <v>325</v>
      </c>
      <c r="C42" s="447" t="s">
        <v>326</v>
      </c>
      <c r="D42" s="447" t="s">
        <v>339</v>
      </c>
      <c r="E42" s="447" t="s">
        <v>340</v>
      </c>
      <c r="F42" s="428">
        <v>1</v>
      </c>
      <c r="G42" s="428">
        <v>345</v>
      </c>
      <c r="H42" s="428">
        <v>1</v>
      </c>
      <c r="I42" s="428">
        <v>345</v>
      </c>
      <c r="J42" s="428"/>
      <c r="K42" s="428"/>
      <c r="L42" s="428"/>
      <c r="M42" s="428"/>
      <c r="N42" s="428">
        <v>1</v>
      </c>
      <c r="O42" s="428">
        <v>372</v>
      </c>
      <c r="P42" s="448">
        <v>1.0782608695652174</v>
      </c>
      <c r="Q42" s="449">
        <v>372</v>
      </c>
    </row>
    <row r="43" spans="1:17" ht="14.4" customHeight="1" x14ac:dyDescent="0.3">
      <c r="A43" s="427" t="s">
        <v>374</v>
      </c>
      <c r="B43" s="447" t="s">
        <v>325</v>
      </c>
      <c r="C43" s="447" t="s">
        <v>326</v>
      </c>
      <c r="D43" s="447" t="s">
        <v>331</v>
      </c>
      <c r="E43" s="447" t="s">
        <v>332</v>
      </c>
      <c r="F43" s="428"/>
      <c r="G43" s="428"/>
      <c r="H43" s="428"/>
      <c r="I43" s="428"/>
      <c r="J43" s="428">
        <v>9</v>
      </c>
      <c r="K43" s="428">
        <v>4662</v>
      </c>
      <c r="L43" s="428"/>
      <c r="M43" s="428">
        <v>518</v>
      </c>
      <c r="N43" s="428"/>
      <c r="O43" s="428"/>
      <c r="P43" s="448"/>
      <c r="Q43" s="449"/>
    </row>
    <row r="44" spans="1:17" ht="14.4" customHeight="1" x14ac:dyDescent="0.3">
      <c r="A44" s="427" t="s">
        <v>374</v>
      </c>
      <c r="B44" s="447" t="s">
        <v>325</v>
      </c>
      <c r="C44" s="447" t="s">
        <v>326</v>
      </c>
      <c r="D44" s="447" t="s">
        <v>335</v>
      </c>
      <c r="E44" s="447" t="s">
        <v>336</v>
      </c>
      <c r="F44" s="428"/>
      <c r="G44" s="428"/>
      <c r="H44" s="428"/>
      <c r="I44" s="428"/>
      <c r="J44" s="428">
        <v>1</v>
      </c>
      <c r="K44" s="428">
        <v>33.33</v>
      </c>
      <c r="L44" s="428"/>
      <c r="M44" s="428">
        <v>33.33</v>
      </c>
      <c r="N44" s="428"/>
      <c r="O44" s="428"/>
      <c r="P44" s="448"/>
      <c r="Q44" s="449"/>
    </row>
    <row r="45" spans="1:17" ht="14.4" customHeight="1" x14ac:dyDescent="0.3">
      <c r="A45" s="427" t="s">
        <v>374</v>
      </c>
      <c r="B45" s="447" t="s">
        <v>325</v>
      </c>
      <c r="C45" s="447" t="s">
        <v>326</v>
      </c>
      <c r="D45" s="447" t="s">
        <v>339</v>
      </c>
      <c r="E45" s="447" t="s">
        <v>340</v>
      </c>
      <c r="F45" s="428"/>
      <c r="G45" s="428"/>
      <c r="H45" s="428"/>
      <c r="I45" s="428"/>
      <c r="J45" s="428">
        <v>2</v>
      </c>
      <c r="K45" s="428">
        <v>700</v>
      </c>
      <c r="L45" s="428"/>
      <c r="M45" s="428">
        <v>350</v>
      </c>
      <c r="N45" s="428"/>
      <c r="O45" s="428"/>
      <c r="P45" s="448"/>
      <c r="Q45" s="449"/>
    </row>
    <row r="46" spans="1:17" ht="14.4" customHeight="1" thickBot="1" x14ac:dyDescent="0.35">
      <c r="A46" s="431" t="s">
        <v>375</v>
      </c>
      <c r="B46" s="450" t="s">
        <v>325</v>
      </c>
      <c r="C46" s="450" t="s">
        <v>326</v>
      </c>
      <c r="D46" s="450" t="s">
        <v>331</v>
      </c>
      <c r="E46" s="450" t="s">
        <v>332</v>
      </c>
      <c r="F46" s="377"/>
      <c r="G46" s="377"/>
      <c r="H46" s="377"/>
      <c r="I46" s="377"/>
      <c r="J46" s="377">
        <v>1</v>
      </c>
      <c r="K46" s="377">
        <v>518</v>
      </c>
      <c r="L46" s="377"/>
      <c r="M46" s="377">
        <v>518</v>
      </c>
      <c r="N46" s="377"/>
      <c r="O46" s="377"/>
      <c r="P46" s="378"/>
      <c r="Q46" s="387"/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2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20" bestFit="1" customWidth="1"/>
    <col min="2" max="2" width="11.6640625" style="120" hidden="1" customWidth="1"/>
    <col min="3" max="4" width="11" style="122" customWidth="1"/>
    <col min="5" max="5" width="11" style="123" customWidth="1"/>
    <col min="6" max="16384" width="8.88671875" style="120"/>
  </cols>
  <sheetData>
    <row r="1" spans="1:5" ht="18.600000000000001" thickBot="1" x14ac:dyDescent="0.4">
      <c r="A1" s="271" t="s">
        <v>94</v>
      </c>
      <c r="B1" s="271"/>
      <c r="C1" s="272"/>
      <c r="D1" s="272"/>
      <c r="E1" s="272"/>
    </row>
    <row r="2" spans="1:5" ht="14.4" customHeight="1" thickBot="1" x14ac:dyDescent="0.35">
      <c r="A2" s="195" t="s">
        <v>199</v>
      </c>
      <c r="B2" s="121"/>
    </row>
    <row r="3" spans="1:5" ht="14.4" customHeight="1" thickBot="1" x14ac:dyDescent="0.35">
      <c r="A3" s="124"/>
      <c r="C3" s="125" t="s">
        <v>84</v>
      </c>
      <c r="D3" s="126" t="s">
        <v>50</v>
      </c>
      <c r="E3" s="127" t="s">
        <v>52</v>
      </c>
    </row>
    <row r="4" spans="1:5" ht="14.4" customHeight="1" thickBot="1" x14ac:dyDescent="0.35">
      <c r="A4" s="128" t="str">
        <f>HYPERLINK("#HI!A1","NÁKLADY CELKEM (v tisících Kč)")</f>
        <v>NÁKLADY CELKEM (v tisících Kč)</v>
      </c>
      <c r="B4" s="129"/>
      <c r="C4" s="130">
        <f ca="1">IF(ISERROR(VLOOKUP("Náklady celkem",INDIRECT("HI!$A:$G"),6,0)),0,VLOOKUP("Náklady celkem",INDIRECT("HI!$A:$G"),6,0))</f>
        <v>1731.7085446759099</v>
      </c>
      <c r="D4" s="130">
        <f ca="1">IF(ISERROR(VLOOKUP("Náklady celkem",INDIRECT("HI!$A:$G"),5,0)),0,VLOOKUP("Náklady celkem",INDIRECT("HI!$A:$G"),5,0))</f>
        <v>1633.1529800000001</v>
      </c>
      <c r="E4" s="131">
        <f ca="1">IF(C4=0,0,D4/C4)</f>
        <v>0.94308767201102273</v>
      </c>
    </row>
    <row r="5" spans="1:5" ht="14.4" customHeight="1" x14ac:dyDescent="0.3">
      <c r="A5" s="132" t="s">
        <v>108</v>
      </c>
      <c r="B5" s="133"/>
      <c r="C5" s="134"/>
      <c r="D5" s="134"/>
      <c r="E5" s="135"/>
    </row>
    <row r="6" spans="1:5" ht="14.4" customHeight="1" x14ac:dyDescent="0.3">
      <c r="A6" s="136" t="s">
        <v>113</v>
      </c>
      <c r="B6" s="137"/>
      <c r="C6" s="138"/>
      <c r="D6" s="138"/>
      <c r="E6" s="135"/>
    </row>
    <row r="7" spans="1:5" ht="14.4" customHeight="1" x14ac:dyDescent="0.3">
      <c r="A7" s="258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37" t="s">
        <v>88</v>
      </c>
      <c r="C7" s="138">
        <f>IF(ISERROR(HI!F5),"",HI!F5)</f>
        <v>0.169290015283</v>
      </c>
      <c r="D7" s="138">
        <f>IF(ISERROR(HI!E5),"",HI!E5)</f>
        <v>0</v>
      </c>
      <c r="E7" s="135">
        <f t="shared" ref="E7:E12" si="0">IF(C7=0,0,D7/C7)</f>
        <v>0</v>
      </c>
    </row>
    <row r="8" spans="1:5" ht="14.4" customHeight="1" x14ac:dyDescent="0.3">
      <c r="A8" s="258" t="str">
        <f>HYPERLINK("#'LŽ Statim'!A1","Podíl statimových žádanek (max. 30%)")</f>
        <v>Podíl statimových žádanek (max. 30%)</v>
      </c>
      <c r="B8" s="256" t="s">
        <v>168</v>
      </c>
      <c r="C8" s="257">
        <v>0.3</v>
      </c>
      <c r="D8" s="257">
        <f>IF('LŽ Statim'!G3="",0,'LŽ Statim'!G3)</f>
        <v>0</v>
      </c>
      <c r="E8" s="135">
        <f>IF(C8=0,0,D8/C8)</f>
        <v>0</v>
      </c>
    </row>
    <row r="9" spans="1:5" ht="14.4" customHeight="1" x14ac:dyDescent="0.3">
      <c r="A9" s="140" t="s">
        <v>109</v>
      </c>
      <c r="B9" s="137"/>
      <c r="C9" s="138"/>
      <c r="D9" s="138"/>
      <c r="E9" s="135"/>
    </row>
    <row r="10" spans="1:5" ht="14.4" customHeight="1" x14ac:dyDescent="0.3">
      <c r="A10" s="140" t="s">
        <v>110</v>
      </c>
      <c r="B10" s="137"/>
      <c r="C10" s="138"/>
      <c r="D10" s="138"/>
      <c r="E10" s="135"/>
    </row>
    <row r="11" spans="1:5" ht="14.4" customHeight="1" x14ac:dyDescent="0.3">
      <c r="A11" s="141" t="s">
        <v>114</v>
      </c>
      <c r="B11" s="137"/>
      <c r="C11" s="134"/>
      <c r="D11" s="134"/>
      <c r="E11" s="135"/>
    </row>
    <row r="12" spans="1:5" ht="14.4" customHeight="1" x14ac:dyDescent="0.3">
      <c r="A12" s="142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2" s="137" t="s">
        <v>88</v>
      </c>
      <c r="C12" s="138">
        <f>IF(ISERROR(HI!F6),"",HI!F6)</f>
        <v>0.1446800130615</v>
      </c>
      <c r="D12" s="138">
        <f>IF(ISERROR(HI!E6),"",HI!E6)</f>
        <v>0</v>
      </c>
      <c r="E12" s="135">
        <f t="shared" si="0"/>
        <v>0</v>
      </c>
    </row>
    <row r="13" spans="1:5" ht="14.4" customHeight="1" thickBot="1" x14ac:dyDescent="0.35">
      <c r="A13" s="143" t="str">
        <f>HYPERLINK("#HI!A1","Osobní náklady")</f>
        <v>Osobní náklady</v>
      </c>
      <c r="B13" s="137"/>
      <c r="C13" s="134">
        <f ca="1">IF(ISERROR(VLOOKUP("Osobní náklady (Kč) *",INDIRECT("HI!$A:$G"),6,0)),0,VLOOKUP("Osobní náklady (Kč) *",INDIRECT("HI!$A:$G"),6,0))</f>
        <v>1629.5001471104349</v>
      </c>
      <c r="D13" s="134">
        <f ca="1">IF(ISERROR(VLOOKUP("Osobní náklady (Kč) *",INDIRECT("HI!$A:$G"),5,0)),0,VLOOKUP("Osobní náklady (Kč) *",INDIRECT("HI!$A:$G"),5,0))</f>
        <v>1522.4850000000001</v>
      </c>
      <c r="E13" s="135">
        <f ca="1">IF(C13=0,0,D13/C13)</f>
        <v>0.9343263961649817</v>
      </c>
    </row>
    <row r="14" spans="1:5" ht="14.4" customHeight="1" thickBot="1" x14ac:dyDescent="0.35">
      <c r="A14" s="147"/>
      <c r="B14" s="148"/>
      <c r="C14" s="149"/>
      <c r="D14" s="149"/>
      <c r="E14" s="150"/>
    </row>
    <row r="15" spans="1:5" ht="14.4" customHeight="1" thickBot="1" x14ac:dyDescent="0.35">
      <c r="A15" s="151" t="str">
        <f>HYPERLINK("#HI!A1","VÝNOSY CELKEM (v tisících)")</f>
        <v>VÝNOSY CELKEM (v tisících)</v>
      </c>
      <c r="B15" s="152"/>
      <c r="C15" s="153">
        <f ca="1">IF(ISERROR(VLOOKUP("Výnosy celkem",INDIRECT("HI!$A:$G"),6,0)),0,VLOOKUP("Výnosy celkem",INDIRECT("HI!$A:$G"),6,0))</f>
        <v>472.50799999999998</v>
      </c>
      <c r="D15" s="153">
        <f ca="1">IF(ISERROR(VLOOKUP("Výnosy celkem",INDIRECT("HI!$A:$G"),5,0)),0,VLOOKUP("Výnosy celkem",INDIRECT("HI!$A:$G"),5,0))</f>
        <v>404.4646699999999</v>
      </c>
      <c r="E15" s="154">
        <f t="shared" ref="E15:E18" ca="1" si="1">IF(C15=0,0,D15/C15)</f>
        <v>0.85599539055423379</v>
      </c>
    </row>
    <row r="16" spans="1:5" ht="14.4" customHeight="1" x14ac:dyDescent="0.3">
      <c r="A16" s="155" t="str">
        <f>HYPERLINK("#HI!A1","Ambulance (body za výkony + Kč za ZUM a ZULP)")</f>
        <v>Ambulance (body za výkony + Kč za ZUM a ZULP)</v>
      </c>
      <c r="B16" s="133"/>
      <c r="C16" s="134">
        <f ca="1">IF(ISERROR(VLOOKUP("Ambulance *",INDIRECT("HI!$A:$G"),6,0)),0,VLOOKUP("Ambulance *",INDIRECT("HI!$A:$G"),6,0))</f>
        <v>472.50799999999998</v>
      </c>
      <c r="D16" s="134">
        <f ca="1">IF(ISERROR(VLOOKUP("Ambulance *",INDIRECT("HI!$A:$G"),5,0)),0,VLOOKUP("Ambulance *",INDIRECT("HI!$A:$G"),5,0))</f>
        <v>404.4646699999999</v>
      </c>
      <c r="E16" s="135">
        <f t="shared" ca="1" si="1"/>
        <v>0.85599539055423379</v>
      </c>
    </row>
    <row r="17" spans="1:5" ht="14.4" customHeight="1" x14ac:dyDescent="0.3">
      <c r="A17" s="156" t="str">
        <f>HYPERLINK("#'ZV Vykáz.-A'!A1","Zdravotní výkony vykázané u ambulantních pacientů (min. 100 %)")</f>
        <v>Zdravotní výkony vykázané u ambulantních pacientů (min. 100 %)</v>
      </c>
      <c r="B17" s="120" t="s">
        <v>96</v>
      </c>
      <c r="C17" s="139">
        <v>1</v>
      </c>
      <c r="D17" s="139">
        <f>IF(ISERROR(VLOOKUP("Celkem:",'ZV Vykáz.-A'!$A:$S,7,0)),"",VLOOKUP("Celkem:",'ZV Vykáz.-A'!$A:$S,7,0))</f>
        <v>0.85599539055423379</v>
      </c>
      <c r="E17" s="135">
        <f t="shared" si="1"/>
        <v>0.85599539055423379</v>
      </c>
    </row>
    <row r="18" spans="1:5" ht="14.4" customHeight="1" x14ac:dyDescent="0.3">
      <c r="A18" s="156" t="str">
        <f>HYPERLINK("#'ZV Vykáz.-H'!A1","Zdravotní výkony vykázané u hospitalizovaných pacientů (max. 85 %)")</f>
        <v>Zdravotní výkony vykázané u hospitalizovaných pacientů (max. 85 %)</v>
      </c>
      <c r="B18" s="120" t="s">
        <v>98</v>
      </c>
      <c r="C18" s="139">
        <v>0.85</v>
      </c>
      <c r="D18" s="139">
        <f>IF(ISERROR(VLOOKUP("Celkem:",'ZV Vykáz.-H'!$A:$S,7,0)),"",VLOOKUP("Celkem:",'ZV Vykáz.-H'!$A:$S,7,0))</f>
        <v>1.7255223737531331</v>
      </c>
      <c r="E18" s="135">
        <f t="shared" si="1"/>
        <v>2.0300263220625094</v>
      </c>
    </row>
    <row r="19" spans="1:5" ht="14.4" customHeight="1" x14ac:dyDescent="0.3">
      <c r="A19" s="157" t="str">
        <f>HYPERLINK("#HI!A1","Hospitalizace (casemix * 30000)")</f>
        <v>Hospitalizace (casemix * 30000)</v>
      </c>
      <c r="B19" s="137"/>
      <c r="C19" s="134">
        <f ca="1">IF(ISERROR(VLOOKUP("Hospitalizace *",INDIRECT("HI!$A:$G"),6,0)),0,VLOOKUP("Hospitalizace *",INDIRECT("HI!$A:$G"),6,0))</f>
        <v>0</v>
      </c>
      <c r="D19" s="134">
        <f ca="1">IF(ISERROR(VLOOKUP("Hospitalizace *",INDIRECT("HI!$A:$G"),5,0)),0,VLOOKUP("Hospitalizace *",INDIRECT("HI!$A:$G"),5,0))</f>
        <v>0</v>
      </c>
      <c r="E19" s="135">
        <f ca="1">IF(C19=0,0,D19/C19)</f>
        <v>0</v>
      </c>
    </row>
    <row r="20" spans="1:5" ht="14.4" customHeight="1" thickBot="1" x14ac:dyDescent="0.35">
      <c r="A20" s="158" t="s">
        <v>111</v>
      </c>
      <c r="B20" s="144"/>
      <c r="C20" s="145"/>
      <c r="D20" s="145"/>
      <c r="E20" s="146"/>
    </row>
    <row r="21" spans="1:5" ht="14.4" customHeight="1" thickBot="1" x14ac:dyDescent="0.35">
      <c r="A21" s="159"/>
      <c r="B21" s="160"/>
      <c r="C21" s="161"/>
      <c r="D21" s="161"/>
      <c r="E21" s="162"/>
    </row>
    <row r="22" spans="1:5" ht="14.4" customHeight="1" thickBot="1" x14ac:dyDescent="0.35">
      <c r="A22" s="163" t="s">
        <v>112</v>
      </c>
      <c r="B22" s="164"/>
      <c r="C22" s="165"/>
      <c r="D22" s="165"/>
      <c r="E22" s="166"/>
    </row>
  </sheetData>
  <mergeCells count="1">
    <mergeCell ref="A1:E1"/>
  </mergeCells>
  <conditionalFormatting sqref="E5">
    <cfRule type="cellIs" dxfId="52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1">
    <cfRule type="cellIs" dxfId="51" priority="15" operator="greaterThan">
      <formula>1</formula>
    </cfRule>
    <cfRule type="iconSet" priority="16">
      <iconSet iconSet="3Symbols2" reverse="1">
        <cfvo type="percent" val="0"/>
        <cfvo type="num" val="1"/>
        <cfvo type="num" val="1"/>
      </iconSet>
    </cfRule>
  </conditionalFormatting>
  <conditionalFormatting sqref="E13">
    <cfRule type="cellIs" dxfId="50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49" priority="9" operator="lessThan">
      <formula>1</formula>
    </cfRule>
    <cfRule type="iconSet" priority="10">
      <iconSet iconSet="3Symbols2">
        <cfvo type="percent" val="0"/>
        <cfvo type="num" val="1"/>
        <cfvo type="num" val="1"/>
      </iconSet>
    </cfRule>
  </conditionalFormatting>
  <conditionalFormatting sqref="E19">
    <cfRule type="cellIs" dxfId="48" priority="7" operator="lessThan">
      <formula>1</formula>
    </cfRule>
    <cfRule type="iconSet" priority="8">
      <iconSet iconSet="3Symbols2">
        <cfvo type="percent" val="0"/>
        <cfvo type="num" val="1"/>
        <cfvo type="num" val="1"/>
      </iconSet>
    </cfRule>
  </conditionalFormatting>
  <conditionalFormatting sqref="E6">
    <cfRule type="cellIs" dxfId="47" priority="5" operator="greaterThan">
      <formula>1</formula>
    </cfRule>
    <cfRule type="iconSet" priority="6">
      <iconSet iconSet="3Symbols2" reverse="1">
        <cfvo type="percent" val="0"/>
        <cfvo type="num" val="1"/>
        <cfvo type="num" val="1"/>
      </iconSet>
    </cfRule>
  </conditionalFormatting>
  <conditionalFormatting sqref="E15 E17">
    <cfRule type="cellIs" dxfId="46" priority="20" operator="lessThan">
      <formula>1</formula>
    </cfRule>
  </conditionalFormatting>
  <conditionalFormatting sqref="E8">
    <cfRule type="cellIs" dxfId="45" priority="3" operator="greaterThan">
      <formula>1</formula>
    </cfRule>
    <cfRule type="iconSet" priority="4">
      <iconSet iconSet="3Symbols2" reverse="1">
        <cfvo type="percent" val="0"/>
        <cfvo type="num" val="1"/>
        <cfvo type="num" val="1"/>
      </iconSet>
    </cfRule>
  </conditionalFormatting>
  <conditionalFormatting sqref="E15 E17">
    <cfRule type="iconSet" priority="60">
      <iconSet iconSet="3Symbols2">
        <cfvo type="percent" val="0"/>
        <cfvo type="num" val="1"/>
        <cfvo type="num" val="1"/>
      </iconSet>
    </cfRule>
  </conditionalFormatting>
  <conditionalFormatting sqref="E4 E7 E12 E18">
    <cfRule type="cellIs" dxfId="44" priority="65" operator="greaterThan">
      <formula>1</formula>
    </cfRule>
    <cfRule type="iconSet" priority="66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H23"/>
  <sheetViews>
    <sheetView showGridLines="0" showRowColHeaders="0" zoomScaleNormal="100" workbookViewId="0">
      <selection sqref="A1:H1"/>
    </sheetView>
  </sheetViews>
  <sheetFormatPr defaultRowHeight="14.4" customHeight="1" x14ac:dyDescent="0.3"/>
  <cols>
    <col min="1" max="1" width="34.21875" style="102" bestFit="1" customWidth="1"/>
    <col min="2" max="3" width="9.5546875" style="102" customWidth="1"/>
    <col min="4" max="4" width="2.21875" style="102" customWidth="1"/>
    <col min="5" max="8" width="9.5546875" style="102" customWidth="1"/>
    <col min="9" max="16384" width="8.88671875" style="102"/>
  </cols>
  <sheetData>
    <row r="1" spans="1:8" ht="18.600000000000001" customHeight="1" thickBot="1" x14ac:dyDescent="0.4">
      <c r="A1" s="271" t="s">
        <v>103</v>
      </c>
      <c r="B1" s="271"/>
      <c r="C1" s="271"/>
      <c r="D1" s="271"/>
      <c r="E1" s="271"/>
      <c r="F1" s="271"/>
      <c r="G1" s="272"/>
      <c r="H1" s="272"/>
    </row>
    <row r="2" spans="1:8" ht="14.4" customHeight="1" thickBot="1" x14ac:dyDescent="0.35">
      <c r="A2" s="195" t="s">
        <v>199</v>
      </c>
      <c r="B2" s="83"/>
      <c r="C2" s="83"/>
      <c r="D2" s="83"/>
      <c r="E2" s="83"/>
      <c r="F2" s="83"/>
    </row>
    <row r="3" spans="1:8" ht="14.4" customHeight="1" x14ac:dyDescent="0.3">
      <c r="A3" s="273"/>
      <c r="B3" s="79">
        <v>2014</v>
      </c>
      <c r="C3" s="40">
        <v>2015</v>
      </c>
      <c r="D3" s="7"/>
      <c r="E3" s="277">
        <v>2016</v>
      </c>
      <c r="F3" s="278"/>
      <c r="G3" s="278"/>
      <c r="H3" s="279"/>
    </row>
    <row r="4" spans="1:8" ht="14.4" customHeight="1" thickBot="1" x14ac:dyDescent="0.35">
      <c r="A4" s="274"/>
      <c r="B4" s="275" t="s">
        <v>50</v>
      </c>
      <c r="C4" s="276"/>
      <c r="D4" s="7"/>
      <c r="E4" s="100" t="s">
        <v>50</v>
      </c>
      <c r="F4" s="81" t="s">
        <v>51</v>
      </c>
      <c r="G4" s="81" t="s">
        <v>45</v>
      </c>
      <c r="H4" s="82" t="s">
        <v>52</v>
      </c>
    </row>
    <row r="5" spans="1:8" ht="14.4" customHeight="1" x14ac:dyDescent="0.3">
      <c r="A5" s="84" t="str">
        <f>HYPERLINK("#'Léky Žádanky'!A1","Léky (Kč)")</f>
        <v>Léky (Kč)</v>
      </c>
      <c r="B5" s="27">
        <v>0</v>
      </c>
      <c r="C5" s="29">
        <v>0.33857999999999999</v>
      </c>
      <c r="D5" s="8"/>
      <c r="E5" s="89">
        <v>0</v>
      </c>
      <c r="F5" s="28">
        <v>0.169290015283</v>
      </c>
      <c r="G5" s="88">
        <f>E5-F5</f>
        <v>-0.169290015283</v>
      </c>
      <c r="H5" s="94">
        <f>IF(F5&lt;0.00000001,"",E5/F5)</f>
        <v>0</v>
      </c>
    </row>
    <row r="6" spans="1:8" ht="14.4" customHeight="1" x14ac:dyDescent="0.3">
      <c r="A6" s="84" t="str">
        <f>HYPERLINK("#'Materiál Žádanky'!A1","Materiál - SZM (Kč)")</f>
        <v>Materiál - SZM (Kč)</v>
      </c>
      <c r="B6" s="10">
        <v>0</v>
      </c>
      <c r="C6" s="31">
        <v>0.94345999999999997</v>
      </c>
      <c r="D6" s="8"/>
      <c r="E6" s="90">
        <v>0</v>
      </c>
      <c r="F6" s="30">
        <v>0.1446800130615</v>
      </c>
      <c r="G6" s="91">
        <f>E6-F6</f>
        <v>-0.1446800130615</v>
      </c>
      <c r="H6" s="95">
        <f>IF(F6&lt;0.00000001,"",E6/F6)</f>
        <v>0</v>
      </c>
    </row>
    <row r="7" spans="1:8" ht="14.4" customHeight="1" x14ac:dyDescent="0.3">
      <c r="A7" s="84" t="str">
        <f>HYPERLINK("#'Osobní náklady'!A1","Osobní náklady (Kč) *")</f>
        <v>Osobní náklady (Kč) *</v>
      </c>
      <c r="B7" s="10">
        <v>1233.8715900000009</v>
      </c>
      <c r="C7" s="31">
        <v>1569.756010000001</v>
      </c>
      <c r="D7" s="8"/>
      <c r="E7" s="90">
        <v>1522.4850000000001</v>
      </c>
      <c r="F7" s="30">
        <v>1629.5001471104349</v>
      </c>
      <c r="G7" s="91">
        <f>E7-F7</f>
        <v>-107.01514711043478</v>
      </c>
      <c r="H7" s="95">
        <f>IF(F7&lt;0.00000001,"",E7/F7)</f>
        <v>0.9343263961649817</v>
      </c>
    </row>
    <row r="8" spans="1:8" ht="14.4" customHeight="1" thickBot="1" x14ac:dyDescent="0.35">
      <c r="A8" s="1" t="s">
        <v>53</v>
      </c>
      <c r="B8" s="11">
        <v>110.94134000000031</v>
      </c>
      <c r="C8" s="33">
        <v>110.92747000000014</v>
      </c>
      <c r="D8" s="8"/>
      <c r="E8" s="92">
        <v>110.66797999999994</v>
      </c>
      <c r="F8" s="32">
        <v>101.89442753713053</v>
      </c>
      <c r="G8" s="93">
        <f>E8-F8</f>
        <v>8.7735524628694179</v>
      </c>
      <c r="H8" s="96">
        <f>IF(F8&lt;0.00000001,"",E8/F8)</f>
        <v>1.0861043402954722</v>
      </c>
    </row>
    <row r="9" spans="1:8" ht="14.4" customHeight="1" thickBot="1" x14ac:dyDescent="0.35">
      <c r="A9" s="2" t="s">
        <v>54</v>
      </c>
      <c r="B9" s="3">
        <v>1344.8129300000012</v>
      </c>
      <c r="C9" s="35">
        <v>1681.9655200000011</v>
      </c>
      <c r="D9" s="8"/>
      <c r="E9" s="3">
        <v>1633.1529800000001</v>
      </c>
      <c r="F9" s="34">
        <v>1731.7085446759099</v>
      </c>
      <c r="G9" s="34">
        <f>E9-F9</f>
        <v>-98.555564675909864</v>
      </c>
      <c r="H9" s="97">
        <f>IF(F9&lt;0.00000001,"",E9/F9)</f>
        <v>0.94308767201102273</v>
      </c>
    </row>
    <row r="10" spans="1:8" ht="14.4" customHeight="1" thickBot="1" x14ac:dyDescent="0.35">
      <c r="A10" s="12"/>
      <c r="B10" s="12"/>
      <c r="C10" s="80"/>
      <c r="D10" s="8"/>
      <c r="E10" s="12"/>
      <c r="F10" s="13"/>
    </row>
    <row r="11" spans="1:8" ht="14.4" customHeight="1" x14ac:dyDescent="0.3">
      <c r="A11" s="105" t="str">
        <f>HYPERLINK("#'ZV Vykáz.-A'!A1","Ambulance *")</f>
        <v>Ambulance *</v>
      </c>
      <c r="B11" s="9">
        <f>IF(ISERROR(VLOOKUP("Celkem:",'ZV Vykáz.-A'!A:F,2,0)),0,VLOOKUP("Celkem:",'ZV Vykáz.-A'!A:F,2,0)/1000)</f>
        <v>472.50799999999998</v>
      </c>
      <c r="C11" s="29">
        <f>IF(ISERROR(VLOOKUP("Celkem:",'ZV Vykáz.-A'!A:F,4,0)),0,VLOOKUP("Celkem:",'ZV Vykáz.-A'!A:F,4,0)/1000)</f>
        <v>388.75266000000005</v>
      </c>
      <c r="D11" s="8"/>
      <c r="E11" s="89">
        <f>IF(ISERROR(VLOOKUP("Celkem:",'ZV Vykáz.-A'!A:F,6,0)),0,VLOOKUP("Celkem:",'ZV Vykáz.-A'!A:F,6,0)/1000)</f>
        <v>404.4646699999999</v>
      </c>
      <c r="F11" s="28">
        <f>B11</f>
        <v>472.50799999999998</v>
      </c>
      <c r="G11" s="88">
        <f>E11-F11</f>
        <v>-68.043330000000083</v>
      </c>
      <c r="H11" s="94">
        <f>IF(F11&lt;0.00000001,"",E11/F11)</f>
        <v>0.85599539055423379</v>
      </c>
    </row>
    <row r="12" spans="1:8" ht="14.4" customHeight="1" thickBot="1" x14ac:dyDescent="0.35">
      <c r="A12" s="106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92">
        <f>IF(ISERROR(VLOOKUP("Celkem",#REF!,4,0)),0,VLOOKUP("Celkem",#REF!,4,0)*30)</f>
        <v>0</v>
      </c>
      <c r="F12" s="32">
        <f>B12</f>
        <v>0</v>
      </c>
      <c r="G12" s="93">
        <f>E12-F12</f>
        <v>0</v>
      </c>
      <c r="H12" s="96" t="str">
        <f>IF(F12&lt;0.00000001,"",E12/F12)</f>
        <v/>
      </c>
    </row>
    <row r="13" spans="1:8" ht="14.4" customHeight="1" thickBot="1" x14ac:dyDescent="0.35">
      <c r="A13" s="4" t="s">
        <v>57</v>
      </c>
      <c r="B13" s="5">
        <f>SUM(B11:B12)</f>
        <v>472.50799999999998</v>
      </c>
      <c r="C13" s="37">
        <f>SUM(C11:C12)</f>
        <v>388.75266000000005</v>
      </c>
      <c r="D13" s="8"/>
      <c r="E13" s="5">
        <f>SUM(E11:E12)</f>
        <v>404.4646699999999</v>
      </c>
      <c r="F13" s="36">
        <f>SUM(F11:F12)</f>
        <v>472.50799999999998</v>
      </c>
      <c r="G13" s="36">
        <f>E13-F13</f>
        <v>-68.043330000000083</v>
      </c>
      <c r="H13" s="98">
        <f>IF(F13&lt;0.00000001,"",E13/F13)</f>
        <v>0.85599539055423379</v>
      </c>
    </row>
    <row r="14" spans="1:8" ht="14.4" customHeight="1" thickBot="1" x14ac:dyDescent="0.35">
      <c r="A14" s="12"/>
      <c r="B14" s="12"/>
      <c r="C14" s="80"/>
      <c r="D14" s="8"/>
      <c r="E14" s="12"/>
      <c r="F14" s="13"/>
    </row>
    <row r="15" spans="1:8" ht="14.4" customHeight="1" thickBot="1" x14ac:dyDescent="0.35">
      <c r="A15" s="107" t="str">
        <f>HYPERLINK("#'HI Graf'!A1","Hospodářský index (Výnosy / Náklady) *")</f>
        <v>Hospodářský index (Výnosy / Náklady) *</v>
      </c>
      <c r="B15" s="6">
        <f>IF(B9=0,"",B13/B9)</f>
        <v>0.35135593171311907</v>
      </c>
      <c r="C15" s="39">
        <f>IF(C9=0,"",C13/C9)</f>
        <v>0.23112998178464431</v>
      </c>
      <c r="D15" s="8"/>
      <c r="E15" s="6">
        <f>IF(E9=0,"",E13/E9)</f>
        <v>0.24765877719550797</v>
      </c>
      <c r="F15" s="38">
        <f>IF(F9=0,"",F13/F9)</f>
        <v>0.272856538967087</v>
      </c>
      <c r="G15" s="38">
        <f>IF(ISERROR(F15-E15),"",E15-F15)</f>
        <v>-2.5197761771579036E-2</v>
      </c>
      <c r="H15" s="99">
        <f>IF(ISERROR(F15-E15),"",IF(F15&lt;0.00000001,"",E15/F15))</f>
        <v>0.90765197760344496</v>
      </c>
    </row>
    <row r="17" spans="1:8" ht="14.4" customHeight="1" x14ac:dyDescent="0.3">
      <c r="A17" s="85" t="s">
        <v>115</v>
      </c>
    </row>
    <row r="18" spans="1:8" ht="14.4" customHeight="1" x14ac:dyDescent="0.3">
      <c r="A18" s="234" t="s">
        <v>145</v>
      </c>
      <c r="B18" s="235"/>
      <c r="C18" s="235"/>
      <c r="D18" s="235"/>
      <c r="E18" s="235"/>
      <c r="F18" s="235"/>
      <c r="G18" s="235"/>
      <c r="H18" s="235"/>
    </row>
    <row r="19" spans="1:8" x14ac:dyDescent="0.3">
      <c r="A19" s="233" t="s">
        <v>144</v>
      </c>
      <c r="B19" s="235"/>
      <c r="C19" s="235"/>
      <c r="D19" s="235"/>
      <c r="E19" s="235"/>
      <c r="F19" s="235"/>
      <c r="G19" s="235"/>
      <c r="H19" s="235"/>
    </row>
    <row r="20" spans="1:8" ht="14.4" customHeight="1" x14ac:dyDescent="0.3">
      <c r="A20" s="86" t="s">
        <v>169</v>
      </c>
    </row>
    <row r="21" spans="1:8" ht="14.4" customHeight="1" x14ac:dyDescent="0.3">
      <c r="A21" s="86" t="s">
        <v>116</v>
      </c>
    </row>
    <row r="22" spans="1:8" ht="14.4" customHeight="1" x14ac:dyDescent="0.3">
      <c r="A22" s="87" t="s">
        <v>198</v>
      </c>
    </row>
    <row r="23" spans="1:8" ht="14.4" customHeight="1" x14ac:dyDescent="0.3">
      <c r="A23" s="87" t="s">
        <v>117</v>
      </c>
    </row>
  </sheetData>
  <mergeCells count="4">
    <mergeCell ref="A3:A4"/>
    <mergeCell ref="B4:C4"/>
    <mergeCell ref="E3:H3"/>
    <mergeCell ref="A1:H1"/>
  </mergeCells>
  <conditionalFormatting sqref="F11:F12">
    <cfRule type="dataBar" priority="5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6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43" priority="4" operator="greaterThan">
      <formula>0</formula>
    </cfRule>
  </conditionalFormatting>
  <conditionalFormatting sqref="G11:G13 G15">
    <cfRule type="cellIs" dxfId="42" priority="3" operator="lessThan">
      <formula>0</formula>
    </cfRule>
  </conditionalFormatting>
  <conditionalFormatting sqref="H5:H9">
    <cfRule type="cellIs" dxfId="41" priority="2" operator="greaterThan">
      <formula>1</formula>
    </cfRule>
  </conditionalFormatting>
  <conditionalFormatting sqref="H11:H13 H15">
    <cfRule type="cellIs" dxfId="40" priority="1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02"/>
    <col min="2" max="13" width="8.88671875" style="102" customWidth="1"/>
    <col min="14" max="16384" width="8.88671875" style="102"/>
  </cols>
  <sheetData>
    <row r="1" spans="1:13" ht="18.600000000000001" customHeight="1" thickBot="1" x14ac:dyDescent="0.4">
      <c r="A1" s="271" t="s">
        <v>81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  <c r="L1" s="271"/>
      <c r="M1" s="271"/>
    </row>
    <row r="2" spans="1:13" ht="14.4" customHeight="1" x14ac:dyDescent="0.3">
      <c r="A2" s="195" t="s">
        <v>199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</row>
    <row r="3" spans="1:13" ht="14.4" customHeight="1" x14ac:dyDescent="0.3">
      <c r="A3" s="167"/>
      <c r="B3" s="168" t="s">
        <v>59</v>
      </c>
      <c r="C3" s="169" t="s">
        <v>60</v>
      </c>
      <c r="D3" s="169" t="s">
        <v>61</v>
      </c>
      <c r="E3" s="168" t="s">
        <v>62</v>
      </c>
      <c r="F3" s="169" t="s">
        <v>63</v>
      </c>
      <c r="G3" s="169" t="s">
        <v>64</v>
      </c>
      <c r="H3" s="169" t="s">
        <v>65</v>
      </c>
      <c r="I3" s="169" t="s">
        <v>66</v>
      </c>
      <c r="J3" s="169" t="s">
        <v>67</v>
      </c>
      <c r="K3" s="169" t="s">
        <v>68</v>
      </c>
      <c r="L3" s="169" t="s">
        <v>69</v>
      </c>
      <c r="M3" s="169" t="s">
        <v>70</v>
      </c>
    </row>
    <row r="4" spans="1:13" ht="14.4" customHeight="1" x14ac:dyDescent="0.3">
      <c r="A4" s="167" t="s">
        <v>58</v>
      </c>
      <c r="B4" s="170">
        <f>(B10+B8)/B6</f>
        <v>0.19360538290798482</v>
      </c>
      <c r="C4" s="170">
        <f t="shared" ref="C4:M4" si="0">(C10+C8)/C6</f>
        <v>0.19521907273863118</v>
      </c>
      <c r="D4" s="170">
        <f t="shared" si="0"/>
        <v>0.22981690883241898</v>
      </c>
      <c r="E4" s="170">
        <f t="shared" si="0"/>
        <v>0.2519958726553746</v>
      </c>
      <c r="F4" s="170">
        <f t="shared" si="0"/>
        <v>0.26019343074849305</v>
      </c>
      <c r="G4" s="170">
        <f t="shared" si="0"/>
        <v>0.24765875270300761</v>
      </c>
      <c r="H4" s="170">
        <f t="shared" si="0"/>
        <v>0.24765875270300761</v>
      </c>
      <c r="I4" s="170">
        <f t="shared" si="0"/>
        <v>0.24765875270300761</v>
      </c>
      <c r="J4" s="170">
        <f t="shared" si="0"/>
        <v>0.24765875270300761</v>
      </c>
      <c r="K4" s="170">
        <f t="shared" si="0"/>
        <v>0.24765875270300761</v>
      </c>
      <c r="L4" s="170">
        <f t="shared" si="0"/>
        <v>0.24765875270300761</v>
      </c>
      <c r="M4" s="170">
        <f t="shared" si="0"/>
        <v>0.24765875270300761</v>
      </c>
    </row>
    <row r="5" spans="1:13" ht="14.4" customHeight="1" x14ac:dyDescent="0.3">
      <c r="A5" s="171" t="s">
        <v>30</v>
      </c>
      <c r="B5" s="170">
        <f>IF(ISERROR(VLOOKUP($A5,'Man Tab'!$A:$Q,COLUMN()+2,0)),0,VLOOKUP($A5,'Man Tab'!$A:$Q,COLUMN()+2,0))</f>
        <v>265.13549999999998</v>
      </c>
      <c r="C5" s="170">
        <f>IF(ISERROR(VLOOKUP($A5,'Man Tab'!$A:$Q,COLUMN()+2,0)),0,VLOOKUP($A5,'Man Tab'!$A:$Q,COLUMN()+2,0))</f>
        <v>288.12662999999998</v>
      </c>
      <c r="D5" s="170">
        <f>IF(ISERROR(VLOOKUP($A5,'Man Tab'!$A:$Q,COLUMN()+2,0)),0,VLOOKUP($A5,'Man Tab'!$A:$Q,COLUMN()+2,0))</f>
        <v>287.78991000000002</v>
      </c>
      <c r="E5" s="170">
        <f>IF(ISERROR(VLOOKUP($A5,'Man Tab'!$A:$Q,COLUMN()+2,0)),0,VLOOKUP($A5,'Man Tab'!$A:$Q,COLUMN()+2,0))</f>
        <v>285.87106</v>
      </c>
      <c r="F5" s="170">
        <f>IF(ISERROR(VLOOKUP($A5,'Man Tab'!$A:$Q,COLUMN()+2,0)),0,VLOOKUP($A5,'Man Tab'!$A:$Q,COLUMN()+2,0))</f>
        <v>280.1748</v>
      </c>
      <c r="G5" s="170">
        <f>IF(ISERROR(VLOOKUP($A5,'Man Tab'!$A:$Q,COLUMN()+2,0)),0,VLOOKUP($A5,'Man Tab'!$A:$Q,COLUMN()+2,0))</f>
        <v>226.05508</v>
      </c>
      <c r="H5" s="170">
        <f>IF(ISERROR(VLOOKUP($A5,'Man Tab'!$A:$Q,COLUMN()+2,0)),0,VLOOKUP($A5,'Man Tab'!$A:$Q,COLUMN()+2,0))</f>
        <v>0</v>
      </c>
      <c r="I5" s="170">
        <f>IF(ISERROR(VLOOKUP($A5,'Man Tab'!$A:$Q,COLUMN()+2,0)),0,VLOOKUP($A5,'Man Tab'!$A:$Q,COLUMN()+2,0))</f>
        <v>0</v>
      </c>
      <c r="J5" s="170">
        <f>IF(ISERROR(VLOOKUP($A5,'Man Tab'!$A:$Q,COLUMN()+2,0)),0,VLOOKUP($A5,'Man Tab'!$A:$Q,COLUMN()+2,0))</f>
        <v>0</v>
      </c>
      <c r="K5" s="170">
        <f>IF(ISERROR(VLOOKUP($A5,'Man Tab'!$A:$Q,COLUMN()+2,0)),0,VLOOKUP($A5,'Man Tab'!$A:$Q,COLUMN()+2,0))</f>
        <v>0</v>
      </c>
      <c r="L5" s="170">
        <f>IF(ISERROR(VLOOKUP($A5,'Man Tab'!$A:$Q,COLUMN()+2,0)),0,VLOOKUP($A5,'Man Tab'!$A:$Q,COLUMN()+2,0))</f>
        <v>0</v>
      </c>
      <c r="M5" s="170">
        <f>IF(ISERROR(VLOOKUP($A5,'Man Tab'!$A:$Q,COLUMN()+2,0)),0,VLOOKUP($A5,'Man Tab'!$A:$Q,COLUMN()+2,0))</f>
        <v>0</v>
      </c>
    </row>
    <row r="6" spans="1:13" ht="14.4" customHeight="1" x14ac:dyDescent="0.3">
      <c r="A6" s="171" t="s">
        <v>54</v>
      </c>
      <c r="B6" s="172">
        <f>B5</f>
        <v>265.13549999999998</v>
      </c>
      <c r="C6" s="172">
        <f t="shared" ref="C6:M6" si="1">C5+B6</f>
        <v>553.26212999999996</v>
      </c>
      <c r="D6" s="172">
        <f t="shared" si="1"/>
        <v>841.05204000000003</v>
      </c>
      <c r="E6" s="172">
        <f t="shared" si="1"/>
        <v>1126.9231</v>
      </c>
      <c r="F6" s="172">
        <f t="shared" si="1"/>
        <v>1407.0979</v>
      </c>
      <c r="G6" s="172">
        <f t="shared" si="1"/>
        <v>1633.1529800000001</v>
      </c>
      <c r="H6" s="172">
        <f t="shared" si="1"/>
        <v>1633.1529800000001</v>
      </c>
      <c r="I6" s="172">
        <f t="shared" si="1"/>
        <v>1633.1529800000001</v>
      </c>
      <c r="J6" s="172">
        <f t="shared" si="1"/>
        <v>1633.1529800000001</v>
      </c>
      <c r="K6" s="172">
        <f t="shared" si="1"/>
        <v>1633.1529800000001</v>
      </c>
      <c r="L6" s="172">
        <f t="shared" si="1"/>
        <v>1633.1529800000001</v>
      </c>
      <c r="M6" s="172">
        <f t="shared" si="1"/>
        <v>1633.1529800000001</v>
      </c>
    </row>
    <row r="7" spans="1:13" ht="14.4" customHeight="1" x14ac:dyDescent="0.3">
      <c r="A7" s="171" t="s">
        <v>79</v>
      </c>
      <c r="B7" s="171"/>
      <c r="C7" s="171"/>
      <c r="D7" s="171"/>
      <c r="E7" s="171"/>
      <c r="F7" s="171"/>
      <c r="G7" s="171"/>
      <c r="H7" s="171"/>
      <c r="I7" s="171"/>
      <c r="J7" s="171"/>
      <c r="K7" s="171"/>
      <c r="L7" s="171"/>
      <c r="M7" s="171"/>
    </row>
    <row r="8" spans="1:13" ht="14.4" customHeight="1" x14ac:dyDescent="0.3">
      <c r="A8" s="171" t="s">
        <v>55</v>
      </c>
      <c r="B8" s="172">
        <f>B7*30</f>
        <v>0</v>
      </c>
      <c r="C8" s="172">
        <f t="shared" ref="C8:M8" si="2">C7*30</f>
        <v>0</v>
      </c>
      <c r="D8" s="172">
        <f t="shared" si="2"/>
        <v>0</v>
      </c>
      <c r="E8" s="172">
        <f t="shared" si="2"/>
        <v>0</v>
      </c>
      <c r="F8" s="172">
        <f t="shared" si="2"/>
        <v>0</v>
      </c>
      <c r="G8" s="172">
        <f t="shared" si="2"/>
        <v>0</v>
      </c>
      <c r="H8" s="172">
        <f t="shared" si="2"/>
        <v>0</v>
      </c>
      <c r="I8" s="172">
        <f t="shared" si="2"/>
        <v>0</v>
      </c>
      <c r="J8" s="172">
        <f t="shared" si="2"/>
        <v>0</v>
      </c>
      <c r="K8" s="172">
        <f t="shared" si="2"/>
        <v>0</v>
      </c>
      <c r="L8" s="172">
        <f t="shared" si="2"/>
        <v>0</v>
      </c>
      <c r="M8" s="172">
        <f t="shared" si="2"/>
        <v>0</v>
      </c>
    </row>
    <row r="9" spans="1:13" ht="14.4" customHeight="1" x14ac:dyDescent="0.3">
      <c r="A9" s="171" t="s">
        <v>80</v>
      </c>
      <c r="B9" s="171">
        <v>51331.66</v>
      </c>
      <c r="C9" s="171">
        <v>56675.66</v>
      </c>
      <c r="D9" s="171">
        <v>85280.66</v>
      </c>
      <c r="E9" s="171">
        <v>90691.99</v>
      </c>
      <c r="F9" s="171">
        <v>82137.66</v>
      </c>
      <c r="G9" s="171">
        <v>38347</v>
      </c>
      <c r="H9" s="171">
        <v>0</v>
      </c>
      <c r="I9" s="171">
        <v>0</v>
      </c>
      <c r="J9" s="171">
        <v>0</v>
      </c>
      <c r="K9" s="171">
        <v>0</v>
      </c>
      <c r="L9" s="171">
        <v>0</v>
      </c>
      <c r="M9" s="171">
        <v>0</v>
      </c>
    </row>
    <row r="10" spans="1:13" ht="14.4" customHeight="1" x14ac:dyDescent="0.3">
      <c r="A10" s="171" t="s">
        <v>56</v>
      </c>
      <c r="B10" s="172">
        <f>B9/1000</f>
        <v>51.331660000000007</v>
      </c>
      <c r="C10" s="172">
        <f t="shared" ref="C10:M10" si="3">C9/1000+B10</f>
        <v>108.00732000000001</v>
      </c>
      <c r="D10" s="172">
        <f t="shared" si="3"/>
        <v>193.28798</v>
      </c>
      <c r="E10" s="172">
        <f t="shared" si="3"/>
        <v>283.97996999999998</v>
      </c>
      <c r="F10" s="172">
        <f t="shared" si="3"/>
        <v>366.11762999999996</v>
      </c>
      <c r="G10" s="172">
        <f t="shared" si="3"/>
        <v>404.46462999999994</v>
      </c>
      <c r="H10" s="172">
        <f t="shared" si="3"/>
        <v>404.46462999999994</v>
      </c>
      <c r="I10" s="172">
        <f t="shared" si="3"/>
        <v>404.46462999999994</v>
      </c>
      <c r="J10" s="172">
        <f t="shared" si="3"/>
        <v>404.46462999999994</v>
      </c>
      <c r="K10" s="172">
        <f t="shared" si="3"/>
        <v>404.46462999999994</v>
      </c>
      <c r="L10" s="172">
        <f t="shared" si="3"/>
        <v>404.46462999999994</v>
      </c>
      <c r="M10" s="172">
        <f t="shared" si="3"/>
        <v>404.46462999999994</v>
      </c>
    </row>
    <row r="11" spans="1:13" ht="14.4" customHeight="1" x14ac:dyDescent="0.3">
      <c r="A11" s="167"/>
      <c r="B11" s="167" t="s">
        <v>71</v>
      </c>
      <c r="C11" s="167">
        <f ca="1">IF(MONTH(TODAY())=1,12,MONTH(TODAY())-1)</f>
        <v>6</v>
      </c>
      <c r="D11" s="167"/>
      <c r="E11" s="167"/>
      <c r="F11" s="167"/>
      <c r="G11" s="167"/>
      <c r="H11" s="167"/>
      <c r="I11" s="167"/>
      <c r="J11" s="167"/>
      <c r="K11" s="167"/>
      <c r="L11" s="167"/>
      <c r="M11" s="167"/>
    </row>
    <row r="12" spans="1:13" ht="14.4" customHeight="1" x14ac:dyDescent="0.3">
      <c r="A12" s="167">
        <v>0</v>
      </c>
      <c r="B12" s="170">
        <f>IF(ISERROR(HI!F15),#REF!,HI!F15)</f>
        <v>0.272856538967087</v>
      </c>
      <c r="C12" s="167"/>
      <c r="D12" s="167"/>
      <c r="E12" s="167"/>
      <c r="F12" s="167"/>
      <c r="G12" s="167"/>
      <c r="H12" s="167"/>
      <c r="I12" s="167"/>
      <c r="J12" s="167"/>
      <c r="K12" s="167"/>
      <c r="L12" s="167"/>
      <c r="M12" s="167"/>
    </row>
    <row r="13" spans="1:13" ht="14.4" customHeight="1" x14ac:dyDescent="0.3">
      <c r="A13" s="167">
        <v>1</v>
      </c>
      <c r="B13" s="170">
        <f>IF(ISERROR(HI!F15),#REF!,HI!F15)</f>
        <v>0.272856538967087</v>
      </c>
      <c r="C13" s="167"/>
      <c r="D13" s="167"/>
      <c r="E13" s="167"/>
      <c r="F13" s="167"/>
      <c r="G13" s="167"/>
      <c r="H13" s="167"/>
      <c r="I13" s="167"/>
      <c r="J13" s="167"/>
      <c r="K13" s="167"/>
      <c r="L13" s="167"/>
      <c r="M13" s="167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02" bestFit="1" customWidth="1"/>
    <col min="2" max="2" width="12.77734375" style="102" bestFit="1" customWidth="1"/>
    <col min="3" max="3" width="13.6640625" style="102" bestFit="1" customWidth="1"/>
    <col min="4" max="15" width="7.77734375" style="102" bestFit="1" customWidth="1"/>
    <col min="16" max="16" width="8.88671875" style="102" customWidth="1"/>
    <col min="17" max="17" width="6.6640625" style="102" bestFit="1" customWidth="1"/>
    <col min="18" max="16384" width="8.88671875" style="102"/>
  </cols>
  <sheetData>
    <row r="1" spans="1:17" s="173" customFormat="1" ht="18.600000000000001" customHeight="1" thickBot="1" x14ac:dyDescent="0.4">
      <c r="A1" s="280" t="s">
        <v>201</v>
      </c>
      <c r="B1" s="280"/>
      <c r="C1" s="280"/>
      <c r="D1" s="280"/>
      <c r="E1" s="280"/>
      <c r="F1" s="280"/>
      <c r="G1" s="280"/>
      <c r="H1" s="271"/>
      <c r="I1" s="271"/>
      <c r="J1" s="271"/>
      <c r="K1" s="271"/>
      <c r="L1" s="271"/>
      <c r="M1" s="271"/>
      <c r="N1" s="271"/>
      <c r="O1" s="271"/>
      <c r="P1" s="271"/>
      <c r="Q1" s="271"/>
    </row>
    <row r="2" spans="1:17" s="173" customFormat="1" ht="14.4" customHeight="1" thickBot="1" x14ac:dyDescent="0.3">
      <c r="A2" s="195" t="s">
        <v>199</v>
      </c>
      <c r="B2" s="174"/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74"/>
      <c r="Q2" s="174"/>
    </row>
    <row r="3" spans="1:17" ht="14.4" customHeight="1" x14ac:dyDescent="0.3">
      <c r="A3" s="59"/>
      <c r="B3" s="281" t="s">
        <v>6</v>
      </c>
      <c r="C3" s="282"/>
      <c r="D3" s="282"/>
      <c r="E3" s="282"/>
      <c r="F3" s="282"/>
      <c r="G3" s="282"/>
      <c r="H3" s="282"/>
      <c r="I3" s="282"/>
      <c r="J3" s="282"/>
      <c r="K3" s="282"/>
      <c r="L3" s="282"/>
      <c r="M3" s="282"/>
      <c r="N3" s="282"/>
      <c r="O3" s="282"/>
      <c r="P3" s="110"/>
      <c r="Q3" s="112"/>
    </row>
    <row r="4" spans="1:17" ht="14.4" customHeight="1" x14ac:dyDescent="0.3">
      <c r="A4" s="60"/>
      <c r="B4" s="20">
        <v>2016</v>
      </c>
      <c r="C4" s="111" t="s">
        <v>7</v>
      </c>
      <c r="D4" s="101" t="s">
        <v>178</v>
      </c>
      <c r="E4" s="101" t="s">
        <v>179</v>
      </c>
      <c r="F4" s="101" t="s">
        <v>180</v>
      </c>
      <c r="G4" s="101" t="s">
        <v>181</v>
      </c>
      <c r="H4" s="101" t="s">
        <v>182</v>
      </c>
      <c r="I4" s="101" t="s">
        <v>183</v>
      </c>
      <c r="J4" s="101" t="s">
        <v>184</v>
      </c>
      <c r="K4" s="101" t="s">
        <v>185</v>
      </c>
      <c r="L4" s="101" t="s">
        <v>186</v>
      </c>
      <c r="M4" s="101" t="s">
        <v>187</v>
      </c>
      <c r="N4" s="101" t="s">
        <v>188</v>
      </c>
      <c r="O4" s="101" t="s">
        <v>189</v>
      </c>
      <c r="P4" s="283" t="s">
        <v>3</v>
      </c>
      <c r="Q4" s="284"/>
    </row>
    <row r="5" spans="1:17" ht="14.4" customHeight="1" thickBot="1" x14ac:dyDescent="0.35">
      <c r="A5" s="61"/>
      <c r="B5" s="21" t="s">
        <v>8</v>
      </c>
      <c r="C5" s="22" t="s">
        <v>8</v>
      </c>
      <c r="D5" s="22" t="s">
        <v>9</v>
      </c>
      <c r="E5" s="22" t="s">
        <v>9</v>
      </c>
      <c r="F5" s="22" t="s">
        <v>9</v>
      </c>
      <c r="G5" s="22" t="s">
        <v>9</v>
      </c>
      <c r="H5" s="22" t="s">
        <v>9</v>
      </c>
      <c r="I5" s="22" t="s">
        <v>9</v>
      </c>
      <c r="J5" s="22" t="s">
        <v>9</v>
      </c>
      <c r="K5" s="22" t="s">
        <v>9</v>
      </c>
      <c r="L5" s="22" t="s">
        <v>9</v>
      </c>
      <c r="M5" s="22" t="s">
        <v>9</v>
      </c>
      <c r="N5" s="22" t="s">
        <v>9</v>
      </c>
      <c r="O5" s="22" t="s">
        <v>9</v>
      </c>
      <c r="P5" s="22" t="s">
        <v>9</v>
      </c>
      <c r="Q5" s="23" t="s">
        <v>10</v>
      </c>
    </row>
    <row r="6" spans="1:17" ht="14.4" customHeight="1" x14ac:dyDescent="0.3">
      <c r="A6" s="14" t="s">
        <v>11</v>
      </c>
      <c r="B6" s="43">
        <v>0</v>
      </c>
      <c r="C6" s="44">
        <v>0</v>
      </c>
      <c r="D6" s="44">
        <v>0</v>
      </c>
      <c r="E6" s="44">
        <v>0</v>
      </c>
      <c r="F6" s="44">
        <v>0</v>
      </c>
      <c r="G6" s="44">
        <v>0</v>
      </c>
      <c r="H6" s="44">
        <v>0</v>
      </c>
      <c r="I6" s="44">
        <v>0</v>
      </c>
      <c r="J6" s="44">
        <v>0</v>
      </c>
      <c r="K6" s="44">
        <v>0</v>
      </c>
      <c r="L6" s="44">
        <v>0</v>
      </c>
      <c r="M6" s="44">
        <v>0</v>
      </c>
      <c r="N6" s="44">
        <v>0</v>
      </c>
      <c r="O6" s="44">
        <v>0</v>
      </c>
      <c r="P6" s="45">
        <v>0</v>
      </c>
      <c r="Q6" s="69" t="s">
        <v>200</v>
      </c>
    </row>
    <row r="7" spans="1:17" ht="14.4" customHeight="1" x14ac:dyDescent="0.3">
      <c r="A7" s="15" t="s">
        <v>12</v>
      </c>
      <c r="B7" s="46">
        <v>0.33858009333099998</v>
      </c>
      <c r="C7" s="47">
        <v>2.8215007776999999E-2</v>
      </c>
      <c r="D7" s="47">
        <v>0</v>
      </c>
      <c r="E7" s="47">
        <v>0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v>0</v>
      </c>
      <c r="O7" s="47">
        <v>0</v>
      </c>
      <c r="P7" s="48">
        <v>0</v>
      </c>
      <c r="Q7" s="70">
        <v>0</v>
      </c>
    </row>
    <row r="8" spans="1:17" ht="14.4" customHeight="1" x14ac:dyDescent="0.3">
      <c r="A8" s="15" t="s">
        <v>13</v>
      </c>
      <c r="B8" s="46">
        <v>0</v>
      </c>
      <c r="C8" s="47">
        <v>0</v>
      </c>
      <c r="D8" s="47">
        <v>0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v>0</v>
      </c>
      <c r="P8" s="48">
        <v>0</v>
      </c>
      <c r="Q8" s="70" t="s">
        <v>200</v>
      </c>
    </row>
    <row r="9" spans="1:17" ht="14.4" customHeight="1" x14ac:dyDescent="0.3">
      <c r="A9" s="15" t="s">
        <v>14</v>
      </c>
      <c r="B9" s="46">
        <v>0.28936007976299999</v>
      </c>
      <c r="C9" s="47">
        <v>2.4113339979999999E-2</v>
      </c>
      <c r="D9" s="47">
        <v>0</v>
      </c>
      <c r="E9" s="47">
        <v>0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v>0</v>
      </c>
      <c r="O9" s="47">
        <v>0</v>
      </c>
      <c r="P9" s="48">
        <v>0</v>
      </c>
      <c r="Q9" s="70">
        <v>0</v>
      </c>
    </row>
    <row r="10" spans="1:17" ht="14.4" customHeight="1" x14ac:dyDescent="0.3">
      <c r="A10" s="15" t="s">
        <v>15</v>
      </c>
      <c r="B10" s="46">
        <v>0</v>
      </c>
      <c r="C10" s="47">
        <v>0</v>
      </c>
      <c r="D10" s="47">
        <v>0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v>0</v>
      </c>
      <c r="P10" s="48">
        <v>0</v>
      </c>
      <c r="Q10" s="70" t="s">
        <v>200</v>
      </c>
    </row>
    <row r="11" spans="1:17" ht="14.4" customHeight="1" x14ac:dyDescent="0.3">
      <c r="A11" s="15" t="s">
        <v>16</v>
      </c>
      <c r="B11" s="46">
        <v>9.8668194953920008</v>
      </c>
      <c r="C11" s="47">
        <v>0.82223495794900003</v>
      </c>
      <c r="D11" s="47">
        <v>2.0853999999999999</v>
      </c>
      <c r="E11" s="47">
        <v>1.57389</v>
      </c>
      <c r="F11" s="47">
        <v>0.30249999999999999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v>0</v>
      </c>
      <c r="O11" s="47">
        <v>0</v>
      </c>
      <c r="P11" s="48">
        <v>3.9617900000000001</v>
      </c>
      <c r="Q11" s="70">
        <v>0.80305310173099997</v>
      </c>
    </row>
    <row r="12" spans="1:17" ht="14.4" customHeight="1" x14ac:dyDescent="0.3">
      <c r="A12" s="15" t="s">
        <v>17</v>
      </c>
      <c r="B12" s="46">
        <v>0.121002909528</v>
      </c>
      <c r="C12" s="47">
        <v>1.0083575794E-2</v>
      </c>
      <c r="D12" s="47">
        <v>0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v>0</v>
      </c>
      <c r="O12" s="47">
        <v>0</v>
      </c>
      <c r="P12" s="48">
        <v>0</v>
      </c>
      <c r="Q12" s="70">
        <v>0</v>
      </c>
    </row>
    <row r="13" spans="1:17" ht="14.4" customHeight="1" x14ac:dyDescent="0.3">
      <c r="A13" s="15" t="s">
        <v>18</v>
      </c>
      <c r="B13" s="46">
        <v>0</v>
      </c>
      <c r="C13" s="47">
        <v>0</v>
      </c>
      <c r="D13" s="47">
        <v>0</v>
      </c>
      <c r="E13" s="47">
        <v>0</v>
      </c>
      <c r="F13" s="47">
        <v>0</v>
      </c>
      <c r="G13" s="47">
        <v>0</v>
      </c>
      <c r="H13" s="47">
        <v>0</v>
      </c>
      <c r="I13" s="47">
        <v>0.74414999999999998</v>
      </c>
      <c r="J13" s="47">
        <v>0</v>
      </c>
      <c r="K13" s="47">
        <v>0</v>
      </c>
      <c r="L13" s="47">
        <v>0</v>
      </c>
      <c r="M13" s="47">
        <v>0</v>
      </c>
      <c r="N13" s="47">
        <v>0</v>
      </c>
      <c r="O13" s="47">
        <v>0</v>
      </c>
      <c r="P13" s="48">
        <v>0.74414999999999998</v>
      </c>
      <c r="Q13" s="70" t="s">
        <v>200</v>
      </c>
    </row>
    <row r="14" spans="1:17" ht="14.4" customHeight="1" x14ac:dyDescent="0.3">
      <c r="A14" s="15" t="s">
        <v>19</v>
      </c>
      <c r="B14" s="46">
        <v>142.169560738618</v>
      </c>
      <c r="C14" s="47">
        <v>11.847463394884</v>
      </c>
      <c r="D14" s="47">
        <v>18.408000000000001</v>
      </c>
      <c r="E14" s="47">
        <v>13.744999999999999</v>
      </c>
      <c r="F14" s="47">
        <v>15.207000000000001</v>
      </c>
      <c r="G14" s="47">
        <v>11.855</v>
      </c>
      <c r="H14" s="47">
        <v>9.9689999999999994</v>
      </c>
      <c r="I14" s="47">
        <v>9.1560000000000006</v>
      </c>
      <c r="J14" s="47">
        <v>0</v>
      </c>
      <c r="K14" s="47">
        <v>0</v>
      </c>
      <c r="L14" s="47">
        <v>0</v>
      </c>
      <c r="M14" s="47">
        <v>0</v>
      </c>
      <c r="N14" s="47">
        <v>0</v>
      </c>
      <c r="O14" s="47">
        <v>0</v>
      </c>
      <c r="P14" s="48">
        <v>78.34</v>
      </c>
      <c r="Q14" s="70">
        <v>1.102064318029</v>
      </c>
    </row>
    <row r="15" spans="1:17" ht="14.4" customHeight="1" x14ac:dyDescent="0.3">
      <c r="A15" s="15" t="s">
        <v>20</v>
      </c>
      <c r="B15" s="46">
        <v>0</v>
      </c>
      <c r="C15" s="47">
        <v>0</v>
      </c>
      <c r="D15" s="47">
        <v>0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v>0</v>
      </c>
      <c r="P15" s="48">
        <v>0</v>
      </c>
      <c r="Q15" s="70" t="s">
        <v>200</v>
      </c>
    </row>
    <row r="16" spans="1:17" ht="14.4" customHeight="1" x14ac:dyDescent="0.3">
      <c r="A16" s="15" t="s">
        <v>21</v>
      </c>
      <c r="B16" s="46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v>0</v>
      </c>
      <c r="P16" s="48">
        <v>0</v>
      </c>
      <c r="Q16" s="70" t="s">
        <v>200</v>
      </c>
    </row>
    <row r="17" spans="1:17" ht="14.4" customHeight="1" x14ac:dyDescent="0.3">
      <c r="A17" s="15" t="s">
        <v>22</v>
      </c>
      <c r="B17" s="46">
        <v>3.559076679176</v>
      </c>
      <c r="C17" s="47">
        <v>0.29658972326400002</v>
      </c>
      <c r="D17" s="47">
        <v>0</v>
      </c>
      <c r="E17" s="47">
        <v>0</v>
      </c>
      <c r="F17" s="47">
        <v>0</v>
      </c>
      <c r="G17" s="47">
        <v>0</v>
      </c>
      <c r="H17" s="47">
        <v>0</v>
      </c>
      <c r="I17" s="47">
        <v>1.0467500000000001</v>
      </c>
      <c r="J17" s="47">
        <v>0</v>
      </c>
      <c r="K17" s="47">
        <v>0</v>
      </c>
      <c r="L17" s="47">
        <v>0</v>
      </c>
      <c r="M17" s="47">
        <v>0</v>
      </c>
      <c r="N17" s="47">
        <v>0</v>
      </c>
      <c r="O17" s="47">
        <v>0</v>
      </c>
      <c r="P17" s="48">
        <v>1.0467500000000001</v>
      </c>
      <c r="Q17" s="70">
        <v>0.58821435690000001</v>
      </c>
    </row>
    <row r="18" spans="1:17" ht="14.4" customHeight="1" x14ac:dyDescent="0.3">
      <c r="A18" s="15" t="s">
        <v>23</v>
      </c>
      <c r="B18" s="46">
        <v>0</v>
      </c>
      <c r="C18" s="47">
        <v>0</v>
      </c>
      <c r="D18" s="47">
        <v>0</v>
      </c>
      <c r="E18" s="47">
        <v>0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v>0</v>
      </c>
      <c r="O18" s="47">
        <v>0</v>
      </c>
      <c r="P18" s="48">
        <v>0</v>
      </c>
      <c r="Q18" s="70" t="s">
        <v>200</v>
      </c>
    </row>
    <row r="19" spans="1:17" ht="14.4" customHeight="1" x14ac:dyDescent="0.3">
      <c r="A19" s="15" t="s">
        <v>24</v>
      </c>
      <c r="B19" s="46">
        <v>28.072430349047998</v>
      </c>
      <c r="C19" s="47">
        <v>2.3393691957540002</v>
      </c>
      <c r="D19" s="47">
        <v>2.8977200000000001</v>
      </c>
      <c r="E19" s="47">
        <v>1.72668</v>
      </c>
      <c r="F19" s="47">
        <v>3.5070800000000002</v>
      </c>
      <c r="G19" s="47">
        <v>4.8144099999999996</v>
      </c>
      <c r="H19" s="47">
        <v>1.89645</v>
      </c>
      <c r="I19" s="47">
        <v>1.8869499999999999</v>
      </c>
      <c r="J19" s="47">
        <v>0</v>
      </c>
      <c r="K19" s="47">
        <v>0</v>
      </c>
      <c r="L19" s="47">
        <v>0</v>
      </c>
      <c r="M19" s="47">
        <v>0</v>
      </c>
      <c r="N19" s="47">
        <v>0</v>
      </c>
      <c r="O19" s="47">
        <v>0</v>
      </c>
      <c r="P19" s="48">
        <v>16.729289999999999</v>
      </c>
      <c r="Q19" s="70">
        <v>1.1918661684780001</v>
      </c>
    </row>
    <row r="20" spans="1:17" ht="14.4" customHeight="1" x14ac:dyDescent="0.3">
      <c r="A20" s="15" t="s">
        <v>25</v>
      </c>
      <c r="B20" s="46">
        <v>3259.00089836186</v>
      </c>
      <c r="C20" s="47">
        <v>271.58340819682201</v>
      </c>
      <c r="D20" s="47">
        <v>240.10337999999999</v>
      </c>
      <c r="E20" s="47">
        <v>269.44006000000002</v>
      </c>
      <c r="F20" s="47">
        <v>267.13233000000002</v>
      </c>
      <c r="G20" s="47">
        <v>267.56065000000001</v>
      </c>
      <c r="H20" s="47">
        <v>266.66834999999998</v>
      </c>
      <c r="I20" s="47">
        <v>211.58023</v>
      </c>
      <c r="J20" s="47">
        <v>0</v>
      </c>
      <c r="K20" s="47">
        <v>0</v>
      </c>
      <c r="L20" s="47">
        <v>0</v>
      </c>
      <c r="M20" s="47">
        <v>0</v>
      </c>
      <c r="N20" s="47">
        <v>0</v>
      </c>
      <c r="O20" s="47">
        <v>0</v>
      </c>
      <c r="P20" s="48">
        <v>1522.4849999999999</v>
      </c>
      <c r="Q20" s="70">
        <v>0.93432622296300005</v>
      </c>
    </row>
    <row r="21" spans="1:17" ht="14.4" customHeight="1" x14ac:dyDescent="0.3">
      <c r="A21" s="16" t="s">
        <v>26</v>
      </c>
      <c r="B21" s="46">
        <v>20.000049892724999</v>
      </c>
      <c r="C21" s="47">
        <v>1.666670824393</v>
      </c>
      <c r="D21" s="47">
        <v>1.641</v>
      </c>
      <c r="E21" s="47">
        <v>1.641</v>
      </c>
      <c r="F21" s="47">
        <v>1.641</v>
      </c>
      <c r="G21" s="47">
        <v>1.641</v>
      </c>
      <c r="H21" s="47">
        <v>1.641</v>
      </c>
      <c r="I21" s="47">
        <v>1.641</v>
      </c>
      <c r="J21" s="47">
        <v>0</v>
      </c>
      <c r="K21" s="47">
        <v>0</v>
      </c>
      <c r="L21" s="47">
        <v>0</v>
      </c>
      <c r="M21" s="47">
        <v>0</v>
      </c>
      <c r="N21" s="47">
        <v>0</v>
      </c>
      <c r="O21" s="47">
        <v>0</v>
      </c>
      <c r="P21" s="48">
        <v>9.8460000000000001</v>
      </c>
      <c r="Q21" s="70">
        <v>0.98459754378700004</v>
      </c>
    </row>
    <row r="22" spans="1:17" ht="14.4" customHeight="1" x14ac:dyDescent="0.3">
      <c r="A22" s="15" t="s">
        <v>27</v>
      </c>
      <c r="B22" s="46">
        <v>0</v>
      </c>
      <c r="C22" s="47">
        <v>0</v>
      </c>
      <c r="D22" s="47">
        <v>0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v>0</v>
      </c>
      <c r="P22" s="48">
        <v>0</v>
      </c>
      <c r="Q22" s="70" t="s">
        <v>200</v>
      </c>
    </row>
    <row r="23" spans="1:17" ht="14.4" customHeight="1" x14ac:dyDescent="0.3">
      <c r="A23" s="16" t="s">
        <v>28</v>
      </c>
      <c r="B23" s="46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v>0</v>
      </c>
      <c r="P23" s="48">
        <v>0</v>
      </c>
      <c r="Q23" s="70" t="s">
        <v>200</v>
      </c>
    </row>
    <row r="24" spans="1:17" ht="14.4" customHeight="1" x14ac:dyDescent="0.3">
      <c r="A24" s="16" t="s">
        <v>29</v>
      </c>
      <c r="B24" s="46">
        <v>-4.5474735088646402E-13</v>
      </c>
      <c r="C24" s="47">
        <v>0</v>
      </c>
      <c r="D24" s="47">
        <v>-5.6843418860808002E-14</v>
      </c>
      <c r="E24" s="47">
        <v>-5.6843418860808002E-14</v>
      </c>
      <c r="F24" s="47">
        <v>-5.6843418860808002E-14</v>
      </c>
      <c r="G24" s="47">
        <v>-5.6843418860808002E-14</v>
      </c>
      <c r="H24" s="47">
        <v>-5.6843418860808002E-14</v>
      </c>
      <c r="I24" s="47">
        <v>5.6843418860808002E-14</v>
      </c>
      <c r="J24" s="47">
        <v>0</v>
      </c>
      <c r="K24" s="47">
        <v>0</v>
      </c>
      <c r="L24" s="47">
        <v>0</v>
      </c>
      <c r="M24" s="47">
        <v>0</v>
      </c>
      <c r="N24" s="47">
        <v>0</v>
      </c>
      <c r="O24" s="47">
        <v>0</v>
      </c>
      <c r="P24" s="48">
        <v>-2.2737367544323201E-13</v>
      </c>
      <c r="Q24" s="70"/>
    </row>
    <row r="25" spans="1:17" ht="14.4" customHeight="1" x14ac:dyDescent="0.3">
      <c r="A25" s="17" t="s">
        <v>30</v>
      </c>
      <c r="B25" s="49">
        <v>3463.4177785994498</v>
      </c>
      <c r="C25" s="50">
        <v>288.61814821662102</v>
      </c>
      <c r="D25" s="50">
        <v>265.13549999999998</v>
      </c>
      <c r="E25" s="50">
        <v>288.12662999999998</v>
      </c>
      <c r="F25" s="50">
        <v>287.78991000000002</v>
      </c>
      <c r="G25" s="50">
        <v>285.87106</v>
      </c>
      <c r="H25" s="50">
        <v>280.1748</v>
      </c>
      <c r="I25" s="50">
        <v>226.05508</v>
      </c>
      <c r="J25" s="50">
        <v>0</v>
      </c>
      <c r="K25" s="50">
        <v>0</v>
      </c>
      <c r="L25" s="50">
        <v>0</v>
      </c>
      <c r="M25" s="50">
        <v>0</v>
      </c>
      <c r="N25" s="50">
        <v>0</v>
      </c>
      <c r="O25" s="50">
        <v>0</v>
      </c>
      <c r="P25" s="51">
        <v>1633.1529800000001</v>
      </c>
      <c r="Q25" s="71">
        <v>0.94308748432900003</v>
      </c>
    </row>
    <row r="26" spans="1:17" ht="14.4" customHeight="1" x14ac:dyDescent="0.3">
      <c r="A26" s="15" t="s">
        <v>31</v>
      </c>
      <c r="B26" s="46">
        <v>463.70014961789599</v>
      </c>
      <c r="C26" s="47">
        <v>38.641679134824003</v>
      </c>
      <c r="D26" s="47">
        <v>34.589320000000001</v>
      </c>
      <c r="E26" s="47">
        <v>32.792200000000001</v>
      </c>
      <c r="F26" s="47">
        <v>36.041350000000001</v>
      </c>
      <c r="G26" s="47">
        <v>36.84863</v>
      </c>
      <c r="H26" s="47">
        <v>32.499490000000002</v>
      </c>
      <c r="I26" s="47">
        <v>44.144280000000002</v>
      </c>
      <c r="J26" s="47">
        <v>0</v>
      </c>
      <c r="K26" s="47">
        <v>0</v>
      </c>
      <c r="L26" s="47">
        <v>0</v>
      </c>
      <c r="M26" s="47">
        <v>0</v>
      </c>
      <c r="N26" s="47">
        <v>0</v>
      </c>
      <c r="O26" s="47">
        <v>0</v>
      </c>
      <c r="P26" s="48">
        <v>216.91526999999999</v>
      </c>
      <c r="Q26" s="70">
        <v>0.93558421397400005</v>
      </c>
    </row>
    <row r="27" spans="1:17" ht="14.4" customHeight="1" x14ac:dyDescent="0.3">
      <c r="A27" s="18" t="s">
        <v>32</v>
      </c>
      <c r="B27" s="49">
        <v>3927.1179282173398</v>
      </c>
      <c r="C27" s="50">
        <v>327.25982735144498</v>
      </c>
      <c r="D27" s="50">
        <v>299.72482000000002</v>
      </c>
      <c r="E27" s="50">
        <v>320.91883000000001</v>
      </c>
      <c r="F27" s="50">
        <v>323.83125999999999</v>
      </c>
      <c r="G27" s="50">
        <v>322.71969000000001</v>
      </c>
      <c r="H27" s="50">
        <v>312.67428999999998</v>
      </c>
      <c r="I27" s="50">
        <v>270.19936000000001</v>
      </c>
      <c r="J27" s="50">
        <v>0</v>
      </c>
      <c r="K27" s="50">
        <v>0</v>
      </c>
      <c r="L27" s="50">
        <v>0</v>
      </c>
      <c r="M27" s="50">
        <v>0</v>
      </c>
      <c r="N27" s="50">
        <v>0</v>
      </c>
      <c r="O27" s="50">
        <v>0</v>
      </c>
      <c r="P27" s="51">
        <v>1850.06825</v>
      </c>
      <c r="Q27" s="71">
        <v>0.94220152478999997</v>
      </c>
    </row>
    <row r="28" spans="1:17" ht="14.4" customHeight="1" x14ac:dyDescent="0.3">
      <c r="A28" s="16" t="s">
        <v>33</v>
      </c>
      <c r="B28" s="46">
        <v>0.96145865957300003</v>
      </c>
      <c r="C28" s="47">
        <v>8.0121554964000002E-2</v>
      </c>
      <c r="D28" s="47">
        <v>0</v>
      </c>
      <c r="E28" s="47">
        <v>0</v>
      </c>
      <c r="F28" s="47">
        <v>0</v>
      </c>
      <c r="G28" s="47">
        <v>0.57393000000000005</v>
      </c>
      <c r="H28" s="47">
        <v>0.19131000000000001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v>0</v>
      </c>
      <c r="O28" s="47">
        <v>0</v>
      </c>
      <c r="P28" s="48">
        <v>0.76524000000000003</v>
      </c>
      <c r="Q28" s="70">
        <v>1.5918313125179999</v>
      </c>
    </row>
    <row r="29" spans="1:17" ht="14.4" customHeight="1" x14ac:dyDescent="0.3">
      <c r="A29" s="16" t="s">
        <v>34</v>
      </c>
      <c r="B29" s="46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v>0</v>
      </c>
      <c r="P29" s="48">
        <v>0</v>
      </c>
      <c r="Q29" s="70" t="s">
        <v>200</v>
      </c>
    </row>
    <row r="30" spans="1:17" ht="14.4" customHeight="1" x14ac:dyDescent="0.3">
      <c r="A30" s="16" t="s">
        <v>35</v>
      </c>
      <c r="B30" s="46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v>0</v>
      </c>
      <c r="P30" s="48">
        <v>0</v>
      </c>
      <c r="Q30" s="70">
        <v>0</v>
      </c>
    </row>
    <row r="31" spans="1:17" ht="14.4" customHeight="1" thickBot="1" x14ac:dyDescent="0.35">
      <c r="A31" s="19" t="s">
        <v>36</v>
      </c>
      <c r="B31" s="52">
        <v>0</v>
      </c>
      <c r="C31" s="53">
        <v>0</v>
      </c>
      <c r="D31" s="53">
        <v>0</v>
      </c>
      <c r="E31" s="53">
        <v>0</v>
      </c>
      <c r="F31" s="53">
        <v>0</v>
      </c>
      <c r="G31" s="53">
        <v>0</v>
      </c>
      <c r="H31" s="53">
        <v>0</v>
      </c>
      <c r="I31" s="53">
        <v>0</v>
      </c>
      <c r="J31" s="53">
        <v>0</v>
      </c>
      <c r="K31" s="53">
        <v>0</v>
      </c>
      <c r="L31" s="53">
        <v>0</v>
      </c>
      <c r="M31" s="53">
        <v>0</v>
      </c>
      <c r="N31" s="53">
        <v>0</v>
      </c>
      <c r="O31" s="53">
        <v>0</v>
      </c>
      <c r="P31" s="54">
        <v>0</v>
      </c>
      <c r="Q31" s="72" t="s">
        <v>200</v>
      </c>
    </row>
    <row r="32" spans="1:17" ht="14.4" customHeight="1" x14ac:dyDescent="0.3">
      <c r="B32" s="103"/>
      <c r="C32" s="103"/>
      <c r="D32" s="103"/>
      <c r="E32" s="103"/>
      <c r="F32" s="103"/>
      <c r="G32" s="103"/>
      <c r="H32" s="103"/>
      <c r="I32" s="103"/>
      <c r="J32" s="103"/>
      <c r="K32" s="103"/>
      <c r="L32" s="103"/>
      <c r="M32" s="103"/>
      <c r="N32" s="103"/>
      <c r="O32" s="103"/>
      <c r="P32" s="103"/>
      <c r="Q32" s="103"/>
    </row>
    <row r="33" spans="1:17" ht="14.4" customHeight="1" x14ac:dyDescent="0.3">
      <c r="A33" s="85" t="s">
        <v>115</v>
      </c>
      <c r="B33" s="104"/>
      <c r="C33" s="104"/>
      <c r="D33" s="104"/>
      <c r="E33" s="104"/>
      <c r="F33" s="104"/>
      <c r="G33" s="104"/>
      <c r="H33" s="104"/>
      <c r="I33" s="104"/>
      <c r="J33" s="104"/>
      <c r="K33" s="104"/>
      <c r="L33" s="104"/>
      <c r="M33" s="104"/>
      <c r="N33" s="104"/>
      <c r="O33" s="104"/>
      <c r="P33" s="104"/>
      <c r="Q33" s="104"/>
    </row>
    <row r="34" spans="1:17" ht="14.4" customHeight="1" x14ac:dyDescent="0.3">
      <c r="A34" s="108" t="s">
        <v>190</v>
      </c>
      <c r="B34" s="104"/>
      <c r="C34" s="104"/>
      <c r="D34" s="104"/>
      <c r="E34" s="104"/>
      <c r="F34" s="104"/>
      <c r="G34" s="104"/>
      <c r="H34" s="104"/>
      <c r="I34" s="104"/>
      <c r="J34" s="104"/>
      <c r="K34" s="104"/>
      <c r="L34" s="104"/>
      <c r="M34" s="104"/>
      <c r="N34" s="104"/>
      <c r="O34" s="104"/>
      <c r="P34" s="104"/>
      <c r="Q34" s="104"/>
    </row>
    <row r="35" spans="1:17" ht="14.4" customHeight="1" x14ac:dyDescent="0.3">
      <c r="A35" s="109" t="s">
        <v>37</v>
      </c>
      <c r="B35" s="104"/>
      <c r="C35" s="104"/>
      <c r="D35" s="104"/>
      <c r="E35" s="104"/>
      <c r="F35" s="104"/>
      <c r="G35" s="104"/>
      <c r="H35" s="104"/>
      <c r="I35" s="104"/>
      <c r="J35" s="104"/>
      <c r="K35" s="104"/>
      <c r="L35" s="104"/>
      <c r="M35" s="104"/>
      <c r="N35" s="104"/>
      <c r="O35" s="104"/>
      <c r="P35" s="104"/>
      <c r="Q35" s="104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113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02" customWidth="1"/>
    <col min="2" max="11" width="10" style="102" customWidth="1"/>
    <col min="12" max="16384" width="8.88671875" style="102"/>
  </cols>
  <sheetData>
    <row r="1" spans="1:11" s="55" customFormat="1" ht="18.600000000000001" customHeight="1" thickBot="1" x14ac:dyDescent="0.4">
      <c r="A1" s="280" t="s">
        <v>38</v>
      </c>
      <c r="B1" s="280"/>
      <c r="C1" s="280"/>
      <c r="D1" s="280"/>
      <c r="E1" s="280"/>
      <c r="F1" s="280"/>
      <c r="G1" s="280"/>
      <c r="H1" s="285"/>
      <c r="I1" s="285"/>
      <c r="J1" s="285"/>
      <c r="K1" s="285"/>
    </row>
    <row r="2" spans="1:11" s="55" customFormat="1" ht="14.4" customHeight="1" thickBot="1" x14ac:dyDescent="0.35">
      <c r="A2" s="195" t="s">
        <v>199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3" spans="1:11" ht="14.4" customHeight="1" x14ac:dyDescent="0.3">
      <c r="A3" s="59"/>
      <c r="B3" s="281" t="s">
        <v>39</v>
      </c>
      <c r="C3" s="282"/>
      <c r="D3" s="282"/>
      <c r="E3" s="282"/>
      <c r="F3" s="288" t="s">
        <v>40</v>
      </c>
      <c r="G3" s="282"/>
      <c r="H3" s="282"/>
      <c r="I3" s="282"/>
      <c r="J3" s="282"/>
      <c r="K3" s="289"/>
    </row>
    <row r="4" spans="1:11" ht="14.4" customHeight="1" x14ac:dyDescent="0.3">
      <c r="A4" s="60"/>
      <c r="B4" s="286"/>
      <c r="C4" s="287"/>
      <c r="D4" s="287"/>
      <c r="E4" s="287"/>
      <c r="F4" s="290" t="s">
        <v>195</v>
      </c>
      <c r="G4" s="292" t="s">
        <v>41</v>
      </c>
      <c r="H4" s="113" t="s">
        <v>107</v>
      </c>
      <c r="I4" s="290" t="s">
        <v>42</v>
      </c>
      <c r="J4" s="292" t="s">
        <v>172</v>
      </c>
      <c r="K4" s="293" t="s">
        <v>197</v>
      </c>
    </row>
    <row r="5" spans="1:11" ht="42" thickBot="1" x14ac:dyDescent="0.35">
      <c r="A5" s="61"/>
      <c r="B5" s="24" t="s">
        <v>191</v>
      </c>
      <c r="C5" s="25" t="s">
        <v>192</v>
      </c>
      <c r="D5" s="26" t="s">
        <v>193</v>
      </c>
      <c r="E5" s="26" t="s">
        <v>194</v>
      </c>
      <c r="F5" s="291"/>
      <c r="G5" s="291"/>
      <c r="H5" s="25" t="s">
        <v>196</v>
      </c>
      <c r="I5" s="291"/>
      <c r="J5" s="291"/>
      <c r="K5" s="294"/>
    </row>
    <row r="6" spans="1:11" ht="14.4" customHeight="1" thickBot="1" x14ac:dyDescent="0.35">
      <c r="A6" s="352" t="s">
        <v>202</v>
      </c>
      <c r="B6" s="334">
        <v>3338.2951753785601</v>
      </c>
      <c r="C6" s="334">
        <v>3579.7256400000001</v>
      </c>
      <c r="D6" s="335">
        <v>241.43046462144201</v>
      </c>
      <c r="E6" s="336">
        <v>1.07232148505</v>
      </c>
      <c r="F6" s="334">
        <v>3463.4177785994498</v>
      </c>
      <c r="G6" s="335">
        <v>1731.7088892997201</v>
      </c>
      <c r="H6" s="337">
        <v>226.05508</v>
      </c>
      <c r="I6" s="334">
        <v>1633.1529800000001</v>
      </c>
      <c r="J6" s="335">
        <v>-98.555909299722998</v>
      </c>
      <c r="K6" s="338">
        <v>0.47154374216400002</v>
      </c>
    </row>
    <row r="7" spans="1:11" ht="14.4" customHeight="1" thickBot="1" x14ac:dyDescent="0.35">
      <c r="A7" s="353" t="s">
        <v>203</v>
      </c>
      <c r="B7" s="334">
        <v>165.03438528450999</v>
      </c>
      <c r="C7" s="334">
        <v>159.03882999999999</v>
      </c>
      <c r="D7" s="335">
        <v>-5.9955552845089999</v>
      </c>
      <c r="E7" s="336">
        <v>0.96367087213799996</v>
      </c>
      <c r="F7" s="334">
        <v>152.78532331663399</v>
      </c>
      <c r="G7" s="335">
        <v>76.392661658316996</v>
      </c>
      <c r="H7" s="337">
        <v>9.90015</v>
      </c>
      <c r="I7" s="334">
        <v>83.045940000000002</v>
      </c>
      <c r="J7" s="335">
        <v>6.6532783416820003</v>
      </c>
      <c r="K7" s="338">
        <v>0.54354658024199998</v>
      </c>
    </row>
    <row r="8" spans="1:11" ht="14.4" customHeight="1" thickBot="1" x14ac:dyDescent="0.35">
      <c r="A8" s="354" t="s">
        <v>204</v>
      </c>
      <c r="B8" s="334">
        <v>17.260189119102002</v>
      </c>
      <c r="C8" s="334">
        <v>13.970829999999999</v>
      </c>
      <c r="D8" s="335">
        <v>-3.289359119102</v>
      </c>
      <c r="E8" s="336">
        <v>0.80942508240099997</v>
      </c>
      <c r="F8" s="334">
        <v>10.615762578016</v>
      </c>
      <c r="G8" s="335">
        <v>5.3078812890079998</v>
      </c>
      <c r="H8" s="337">
        <v>0.74414999999999998</v>
      </c>
      <c r="I8" s="334">
        <v>4.70594</v>
      </c>
      <c r="J8" s="335">
        <v>-0.60194128900800004</v>
      </c>
      <c r="K8" s="338">
        <v>0.443297404723</v>
      </c>
    </row>
    <row r="9" spans="1:11" ht="14.4" customHeight="1" thickBot="1" x14ac:dyDescent="0.35">
      <c r="A9" s="355" t="s">
        <v>205</v>
      </c>
      <c r="B9" s="339">
        <v>0</v>
      </c>
      <c r="C9" s="339">
        <v>0.33857999999999999</v>
      </c>
      <c r="D9" s="340">
        <v>0.33857999999999999</v>
      </c>
      <c r="E9" s="341" t="s">
        <v>206</v>
      </c>
      <c r="F9" s="339">
        <v>0.33858009333099998</v>
      </c>
      <c r="G9" s="340">
        <v>0.169290046665</v>
      </c>
      <c r="H9" s="342">
        <v>0</v>
      </c>
      <c r="I9" s="339">
        <v>0</v>
      </c>
      <c r="J9" s="340">
        <v>-0.169290046665</v>
      </c>
      <c r="K9" s="343">
        <v>0</v>
      </c>
    </row>
    <row r="10" spans="1:11" ht="14.4" customHeight="1" thickBot="1" x14ac:dyDescent="0.35">
      <c r="A10" s="356" t="s">
        <v>207</v>
      </c>
      <c r="B10" s="334">
        <v>0</v>
      </c>
      <c r="C10" s="334">
        <v>0.33857999999999999</v>
      </c>
      <c r="D10" s="335">
        <v>0.33857999999999999</v>
      </c>
      <c r="E10" s="344" t="s">
        <v>206</v>
      </c>
      <c r="F10" s="334">
        <v>0.33858009333099998</v>
      </c>
      <c r="G10" s="335">
        <v>0.169290046665</v>
      </c>
      <c r="H10" s="337">
        <v>0</v>
      </c>
      <c r="I10" s="334">
        <v>0</v>
      </c>
      <c r="J10" s="335">
        <v>-0.169290046665</v>
      </c>
      <c r="K10" s="338">
        <v>0</v>
      </c>
    </row>
    <row r="11" spans="1:11" ht="14.4" customHeight="1" thickBot="1" x14ac:dyDescent="0.35">
      <c r="A11" s="355" t="s">
        <v>208</v>
      </c>
      <c r="B11" s="339">
        <v>0</v>
      </c>
      <c r="C11" s="339">
        <v>1.01122</v>
      </c>
      <c r="D11" s="340">
        <v>1.01122</v>
      </c>
      <c r="E11" s="341" t="s">
        <v>206</v>
      </c>
      <c r="F11" s="339">
        <v>0.28936007976299999</v>
      </c>
      <c r="G11" s="340">
        <v>0.14468003988100001</v>
      </c>
      <c r="H11" s="342">
        <v>0</v>
      </c>
      <c r="I11" s="339">
        <v>0</v>
      </c>
      <c r="J11" s="340">
        <v>-0.14468003988100001</v>
      </c>
      <c r="K11" s="343">
        <v>0</v>
      </c>
    </row>
    <row r="12" spans="1:11" ht="14.4" customHeight="1" thickBot="1" x14ac:dyDescent="0.35">
      <c r="A12" s="356" t="s">
        <v>209</v>
      </c>
      <c r="B12" s="334">
        <v>0</v>
      </c>
      <c r="C12" s="334">
        <v>0.28936000000000001</v>
      </c>
      <c r="D12" s="335">
        <v>0.28936000000000001</v>
      </c>
      <c r="E12" s="344" t="s">
        <v>206</v>
      </c>
      <c r="F12" s="334">
        <v>0.28936007976299999</v>
      </c>
      <c r="G12" s="335">
        <v>0.14468003988100001</v>
      </c>
      <c r="H12" s="337">
        <v>0</v>
      </c>
      <c r="I12" s="334">
        <v>0</v>
      </c>
      <c r="J12" s="335">
        <v>-0.14468003988100001</v>
      </c>
      <c r="K12" s="338">
        <v>0</v>
      </c>
    </row>
    <row r="13" spans="1:11" ht="14.4" customHeight="1" thickBot="1" x14ac:dyDescent="0.35">
      <c r="A13" s="356" t="s">
        <v>210</v>
      </c>
      <c r="B13" s="334">
        <v>0</v>
      </c>
      <c r="C13" s="334">
        <v>0.72185999999999995</v>
      </c>
      <c r="D13" s="335">
        <v>0.72185999999999995</v>
      </c>
      <c r="E13" s="344" t="s">
        <v>206</v>
      </c>
      <c r="F13" s="334">
        <v>0</v>
      </c>
      <c r="G13" s="335">
        <v>0</v>
      </c>
      <c r="H13" s="337">
        <v>0</v>
      </c>
      <c r="I13" s="334">
        <v>0</v>
      </c>
      <c r="J13" s="335">
        <v>0</v>
      </c>
      <c r="K13" s="345" t="s">
        <v>200</v>
      </c>
    </row>
    <row r="14" spans="1:11" ht="14.4" customHeight="1" thickBot="1" x14ac:dyDescent="0.35">
      <c r="A14" s="355" t="s">
        <v>211</v>
      </c>
      <c r="B14" s="339">
        <v>13.260189245092</v>
      </c>
      <c r="C14" s="339">
        <v>9.5557800000000004</v>
      </c>
      <c r="D14" s="340">
        <v>-3.7044092450920001</v>
      </c>
      <c r="E14" s="346">
        <v>0.72063677398299997</v>
      </c>
      <c r="F14" s="339">
        <v>9.8668194953920008</v>
      </c>
      <c r="G14" s="340">
        <v>4.9334097476960004</v>
      </c>
      <c r="H14" s="342">
        <v>0</v>
      </c>
      <c r="I14" s="339">
        <v>3.9617900000000001</v>
      </c>
      <c r="J14" s="340">
        <v>-0.97161974769600001</v>
      </c>
      <c r="K14" s="343">
        <v>0.401526550865</v>
      </c>
    </row>
    <row r="15" spans="1:11" ht="14.4" customHeight="1" thickBot="1" x14ac:dyDescent="0.35">
      <c r="A15" s="356" t="s">
        <v>212</v>
      </c>
      <c r="B15" s="334">
        <v>0</v>
      </c>
      <c r="C15" s="334">
        <v>1.3</v>
      </c>
      <c r="D15" s="335">
        <v>1.3</v>
      </c>
      <c r="E15" s="344" t="s">
        <v>206</v>
      </c>
      <c r="F15" s="334">
        <v>1.2087396550159999</v>
      </c>
      <c r="G15" s="335">
        <v>0.60436982750799995</v>
      </c>
      <c r="H15" s="337">
        <v>0</v>
      </c>
      <c r="I15" s="334">
        <v>0</v>
      </c>
      <c r="J15" s="335">
        <v>-0.60436982750799995</v>
      </c>
      <c r="K15" s="338">
        <v>0</v>
      </c>
    </row>
    <row r="16" spans="1:11" ht="14.4" customHeight="1" thickBot="1" x14ac:dyDescent="0.35">
      <c r="A16" s="356" t="s">
        <v>213</v>
      </c>
      <c r="B16" s="334">
        <v>3.8952225394590001</v>
      </c>
      <c r="C16" s="334">
        <v>1.2397199999999999</v>
      </c>
      <c r="D16" s="335">
        <v>-2.6555025394589999</v>
      </c>
      <c r="E16" s="336">
        <v>0.31826679668199997</v>
      </c>
      <c r="F16" s="334">
        <v>1.253218695985</v>
      </c>
      <c r="G16" s="335">
        <v>0.62660934799199997</v>
      </c>
      <c r="H16" s="337">
        <v>0</v>
      </c>
      <c r="I16" s="334">
        <v>0.78552999999999995</v>
      </c>
      <c r="J16" s="335">
        <v>0.15892065200700001</v>
      </c>
      <c r="K16" s="338">
        <v>0.626809991357</v>
      </c>
    </row>
    <row r="17" spans="1:11" ht="14.4" customHeight="1" thickBot="1" x14ac:dyDescent="0.35">
      <c r="A17" s="356" t="s">
        <v>214</v>
      </c>
      <c r="B17" s="334">
        <v>5.9999998110139998</v>
      </c>
      <c r="C17" s="334">
        <v>3.5371299999999999</v>
      </c>
      <c r="D17" s="335">
        <v>-2.4628698110139999</v>
      </c>
      <c r="E17" s="336">
        <v>0.58952168523500004</v>
      </c>
      <c r="F17" s="334">
        <v>3.3807647808249999</v>
      </c>
      <c r="G17" s="335">
        <v>1.6903823904119999</v>
      </c>
      <c r="H17" s="337">
        <v>0</v>
      </c>
      <c r="I17" s="334">
        <v>2.3831099999999998</v>
      </c>
      <c r="J17" s="335">
        <v>0.69272760958699997</v>
      </c>
      <c r="K17" s="338">
        <v>0.70490263431400002</v>
      </c>
    </row>
    <row r="18" spans="1:11" ht="14.4" customHeight="1" thickBot="1" x14ac:dyDescent="0.35">
      <c r="A18" s="356" t="s">
        <v>215</v>
      </c>
      <c r="B18" s="334">
        <v>0.99999996850200001</v>
      </c>
      <c r="C18" s="334">
        <v>2.4467500000000002</v>
      </c>
      <c r="D18" s="335">
        <v>1.4467500314970001</v>
      </c>
      <c r="E18" s="336">
        <v>2.446750077066</v>
      </c>
      <c r="F18" s="334">
        <v>2.693286883941</v>
      </c>
      <c r="G18" s="335">
        <v>1.34664344197</v>
      </c>
      <c r="H18" s="337">
        <v>0</v>
      </c>
      <c r="I18" s="334">
        <v>0</v>
      </c>
      <c r="J18" s="335">
        <v>-1.34664344197</v>
      </c>
      <c r="K18" s="338">
        <v>0</v>
      </c>
    </row>
    <row r="19" spans="1:11" ht="14.4" customHeight="1" thickBot="1" x14ac:dyDescent="0.35">
      <c r="A19" s="356" t="s">
        <v>216</v>
      </c>
      <c r="B19" s="334">
        <v>1.364966957614</v>
      </c>
      <c r="C19" s="334">
        <v>0.97409999999999997</v>
      </c>
      <c r="D19" s="335">
        <v>-0.39086695761399998</v>
      </c>
      <c r="E19" s="336">
        <v>0.71364364870899999</v>
      </c>
      <c r="F19" s="334">
        <v>1.2840284721099999</v>
      </c>
      <c r="G19" s="335">
        <v>0.64201423605499996</v>
      </c>
      <c r="H19" s="337">
        <v>0</v>
      </c>
      <c r="I19" s="334">
        <v>0.54449999999999998</v>
      </c>
      <c r="J19" s="335">
        <v>-9.7514236054999995E-2</v>
      </c>
      <c r="K19" s="338">
        <v>0.42405601731300002</v>
      </c>
    </row>
    <row r="20" spans="1:11" ht="14.4" customHeight="1" thickBot="1" x14ac:dyDescent="0.35">
      <c r="A20" s="356" t="s">
        <v>217</v>
      </c>
      <c r="B20" s="334">
        <v>0.99999996850200001</v>
      </c>
      <c r="C20" s="334">
        <v>5.808E-2</v>
      </c>
      <c r="D20" s="335">
        <v>-0.94191996850199999</v>
      </c>
      <c r="E20" s="336">
        <v>5.8080001829E-2</v>
      </c>
      <c r="F20" s="334">
        <v>4.6781007513000003E-2</v>
      </c>
      <c r="G20" s="335">
        <v>2.3390503755999999E-2</v>
      </c>
      <c r="H20" s="337">
        <v>0</v>
      </c>
      <c r="I20" s="334">
        <v>0.24865000000000001</v>
      </c>
      <c r="J20" s="335">
        <v>0.22525949624300001</v>
      </c>
      <c r="K20" s="338">
        <v>0</v>
      </c>
    </row>
    <row r="21" spans="1:11" ht="14.4" customHeight="1" thickBot="1" x14ac:dyDescent="0.35">
      <c r="A21" s="355" t="s">
        <v>218</v>
      </c>
      <c r="B21" s="339">
        <v>0.99999996850200001</v>
      </c>
      <c r="C21" s="339">
        <v>0.1042</v>
      </c>
      <c r="D21" s="340">
        <v>-0.89579996850200005</v>
      </c>
      <c r="E21" s="346">
        <v>0.10420000328200001</v>
      </c>
      <c r="F21" s="339">
        <v>0.121002909528</v>
      </c>
      <c r="G21" s="340">
        <v>6.0501454763999998E-2</v>
      </c>
      <c r="H21" s="342">
        <v>0</v>
      </c>
      <c r="I21" s="339">
        <v>0</v>
      </c>
      <c r="J21" s="340">
        <v>-6.0501454763999998E-2</v>
      </c>
      <c r="K21" s="343">
        <v>0</v>
      </c>
    </row>
    <row r="22" spans="1:11" ht="14.4" customHeight="1" thickBot="1" x14ac:dyDescent="0.35">
      <c r="A22" s="356" t="s">
        <v>219</v>
      </c>
      <c r="B22" s="334">
        <v>0.99999996850200001</v>
      </c>
      <c r="C22" s="334">
        <v>0.1042</v>
      </c>
      <c r="D22" s="335">
        <v>-0.89579996850200005</v>
      </c>
      <c r="E22" s="336">
        <v>0.10420000328200001</v>
      </c>
      <c r="F22" s="334">
        <v>0.121002909528</v>
      </c>
      <c r="G22" s="335">
        <v>6.0501454763999998E-2</v>
      </c>
      <c r="H22" s="337">
        <v>0</v>
      </c>
      <c r="I22" s="334">
        <v>0</v>
      </c>
      <c r="J22" s="335">
        <v>-6.0501454763999998E-2</v>
      </c>
      <c r="K22" s="338">
        <v>0</v>
      </c>
    </row>
    <row r="23" spans="1:11" ht="14.4" customHeight="1" thickBot="1" x14ac:dyDescent="0.35">
      <c r="A23" s="355" t="s">
        <v>220</v>
      </c>
      <c r="B23" s="339">
        <v>2.9999999055069999</v>
      </c>
      <c r="C23" s="339">
        <v>2.9610500000000002</v>
      </c>
      <c r="D23" s="340">
        <v>-3.8949905506999997E-2</v>
      </c>
      <c r="E23" s="346">
        <v>0.98701669775500001</v>
      </c>
      <c r="F23" s="339">
        <v>0</v>
      </c>
      <c r="G23" s="340">
        <v>0</v>
      </c>
      <c r="H23" s="342">
        <v>0.74414999999999998</v>
      </c>
      <c r="I23" s="339">
        <v>0.74414999999999998</v>
      </c>
      <c r="J23" s="340">
        <v>0.74414999999999998</v>
      </c>
      <c r="K23" s="347" t="s">
        <v>200</v>
      </c>
    </row>
    <row r="24" spans="1:11" ht="14.4" customHeight="1" thickBot="1" x14ac:dyDescent="0.35">
      <c r="A24" s="356" t="s">
        <v>221</v>
      </c>
      <c r="B24" s="334">
        <v>2.9999999055069999</v>
      </c>
      <c r="C24" s="334">
        <v>2.9610500000000002</v>
      </c>
      <c r="D24" s="335">
        <v>-3.8949905506999997E-2</v>
      </c>
      <c r="E24" s="336">
        <v>0.98701669775500001</v>
      </c>
      <c r="F24" s="334">
        <v>0</v>
      </c>
      <c r="G24" s="335">
        <v>0</v>
      </c>
      <c r="H24" s="337">
        <v>0.74414999999999998</v>
      </c>
      <c r="I24" s="334">
        <v>0.74414999999999998</v>
      </c>
      <c r="J24" s="335">
        <v>0.74414999999999998</v>
      </c>
      <c r="K24" s="345" t="s">
        <v>200</v>
      </c>
    </row>
    <row r="25" spans="1:11" ht="14.4" customHeight="1" thickBot="1" x14ac:dyDescent="0.35">
      <c r="A25" s="354" t="s">
        <v>19</v>
      </c>
      <c r="B25" s="334">
        <v>147.77419616540701</v>
      </c>
      <c r="C25" s="334">
        <v>145.06800000000001</v>
      </c>
      <c r="D25" s="335">
        <v>-2.7061961654069999</v>
      </c>
      <c r="E25" s="336">
        <v>0.98168695052499999</v>
      </c>
      <c r="F25" s="334">
        <v>142.169560738618</v>
      </c>
      <c r="G25" s="335">
        <v>71.084780369309001</v>
      </c>
      <c r="H25" s="337">
        <v>9.1560000000000006</v>
      </c>
      <c r="I25" s="334">
        <v>78.34</v>
      </c>
      <c r="J25" s="335">
        <v>7.2552196306910002</v>
      </c>
      <c r="K25" s="338">
        <v>0.55103215901400004</v>
      </c>
    </row>
    <row r="26" spans="1:11" ht="14.4" customHeight="1" thickBot="1" x14ac:dyDescent="0.35">
      <c r="A26" s="355" t="s">
        <v>222</v>
      </c>
      <c r="B26" s="339">
        <v>147.77419616540701</v>
      </c>
      <c r="C26" s="339">
        <v>145.06800000000001</v>
      </c>
      <c r="D26" s="340">
        <v>-2.7061961654069999</v>
      </c>
      <c r="E26" s="346">
        <v>0.98168695052499999</v>
      </c>
      <c r="F26" s="339">
        <v>142.169560738618</v>
      </c>
      <c r="G26" s="340">
        <v>71.084780369309001</v>
      </c>
      <c r="H26" s="342">
        <v>9.1560000000000006</v>
      </c>
      <c r="I26" s="339">
        <v>78.34</v>
      </c>
      <c r="J26" s="340">
        <v>7.2552196306910002</v>
      </c>
      <c r="K26" s="343">
        <v>0.55103215901400004</v>
      </c>
    </row>
    <row r="27" spans="1:11" ht="14.4" customHeight="1" thickBot="1" x14ac:dyDescent="0.35">
      <c r="A27" s="356" t="s">
        <v>223</v>
      </c>
      <c r="B27" s="334">
        <v>26.774199976613001</v>
      </c>
      <c r="C27" s="334">
        <v>26.776</v>
      </c>
      <c r="D27" s="335">
        <v>1.800023386E-3</v>
      </c>
      <c r="E27" s="336">
        <v>1.0000672297719999</v>
      </c>
      <c r="F27" s="334">
        <v>26.417295829295998</v>
      </c>
      <c r="G27" s="335">
        <v>13.208647914647999</v>
      </c>
      <c r="H27" s="337">
        <v>2.0950000000000002</v>
      </c>
      <c r="I27" s="334">
        <v>11.946999999999999</v>
      </c>
      <c r="J27" s="335">
        <v>-1.261647914648</v>
      </c>
      <c r="K27" s="338">
        <v>0.45224159494499999</v>
      </c>
    </row>
    <row r="28" spans="1:11" ht="14.4" customHeight="1" thickBot="1" x14ac:dyDescent="0.35">
      <c r="A28" s="356" t="s">
        <v>224</v>
      </c>
      <c r="B28" s="334">
        <v>59.999998110145</v>
      </c>
      <c r="C28" s="334">
        <v>53.572000000000003</v>
      </c>
      <c r="D28" s="335">
        <v>-6.4279981101450003</v>
      </c>
      <c r="E28" s="336">
        <v>0.89286669478900005</v>
      </c>
      <c r="F28" s="334">
        <v>51.881260178536998</v>
      </c>
      <c r="G28" s="335">
        <v>25.940630089269</v>
      </c>
      <c r="H28" s="337">
        <v>4.9450000000000003</v>
      </c>
      <c r="I28" s="334">
        <v>28.968</v>
      </c>
      <c r="J28" s="335">
        <v>3.0273699107310001</v>
      </c>
      <c r="K28" s="338">
        <v>0.55835189623899995</v>
      </c>
    </row>
    <row r="29" spans="1:11" ht="14.4" customHeight="1" thickBot="1" x14ac:dyDescent="0.35">
      <c r="A29" s="356" t="s">
        <v>225</v>
      </c>
      <c r="B29" s="334">
        <v>60.999998078647998</v>
      </c>
      <c r="C29" s="334">
        <v>64.72</v>
      </c>
      <c r="D29" s="335">
        <v>3.7200019213509998</v>
      </c>
      <c r="E29" s="336">
        <v>1.0609836399749999</v>
      </c>
      <c r="F29" s="334">
        <v>63.871004730784001</v>
      </c>
      <c r="G29" s="335">
        <v>31.935502365392001</v>
      </c>
      <c r="H29" s="337">
        <v>2.1160000000000001</v>
      </c>
      <c r="I29" s="334">
        <v>37.424999999999997</v>
      </c>
      <c r="J29" s="335">
        <v>5.4894976346069999</v>
      </c>
      <c r="K29" s="338">
        <v>0.58594663036399997</v>
      </c>
    </row>
    <row r="30" spans="1:11" ht="14.4" customHeight="1" thickBot="1" x14ac:dyDescent="0.35">
      <c r="A30" s="357" t="s">
        <v>226</v>
      </c>
      <c r="B30" s="339">
        <v>41.260925698005998</v>
      </c>
      <c r="C30" s="339">
        <v>30.501090000000001</v>
      </c>
      <c r="D30" s="340">
        <v>-10.759835698006</v>
      </c>
      <c r="E30" s="346">
        <v>0.73922456861999997</v>
      </c>
      <c r="F30" s="339">
        <v>31.631507028224998</v>
      </c>
      <c r="G30" s="340">
        <v>15.815753514112</v>
      </c>
      <c r="H30" s="342">
        <v>2.9337</v>
      </c>
      <c r="I30" s="339">
        <v>17.776039999999998</v>
      </c>
      <c r="J30" s="340">
        <v>1.9602864858869999</v>
      </c>
      <c r="K30" s="343">
        <v>0.56197259220399998</v>
      </c>
    </row>
    <row r="31" spans="1:11" ht="14.4" customHeight="1" thickBot="1" x14ac:dyDescent="0.35">
      <c r="A31" s="354" t="s">
        <v>22</v>
      </c>
      <c r="B31" s="334">
        <v>13.559512816128001</v>
      </c>
      <c r="C31" s="334">
        <v>3.1000200000000002</v>
      </c>
      <c r="D31" s="335">
        <v>-10.459492816128</v>
      </c>
      <c r="E31" s="336">
        <v>0.228623258227</v>
      </c>
      <c r="F31" s="334">
        <v>3.559076679176</v>
      </c>
      <c r="G31" s="335">
        <v>1.779538339588</v>
      </c>
      <c r="H31" s="337">
        <v>1.0467500000000001</v>
      </c>
      <c r="I31" s="334">
        <v>1.0467500000000001</v>
      </c>
      <c r="J31" s="335">
        <v>-0.73278833958800005</v>
      </c>
      <c r="K31" s="338">
        <v>0.29410717845000001</v>
      </c>
    </row>
    <row r="32" spans="1:11" ht="14.4" customHeight="1" thickBot="1" x14ac:dyDescent="0.35">
      <c r="A32" s="358" t="s">
        <v>227</v>
      </c>
      <c r="B32" s="334">
        <v>13.559512816128001</v>
      </c>
      <c r="C32" s="334">
        <v>3.1000200000000002</v>
      </c>
      <c r="D32" s="335">
        <v>-10.459492816128</v>
      </c>
      <c r="E32" s="336">
        <v>0.228623258227</v>
      </c>
      <c r="F32" s="334">
        <v>3.559076679176</v>
      </c>
      <c r="G32" s="335">
        <v>1.779538339588</v>
      </c>
      <c r="H32" s="337">
        <v>1.0467500000000001</v>
      </c>
      <c r="I32" s="334">
        <v>1.0467500000000001</v>
      </c>
      <c r="J32" s="335">
        <v>-0.73278833958800005</v>
      </c>
      <c r="K32" s="338">
        <v>0.29410717845000001</v>
      </c>
    </row>
    <row r="33" spans="1:11" ht="14.4" customHeight="1" thickBot="1" x14ac:dyDescent="0.35">
      <c r="A33" s="356" t="s">
        <v>228</v>
      </c>
      <c r="B33" s="334">
        <v>0</v>
      </c>
      <c r="C33" s="334">
        <v>5.5511151231257797E-16</v>
      </c>
      <c r="D33" s="335">
        <v>5.5511151231257797E-16</v>
      </c>
      <c r="E33" s="336">
        <v>0</v>
      </c>
      <c r="F33" s="334">
        <v>0</v>
      </c>
      <c r="G33" s="335">
        <v>0</v>
      </c>
      <c r="H33" s="337">
        <v>0.13683000000000001</v>
      </c>
      <c r="I33" s="334">
        <v>0.13683000000000001</v>
      </c>
      <c r="J33" s="335">
        <v>0.13683000000000001</v>
      </c>
      <c r="K33" s="345" t="s">
        <v>200</v>
      </c>
    </row>
    <row r="34" spans="1:11" ht="14.4" customHeight="1" thickBot="1" x14ac:dyDescent="0.35">
      <c r="A34" s="356" t="s">
        <v>229</v>
      </c>
      <c r="B34" s="334">
        <v>11.999999622029</v>
      </c>
      <c r="C34" s="334">
        <v>2.1901000000000002</v>
      </c>
      <c r="D34" s="335">
        <v>-9.8098996220290005</v>
      </c>
      <c r="E34" s="336">
        <v>0.182508339081</v>
      </c>
      <c r="F34" s="334">
        <v>2.250851173724</v>
      </c>
      <c r="G34" s="335">
        <v>1.125425586862</v>
      </c>
      <c r="H34" s="337">
        <v>0</v>
      </c>
      <c r="I34" s="334">
        <v>0</v>
      </c>
      <c r="J34" s="335">
        <v>-1.125425586862</v>
      </c>
      <c r="K34" s="338">
        <v>0</v>
      </c>
    </row>
    <row r="35" spans="1:11" ht="14.4" customHeight="1" thickBot="1" x14ac:dyDescent="0.35">
      <c r="A35" s="356" t="s">
        <v>230</v>
      </c>
      <c r="B35" s="334">
        <v>1.5595131940989999</v>
      </c>
      <c r="C35" s="334">
        <v>0.90991999999899997</v>
      </c>
      <c r="D35" s="335">
        <v>-0.64959319409899996</v>
      </c>
      <c r="E35" s="336">
        <v>0.58346412421600002</v>
      </c>
      <c r="F35" s="334">
        <v>1.308225505452</v>
      </c>
      <c r="G35" s="335">
        <v>0.654112752726</v>
      </c>
      <c r="H35" s="337">
        <v>0.90991999999999995</v>
      </c>
      <c r="I35" s="334">
        <v>0.90991999999999995</v>
      </c>
      <c r="J35" s="335">
        <v>0.25580724727300003</v>
      </c>
      <c r="K35" s="338">
        <v>0.69553757835100005</v>
      </c>
    </row>
    <row r="36" spans="1:11" ht="14.4" customHeight="1" thickBot="1" x14ac:dyDescent="0.35">
      <c r="A36" s="359" t="s">
        <v>23</v>
      </c>
      <c r="B36" s="339">
        <v>0</v>
      </c>
      <c r="C36" s="339">
        <v>4.8620000000000001</v>
      </c>
      <c r="D36" s="340">
        <v>4.8620000000000001</v>
      </c>
      <c r="E36" s="341" t="s">
        <v>200</v>
      </c>
      <c r="F36" s="339">
        <v>0</v>
      </c>
      <c r="G36" s="340">
        <v>0</v>
      </c>
      <c r="H36" s="342">
        <v>0</v>
      </c>
      <c r="I36" s="339">
        <v>0</v>
      </c>
      <c r="J36" s="340">
        <v>0</v>
      </c>
      <c r="K36" s="347" t="s">
        <v>200</v>
      </c>
    </row>
    <row r="37" spans="1:11" ht="14.4" customHeight="1" thickBot="1" x14ac:dyDescent="0.35">
      <c r="A37" s="355" t="s">
        <v>231</v>
      </c>
      <c r="B37" s="339">
        <v>0</v>
      </c>
      <c r="C37" s="339">
        <v>4.8620000000000001</v>
      </c>
      <c r="D37" s="340">
        <v>4.8620000000000001</v>
      </c>
      <c r="E37" s="341" t="s">
        <v>200</v>
      </c>
      <c r="F37" s="339">
        <v>0</v>
      </c>
      <c r="G37" s="340">
        <v>0</v>
      </c>
      <c r="H37" s="342">
        <v>0</v>
      </c>
      <c r="I37" s="339">
        <v>0</v>
      </c>
      <c r="J37" s="340">
        <v>0</v>
      </c>
      <c r="K37" s="347" t="s">
        <v>200</v>
      </c>
    </row>
    <row r="38" spans="1:11" ht="14.4" customHeight="1" thickBot="1" x14ac:dyDescent="0.35">
      <c r="A38" s="356" t="s">
        <v>232</v>
      </c>
      <c r="B38" s="334">
        <v>0</v>
      </c>
      <c r="C38" s="334">
        <v>4.8620000000000001</v>
      </c>
      <c r="D38" s="335">
        <v>4.8620000000000001</v>
      </c>
      <c r="E38" s="344" t="s">
        <v>200</v>
      </c>
      <c r="F38" s="334">
        <v>0</v>
      </c>
      <c r="G38" s="335">
        <v>0</v>
      </c>
      <c r="H38" s="337">
        <v>0</v>
      </c>
      <c r="I38" s="334">
        <v>0</v>
      </c>
      <c r="J38" s="335">
        <v>0</v>
      </c>
      <c r="K38" s="345" t="s">
        <v>200</v>
      </c>
    </row>
    <row r="39" spans="1:11" ht="14.4" customHeight="1" thickBot="1" x14ac:dyDescent="0.35">
      <c r="A39" s="354" t="s">
        <v>24</v>
      </c>
      <c r="B39" s="334">
        <v>27.701412881877999</v>
      </c>
      <c r="C39" s="334">
        <v>22.539069999999999</v>
      </c>
      <c r="D39" s="335">
        <v>-5.1623428818769996</v>
      </c>
      <c r="E39" s="336">
        <v>0.81364333639200004</v>
      </c>
      <c r="F39" s="334">
        <v>28.072430349047998</v>
      </c>
      <c r="G39" s="335">
        <v>14.036215174523999</v>
      </c>
      <c r="H39" s="337">
        <v>1.8869499999999999</v>
      </c>
      <c r="I39" s="334">
        <v>16.729289999999999</v>
      </c>
      <c r="J39" s="335">
        <v>2.6930748254750001</v>
      </c>
      <c r="K39" s="338">
        <v>0.59593308423900004</v>
      </c>
    </row>
    <row r="40" spans="1:11" ht="14.4" customHeight="1" thickBot="1" x14ac:dyDescent="0.35">
      <c r="A40" s="355" t="s">
        <v>233</v>
      </c>
      <c r="B40" s="339">
        <v>0.10588701725000001</v>
      </c>
      <c r="C40" s="339">
        <v>0.27300000000000002</v>
      </c>
      <c r="D40" s="340">
        <v>0.16711298274899999</v>
      </c>
      <c r="E40" s="346">
        <v>2.5782197580939998</v>
      </c>
      <c r="F40" s="339">
        <v>0.125354437259</v>
      </c>
      <c r="G40" s="340">
        <v>6.2677218628999998E-2</v>
      </c>
      <c r="H40" s="342">
        <v>0</v>
      </c>
      <c r="I40" s="339">
        <v>0</v>
      </c>
      <c r="J40" s="340">
        <v>-6.2677218628999998E-2</v>
      </c>
      <c r="K40" s="343">
        <v>0</v>
      </c>
    </row>
    <row r="41" spans="1:11" ht="14.4" customHeight="1" thickBot="1" x14ac:dyDescent="0.35">
      <c r="A41" s="356" t="s">
        <v>234</v>
      </c>
      <c r="B41" s="334">
        <v>0.10588701725000001</v>
      </c>
      <c r="C41" s="334">
        <v>0.27300000000000002</v>
      </c>
      <c r="D41" s="335">
        <v>0.16711298274899999</v>
      </c>
      <c r="E41" s="336">
        <v>2.5782197580939998</v>
      </c>
      <c r="F41" s="334">
        <v>0.125354437259</v>
      </c>
      <c r="G41" s="335">
        <v>6.2677218628999998E-2</v>
      </c>
      <c r="H41" s="337">
        <v>0</v>
      </c>
      <c r="I41" s="334">
        <v>0</v>
      </c>
      <c r="J41" s="335">
        <v>-6.2677218628999998E-2</v>
      </c>
      <c r="K41" s="338">
        <v>0</v>
      </c>
    </row>
    <row r="42" spans="1:11" ht="14.4" customHeight="1" thickBot="1" x14ac:dyDescent="0.35">
      <c r="A42" s="355" t="s">
        <v>235</v>
      </c>
      <c r="B42" s="339">
        <v>7.0273589625220003</v>
      </c>
      <c r="C42" s="339">
        <v>1.28616</v>
      </c>
      <c r="D42" s="340">
        <v>-5.7411989625219997</v>
      </c>
      <c r="E42" s="346">
        <v>0.18302181614099999</v>
      </c>
      <c r="F42" s="339">
        <v>1.338401306695</v>
      </c>
      <c r="G42" s="340">
        <v>0.66920065334699996</v>
      </c>
      <c r="H42" s="342">
        <v>0.39888000000000001</v>
      </c>
      <c r="I42" s="339">
        <v>2.6687099999999999</v>
      </c>
      <c r="J42" s="340">
        <v>1.999509346652</v>
      </c>
      <c r="K42" s="343">
        <v>1.9939535224960001</v>
      </c>
    </row>
    <row r="43" spans="1:11" ht="14.4" customHeight="1" thickBot="1" x14ac:dyDescent="0.35">
      <c r="A43" s="356" t="s">
        <v>236</v>
      </c>
      <c r="B43" s="334">
        <v>0.22710996989500001</v>
      </c>
      <c r="C43" s="334">
        <v>0.1273</v>
      </c>
      <c r="D43" s="335">
        <v>-9.9809969895000003E-2</v>
      </c>
      <c r="E43" s="336">
        <v>0.56052140757299995</v>
      </c>
      <c r="F43" s="334">
        <v>6.3936970114E-2</v>
      </c>
      <c r="G43" s="335">
        <v>3.1968485057E-2</v>
      </c>
      <c r="H43" s="337">
        <v>0</v>
      </c>
      <c r="I43" s="334">
        <v>4.9399999999999999E-2</v>
      </c>
      <c r="J43" s="335">
        <v>1.7431514942000001E-2</v>
      </c>
      <c r="K43" s="338">
        <v>0.77263592427299999</v>
      </c>
    </row>
    <row r="44" spans="1:11" ht="14.4" customHeight="1" thickBot="1" x14ac:dyDescent="0.35">
      <c r="A44" s="356" t="s">
        <v>237</v>
      </c>
      <c r="B44" s="334">
        <v>6.8002489926259999</v>
      </c>
      <c r="C44" s="334">
        <v>1.15886</v>
      </c>
      <c r="D44" s="335">
        <v>-5.6413889926260001</v>
      </c>
      <c r="E44" s="336">
        <v>0.170414348247</v>
      </c>
      <c r="F44" s="334">
        <v>1.274464336581</v>
      </c>
      <c r="G44" s="335">
        <v>0.63723216828999996</v>
      </c>
      <c r="H44" s="337">
        <v>0.39888000000000001</v>
      </c>
      <c r="I44" s="334">
        <v>2.61931</v>
      </c>
      <c r="J44" s="335">
        <v>1.982077831709</v>
      </c>
      <c r="K44" s="338">
        <v>2.0552242419170001</v>
      </c>
    </row>
    <row r="45" spans="1:11" ht="14.4" customHeight="1" thickBot="1" x14ac:dyDescent="0.35">
      <c r="A45" s="355" t="s">
        <v>238</v>
      </c>
      <c r="B45" s="339">
        <v>3.9999998740090001</v>
      </c>
      <c r="C45" s="339">
        <v>3.78</v>
      </c>
      <c r="D45" s="340">
        <v>-0.21999987400900001</v>
      </c>
      <c r="E45" s="346">
        <v>0.94500002976499997</v>
      </c>
      <c r="F45" s="339">
        <v>4.0000011026219999</v>
      </c>
      <c r="G45" s="340">
        <v>2.000000551311</v>
      </c>
      <c r="H45" s="342">
        <v>0</v>
      </c>
      <c r="I45" s="339">
        <v>1.89</v>
      </c>
      <c r="J45" s="340">
        <v>-0.11000055131100001</v>
      </c>
      <c r="K45" s="343">
        <v>0.47249986975199998</v>
      </c>
    </row>
    <row r="46" spans="1:11" ht="14.4" customHeight="1" thickBot="1" x14ac:dyDescent="0.35">
      <c r="A46" s="356" t="s">
        <v>239</v>
      </c>
      <c r="B46" s="334">
        <v>3.9999998740090001</v>
      </c>
      <c r="C46" s="334">
        <v>3.78</v>
      </c>
      <c r="D46" s="335">
        <v>-0.21999987400900001</v>
      </c>
      <c r="E46" s="336">
        <v>0.94500002976499997</v>
      </c>
      <c r="F46" s="334">
        <v>4.0000011026219999</v>
      </c>
      <c r="G46" s="335">
        <v>2.000000551311</v>
      </c>
      <c r="H46" s="337">
        <v>0</v>
      </c>
      <c r="I46" s="334">
        <v>1.89</v>
      </c>
      <c r="J46" s="335">
        <v>-0.11000055131100001</v>
      </c>
      <c r="K46" s="338">
        <v>0.47249986975199998</v>
      </c>
    </row>
    <row r="47" spans="1:11" ht="14.4" customHeight="1" thickBot="1" x14ac:dyDescent="0.35">
      <c r="A47" s="355" t="s">
        <v>240</v>
      </c>
      <c r="B47" s="339">
        <v>16.568167028095999</v>
      </c>
      <c r="C47" s="339">
        <v>17.199909999999999</v>
      </c>
      <c r="D47" s="340">
        <v>0.63174297190299999</v>
      </c>
      <c r="E47" s="346">
        <v>1.0381299253459999</v>
      </c>
      <c r="F47" s="339">
        <v>17.608672124190999</v>
      </c>
      <c r="G47" s="340">
        <v>8.8043360620950004</v>
      </c>
      <c r="H47" s="342">
        <v>1.48807</v>
      </c>
      <c r="I47" s="339">
        <v>8.9305800000000009</v>
      </c>
      <c r="J47" s="340">
        <v>0.12624393790399999</v>
      </c>
      <c r="K47" s="343">
        <v>0.507169418398</v>
      </c>
    </row>
    <row r="48" spans="1:11" ht="14.4" customHeight="1" thickBot="1" x14ac:dyDescent="0.35">
      <c r="A48" s="356" t="s">
        <v>241</v>
      </c>
      <c r="B48" s="334">
        <v>16.568167028095999</v>
      </c>
      <c r="C48" s="334">
        <v>17.199909999999999</v>
      </c>
      <c r="D48" s="335">
        <v>0.63174297190299999</v>
      </c>
      <c r="E48" s="336">
        <v>1.0381299253459999</v>
      </c>
      <c r="F48" s="334">
        <v>17.608672124190999</v>
      </c>
      <c r="G48" s="335">
        <v>8.8043360620950004</v>
      </c>
      <c r="H48" s="337">
        <v>1.48807</v>
      </c>
      <c r="I48" s="334">
        <v>8.9305800000000009</v>
      </c>
      <c r="J48" s="335">
        <v>0.12624393790399999</v>
      </c>
      <c r="K48" s="338">
        <v>0.507169418398</v>
      </c>
    </row>
    <row r="49" spans="1:11" ht="14.4" customHeight="1" thickBot="1" x14ac:dyDescent="0.35">
      <c r="A49" s="355" t="s">
        <v>242</v>
      </c>
      <c r="B49" s="339">
        <v>0</v>
      </c>
      <c r="C49" s="339">
        <v>0</v>
      </c>
      <c r="D49" s="340">
        <v>0</v>
      </c>
      <c r="E49" s="341" t="s">
        <v>200</v>
      </c>
      <c r="F49" s="339">
        <v>5.0000013782780002</v>
      </c>
      <c r="G49" s="340">
        <v>2.5000006891390001</v>
      </c>
      <c r="H49" s="342">
        <v>0</v>
      </c>
      <c r="I49" s="339">
        <v>3.24</v>
      </c>
      <c r="J49" s="340">
        <v>0.73999931086000004</v>
      </c>
      <c r="K49" s="343">
        <v>0.64799982137500001</v>
      </c>
    </row>
    <row r="50" spans="1:11" ht="14.4" customHeight="1" thickBot="1" x14ac:dyDescent="0.35">
      <c r="A50" s="356" t="s">
        <v>243</v>
      </c>
      <c r="B50" s="334">
        <v>0</v>
      </c>
      <c r="C50" s="334">
        <v>0</v>
      </c>
      <c r="D50" s="335">
        <v>0</v>
      </c>
      <c r="E50" s="344" t="s">
        <v>200</v>
      </c>
      <c r="F50" s="334">
        <v>5.0000013782780002</v>
      </c>
      <c r="G50" s="335">
        <v>2.5000006891390001</v>
      </c>
      <c r="H50" s="337">
        <v>0</v>
      </c>
      <c r="I50" s="334">
        <v>3.24</v>
      </c>
      <c r="J50" s="335">
        <v>0.73999931086000004</v>
      </c>
      <c r="K50" s="338">
        <v>0.64799982137500001</v>
      </c>
    </row>
    <row r="51" spans="1:11" ht="14.4" customHeight="1" thickBot="1" x14ac:dyDescent="0.35">
      <c r="A51" s="353" t="s">
        <v>25</v>
      </c>
      <c r="B51" s="334">
        <v>3111.99990197954</v>
      </c>
      <c r="C51" s="334">
        <v>3342.1520700000001</v>
      </c>
      <c r="D51" s="335">
        <v>230.15216802045799</v>
      </c>
      <c r="E51" s="336">
        <v>1.073956354521</v>
      </c>
      <c r="F51" s="334">
        <v>3259.00089836186</v>
      </c>
      <c r="G51" s="335">
        <v>1629.50044918093</v>
      </c>
      <c r="H51" s="337">
        <v>211.58023</v>
      </c>
      <c r="I51" s="334">
        <v>1522.4849999999999</v>
      </c>
      <c r="J51" s="335">
        <v>-107.015449180931</v>
      </c>
      <c r="K51" s="338">
        <v>0.46716311148099998</v>
      </c>
    </row>
    <row r="52" spans="1:11" ht="14.4" customHeight="1" thickBot="1" x14ac:dyDescent="0.35">
      <c r="A52" s="359" t="s">
        <v>244</v>
      </c>
      <c r="B52" s="339">
        <v>2306.99992733509</v>
      </c>
      <c r="C52" s="339">
        <v>2479</v>
      </c>
      <c r="D52" s="340">
        <v>172.000072664909</v>
      </c>
      <c r="E52" s="346">
        <v>1.0745557338889999</v>
      </c>
      <c r="F52" s="339">
        <v>2407.00066350322</v>
      </c>
      <c r="G52" s="340">
        <v>1203.50033175161</v>
      </c>
      <c r="H52" s="342">
        <v>158.04599999999999</v>
      </c>
      <c r="I52" s="339">
        <v>1127.0350000000001</v>
      </c>
      <c r="J52" s="340">
        <v>-76.465331751611004</v>
      </c>
      <c r="K52" s="343">
        <v>0.46823211023099998</v>
      </c>
    </row>
    <row r="53" spans="1:11" ht="14.4" customHeight="1" thickBot="1" x14ac:dyDescent="0.35">
      <c r="A53" s="355" t="s">
        <v>245</v>
      </c>
      <c r="B53" s="339">
        <v>2299.9999275555701</v>
      </c>
      <c r="C53" s="339">
        <v>2465.7689999999998</v>
      </c>
      <c r="D53" s="340">
        <v>165.769072444426</v>
      </c>
      <c r="E53" s="346">
        <v>1.0720735120280001</v>
      </c>
      <c r="F53" s="339">
        <v>2400.0006615736302</v>
      </c>
      <c r="G53" s="340">
        <v>1200.0003307868201</v>
      </c>
      <c r="H53" s="342">
        <v>150.483</v>
      </c>
      <c r="I53" s="339">
        <v>1113.3409999999999</v>
      </c>
      <c r="J53" s="340">
        <v>-86.659330786816</v>
      </c>
      <c r="K53" s="343">
        <v>0.46389195545799999</v>
      </c>
    </row>
    <row r="54" spans="1:11" ht="14.4" customHeight="1" thickBot="1" x14ac:dyDescent="0.35">
      <c r="A54" s="356" t="s">
        <v>246</v>
      </c>
      <c r="B54" s="334">
        <v>2299.9999275555701</v>
      </c>
      <c r="C54" s="334">
        <v>2465.7689999999998</v>
      </c>
      <c r="D54" s="335">
        <v>165.769072444426</v>
      </c>
      <c r="E54" s="336">
        <v>1.0720735120280001</v>
      </c>
      <c r="F54" s="334">
        <v>2400.0006615736302</v>
      </c>
      <c r="G54" s="335">
        <v>1200.0003307868201</v>
      </c>
      <c r="H54" s="337">
        <v>150.483</v>
      </c>
      <c r="I54" s="334">
        <v>1113.3409999999999</v>
      </c>
      <c r="J54" s="335">
        <v>-86.659330786816</v>
      </c>
      <c r="K54" s="338">
        <v>0.46389195545799999</v>
      </c>
    </row>
    <row r="55" spans="1:11" ht="14.4" customHeight="1" thickBot="1" x14ac:dyDescent="0.35">
      <c r="A55" s="355" t="s">
        <v>247</v>
      </c>
      <c r="B55" s="339">
        <v>6.9999997795160001</v>
      </c>
      <c r="C55" s="339">
        <v>13.231</v>
      </c>
      <c r="D55" s="340">
        <v>6.2310002204829997</v>
      </c>
      <c r="E55" s="346">
        <v>1.8901429166770001</v>
      </c>
      <c r="F55" s="339">
        <v>7.0000019295889997</v>
      </c>
      <c r="G55" s="340">
        <v>3.5000009647939998</v>
      </c>
      <c r="H55" s="342">
        <v>7.5629999999999997</v>
      </c>
      <c r="I55" s="339">
        <v>13.694000000000001</v>
      </c>
      <c r="J55" s="340">
        <v>10.193999035205</v>
      </c>
      <c r="K55" s="343">
        <v>1.956285175024</v>
      </c>
    </row>
    <row r="56" spans="1:11" ht="14.4" customHeight="1" thickBot="1" x14ac:dyDescent="0.35">
      <c r="A56" s="356" t="s">
        <v>248</v>
      </c>
      <c r="B56" s="334">
        <v>6.9999997795160001</v>
      </c>
      <c r="C56" s="334">
        <v>13.231</v>
      </c>
      <c r="D56" s="335">
        <v>6.2310002204829997</v>
      </c>
      <c r="E56" s="336">
        <v>1.8901429166770001</v>
      </c>
      <c r="F56" s="334">
        <v>7.0000019295889997</v>
      </c>
      <c r="G56" s="335">
        <v>3.5000009647939998</v>
      </c>
      <c r="H56" s="337">
        <v>7.5629999999999997</v>
      </c>
      <c r="I56" s="334">
        <v>13.694000000000001</v>
      </c>
      <c r="J56" s="335">
        <v>10.193999035205</v>
      </c>
      <c r="K56" s="338">
        <v>1.956285175024</v>
      </c>
    </row>
    <row r="57" spans="1:11" ht="14.4" customHeight="1" thickBot="1" x14ac:dyDescent="0.35">
      <c r="A57" s="354" t="s">
        <v>249</v>
      </c>
      <c r="B57" s="334">
        <v>781.99997536889498</v>
      </c>
      <c r="C57" s="334">
        <v>838.36306999999999</v>
      </c>
      <c r="D57" s="335">
        <v>56.363094631103998</v>
      </c>
      <c r="E57" s="336">
        <v>1.072075570852</v>
      </c>
      <c r="F57" s="334">
        <v>816.00022493503502</v>
      </c>
      <c r="G57" s="335">
        <v>408.00011246751802</v>
      </c>
      <c r="H57" s="337">
        <v>51.164290000000001</v>
      </c>
      <c r="I57" s="334">
        <v>378.54277999999999</v>
      </c>
      <c r="J57" s="335">
        <v>-29.457332467516999</v>
      </c>
      <c r="K57" s="338">
        <v>0.46390033780899997</v>
      </c>
    </row>
    <row r="58" spans="1:11" ht="14.4" customHeight="1" thickBot="1" x14ac:dyDescent="0.35">
      <c r="A58" s="355" t="s">
        <v>250</v>
      </c>
      <c r="B58" s="339">
        <v>206.99999348000199</v>
      </c>
      <c r="C58" s="339">
        <v>221.92080999999999</v>
      </c>
      <c r="D58" s="340">
        <v>14.920816519998001</v>
      </c>
      <c r="E58" s="346">
        <v>1.072081241497</v>
      </c>
      <c r="F58" s="339">
        <v>216.000059541627</v>
      </c>
      <c r="G58" s="340">
        <v>108.000029770813</v>
      </c>
      <c r="H58" s="342">
        <v>13.54354</v>
      </c>
      <c r="I58" s="339">
        <v>100.20753000000001</v>
      </c>
      <c r="J58" s="340">
        <v>-7.7924997708130004</v>
      </c>
      <c r="K58" s="343">
        <v>0.46392362211600002</v>
      </c>
    </row>
    <row r="59" spans="1:11" ht="14.4" customHeight="1" thickBot="1" x14ac:dyDescent="0.35">
      <c r="A59" s="356" t="s">
        <v>251</v>
      </c>
      <c r="B59" s="334">
        <v>206.99999348000199</v>
      </c>
      <c r="C59" s="334">
        <v>221.92080999999999</v>
      </c>
      <c r="D59" s="335">
        <v>14.920816519998001</v>
      </c>
      <c r="E59" s="336">
        <v>1.072081241497</v>
      </c>
      <c r="F59" s="334">
        <v>216.000059541627</v>
      </c>
      <c r="G59" s="335">
        <v>108.000029770813</v>
      </c>
      <c r="H59" s="337">
        <v>13.54354</v>
      </c>
      <c r="I59" s="334">
        <v>100.20753000000001</v>
      </c>
      <c r="J59" s="335">
        <v>-7.7924997708130004</v>
      </c>
      <c r="K59" s="338">
        <v>0.46392362211600002</v>
      </c>
    </row>
    <row r="60" spans="1:11" ht="14.4" customHeight="1" thickBot="1" x14ac:dyDescent="0.35">
      <c r="A60" s="355" t="s">
        <v>252</v>
      </c>
      <c r="B60" s="339">
        <v>574.99998188889401</v>
      </c>
      <c r="C60" s="339">
        <v>616.44226000000003</v>
      </c>
      <c r="D60" s="340">
        <v>41.442278111105999</v>
      </c>
      <c r="E60" s="346">
        <v>1.072073529419</v>
      </c>
      <c r="F60" s="339">
        <v>600.000165393408</v>
      </c>
      <c r="G60" s="340">
        <v>300.000082696704</v>
      </c>
      <c r="H60" s="342">
        <v>37.620750000000001</v>
      </c>
      <c r="I60" s="339">
        <v>278.33524999999997</v>
      </c>
      <c r="J60" s="340">
        <v>-21.664832696704</v>
      </c>
      <c r="K60" s="343">
        <v>0.46389195545799999</v>
      </c>
    </row>
    <row r="61" spans="1:11" ht="14.4" customHeight="1" thickBot="1" x14ac:dyDescent="0.35">
      <c r="A61" s="356" t="s">
        <v>253</v>
      </c>
      <c r="B61" s="334">
        <v>574.99998188889401</v>
      </c>
      <c r="C61" s="334">
        <v>616.44226000000003</v>
      </c>
      <c r="D61" s="335">
        <v>41.442278111105999</v>
      </c>
      <c r="E61" s="336">
        <v>1.072073529419</v>
      </c>
      <c r="F61" s="334">
        <v>600.000165393408</v>
      </c>
      <c r="G61" s="335">
        <v>300.000082696704</v>
      </c>
      <c r="H61" s="337">
        <v>37.620750000000001</v>
      </c>
      <c r="I61" s="334">
        <v>278.33524999999997</v>
      </c>
      <c r="J61" s="335">
        <v>-21.664832696704</v>
      </c>
      <c r="K61" s="338">
        <v>0.46389195545799999</v>
      </c>
    </row>
    <row r="62" spans="1:11" ht="14.4" customHeight="1" thickBot="1" x14ac:dyDescent="0.35">
      <c r="A62" s="354" t="s">
        <v>254</v>
      </c>
      <c r="B62" s="334">
        <v>22.999999275554998</v>
      </c>
      <c r="C62" s="334">
        <v>24.789000000000001</v>
      </c>
      <c r="D62" s="335">
        <v>1.789000724444</v>
      </c>
      <c r="E62" s="336">
        <v>1.0777826426429999</v>
      </c>
      <c r="F62" s="334">
        <v>36.000009923603997</v>
      </c>
      <c r="G62" s="335">
        <v>18.000004961801999</v>
      </c>
      <c r="H62" s="337">
        <v>2.3699400000000002</v>
      </c>
      <c r="I62" s="334">
        <v>16.907219999999999</v>
      </c>
      <c r="J62" s="335">
        <v>-1.092784961802</v>
      </c>
      <c r="K62" s="338">
        <v>0.469644870539</v>
      </c>
    </row>
    <row r="63" spans="1:11" ht="14.4" customHeight="1" thickBot="1" x14ac:dyDescent="0.35">
      <c r="A63" s="355" t="s">
        <v>255</v>
      </c>
      <c r="B63" s="339">
        <v>22.999999275554998</v>
      </c>
      <c r="C63" s="339">
        <v>24.789000000000001</v>
      </c>
      <c r="D63" s="340">
        <v>1.789000724444</v>
      </c>
      <c r="E63" s="346">
        <v>1.0777826426429999</v>
      </c>
      <c r="F63" s="339">
        <v>36.000009923603997</v>
      </c>
      <c r="G63" s="340">
        <v>18.000004961801999</v>
      </c>
      <c r="H63" s="342">
        <v>2.3699400000000002</v>
      </c>
      <c r="I63" s="339">
        <v>16.907219999999999</v>
      </c>
      <c r="J63" s="340">
        <v>-1.092784961802</v>
      </c>
      <c r="K63" s="343">
        <v>0.469644870539</v>
      </c>
    </row>
    <row r="64" spans="1:11" ht="14.4" customHeight="1" thickBot="1" x14ac:dyDescent="0.35">
      <c r="A64" s="356" t="s">
        <v>256</v>
      </c>
      <c r="B64" s="334">
        <v>22.999999275554998</v>
      </c>
      <c r="C64" s="334">
        <v>24.789000000000001</v>
      </c>
      <c r="D64" s="335">
        <v>1.789000724444</v>
      </c>
      <c r="E64" s="336">
        <v>1.0777826426429999</v>
      </c>
      <c r="F64" s="334">
        <v>36.000009923603997</v>
      </c>
      <c r="G64" s="335">
        <v>18.000004961801999</v>
      </c>
      <c r="H64" s="337">
        <v>2.3699400000000002</v>
      </c>
      <c r="I64" s="334">
        <v>16.907219999999999</v>
      </c>
      <c r="J64" s="335">
        <v>-1.092784961802</v>
      </c>
      <c r="K64" s="338">
        <v>0.469644870539</v>
      </c>
    </row>
    <row r="65" spans="1:11" ht="14.4" customHeight="1" thickBot="1" x14ac:dyDescent="0.35">
      <c r="A65" s="353" t="s">
        <v>257</v>
      </c>
      <c r="B65" s="334">
        <v>0</v>
      </c>
      <c r="C65" s="334">
        <v>15.359249999999999</v>
      </c>
      <c r="D65" s="335">
        <v>15.359249999999999</v>
      </c>
      <c r="E65" s="344" t="s">
        <v>200</v>
      </c>
      <c r="F65" s="334">
        <v>0</v>
      </c>
      <c r="G65" s="335">
        <v>0</v>
      </c>
      <c r="H65" s="337">
        <v>0</v>
      </c>
      <c r="I65" s="334">
        <v>0</v>
      </c>
      <c r="J65" s="335">
        <v>0</v>
      </c>
      <c r="K65" s="345" t="s">
        <v>200</v>
      </c>
    </row>
    <row r="66" spans="1:11" ht="14.4" customHeight="1" thickBot="1" x14ac:dyDescent="0.35">
      <c r="A66" s="354" t="s">
        <v>258</v>
      </c>
      <c r="B66" s="334">
        <v>0</v>
      </c>
      <c r="C66" s="334">
        <v>15.359249999999999</v>
      </c>
      <c r="D66" s="335">
        <v>15.359249999999999</v>
      </c>
      <c r="E66" s="344" t="s">
        <v>200</v>
      </c>
      <c r="F66" s="334">
        <v>0</v>
      </c>
      <c r="G66" s="335">
        <v>0</v>
      </c>
      <c r="H66" s="337">
        <v>0</v>
      </c>
      <c r="I66" s="334">
        <v>0</v>
      </c>
      <c r="J66" s="335">
        <v>0</v>
      </c>
      <c r="K66" s="345" t="s">
        <v>200</v>
      </c>
    </row>
    <row r="67" spans="1:11" ht="14.4" customHeight="1" thickBot="1" x14ac:dyDescent="0.35">
      <c r="A67" s="355" t="s">
        <v>259</v>
      </c>
      <c r="B67" s="339">
        <v>0</v>
      </c>
      <c r="C67" s="339">
        <v>3.3592499999999998</v>
      </c>
      <c r="D67" s="340">
        <v>3.3592499999999998</v>
      </c>
      <c r="E67" s="341" t="s">
        <v>206</v>
      </c>
      <c r="F67" s="339">
        <v>0</v>
      </c>
      <c r="G67" s="340">
        <v>0</v>
      </c>
      <c r="H67" s="342">
        <v>0</v>
      </c>
      <c r="I67" s="339">
        <v>0</v>
      </c>
      <c r="J67" s="340">
        <v>0</v>
      </c>
      <c r="K67" s="347" t="s">
        <v>200</v>
      </c>
    </row>
    <row r="68" spans="1:11" ht="14.4" customHeight="1" thickBot="1" x14ac:dyDescent="0.35">
      <c r="A68" s="356" t="s">
        <v>260</v>
      </c>
      <c r="B68" s="334">
        <v>0</v>
      </c>
      <c r="C68" s="334">
        <v>1.1092500000000001</v>
      </c>
      <c r="D68" s="335">
        <v>1.1092500000000001</v>
      </c>
      <c r="E68" s="344" t="s">
        <v>206</v>
      </c>
      <c r="F68" s="334">
        <v>0</v>
      </c>
      <c r="G68" s="335">
        <v>0</v>
      </c>
      <c r="H68" s="337">
        <v>0</v>
      </c>
      <c r="I68" s="334">
        <v>0</v>
      </c>
      <c r="J68" s="335">
        <v>0</v>
      </c>
      <c r="K68" s="345" t="s">
        <v>200</v>
      </c>
    </row>
    <row r="69" spans="1:11" ht="14.4" customHeight="1" thickBot="1" x14ac:dyDescent="0.35">
      <c r="A69" s="356" t="s">
        <v>261</v>
      </c>
      <c r="B69" s="334">
        <v>0</v>
      </c>
      <c r="C69" s="334">
        <v>2.25</v>
      </c>
      <c r="D69" s="335">
        <v>2.25</v>
      </c>
      <c r="E69" s="344" t="s">
        <v>206</v>
      </c>
      <c r="F69" s="334">
        <v>0</v>
      </c>
      <c r="G69" s="335">
        <v>0</v>
      </c>
      <c r="H69" s="337">
        <v>0</v>
      </c>
      <c r="I69" s="334">
        <v>0</v>
      </c>
      <c r="J69" s="335">
        <v>0</v>
      </c>
      <c r="K69" s="345" t="s">
        <v>200</v>
      </c>
    </row>
    <row r="70" spans="1:11" ht="14.4" customHeight="1" thickBot="1" x14ac:dyDescent="0.35">
      <c r="A70" s="358" t="s">
        <v>262</v>
      </c>
      <c r="B70" s="334">
        <v>0</v>
      </c>
      <c r="C70" s="334">
        <v>12</v>
      </c>
      <c r="D70" s="335">
        <v>12</v>
      </c>
      <c r="E70" s="344" t="s">
        <v>200</v>
      </c>
      <c r="F70" s="334">
        <v>0</v>
      </c>
      <c r="G70" s="335">
        <v>0</v>
      </c>
      <c r="H70" s="337">
        <v>0</v>
      </c>
      <c r="I70" s="334">
        <v>0</v>
      </c>
      <c r="J70" s="335">
        <v>0</v>
      </c>
      <c r="K70" s="345" t="s">
        <v>200</v>
      </c>
    </row>
    <row r="71" spans="1:11" ht="14.4" customHeight="1" thickBot="1" x14ac:dyDescent="0.35">
      <c r="A71" s="356" t="s">
        <v>263</v>
      </c>
      <c r="B71" s="334">
        <v>0</v>
      </c>
      <c r="C71" s="334">
        <v>12</v>
      </c>
      <c r="D71" s="335">
        <v>12</v>
      </c>
      <c r="E71" s="344" t="s">
        <v>200</v>
      </c>
      <c r="F71" s="334">
        <v>0</v>
      </c>
      <c r="G71" s="335">
        <v>0</v>
      </c>
      <c r="H71" s="337">
        <v>0</v>
      </c>
      <c r="I71" s="334">
        <v>0</v>
      </c>
      <c r="J71" s="335">
        <v>0</v>
      </c>
      <c r="K71" s="345" t="s">
        <v>200</v>
      </c>
    </row>
    <row r="72" spans="1:11" ht="14.4" customHeight="1" thickBot="1" x14ac:dyDescent="0.35">
      <c r="A72" s="353" t="s">
        <v>264</v>
      </c>
      <c r="B72" s="334">
        <v>19.999962416498999</v>
      </c>
      <c r="C72" s="334">
        <v>32.674399999999999</v>
      </c>
      <c r="D72" s="335">
        <v>12.6744375835</v>
      </c>
      <c r="E72" s="336">
        <v>1.6337230700509999</v>
      </c>
      <c r="F72" s="334">
        <v>20.000049892724999</v>
      </c>
      <c r="G72" s="335">
        <v>10.000024946362</v>
      </c>
      <c r="H72" s="337">
        <v>1.641</v>
      </c>
      <c r="I72" s="334">
        <v>9.8460000000000001</v>
      </c>
      <c r="J72" s="335">
        <v>-0.15402494636200001</v>
      </c>
      <c r="K72" s="338">
        <v>0.49229877189299998</v>
      </c>
    </row>
    <row r="73" spans="1:11" ht="14.4" customHeight="1" thickBot="1" x14ac:dyDescent="0.35">
      <c r="A73" s="354" t="s">
        <v>265</v>
      </c>
      <c r="B73" s="334">
        <v>19.999962416498999</v>
      </c>
      <c r="C73" s="334">
        <v>19.681000000000001</v>
      </c>
      <c r="D73" s="335">
        <v>-0.31896241649899998</v>
      </c>
      <c r="E73" s="336">
        <v>0.984051849205</v>
      </c>
      <c r="F73" s="334">
        <v>20.000049892724999</v>
      </c>
      <c r="G73" s="335">
        <v>10.000024946362</v>
      </c>
      <c r="H73" s="337">
        <v>1.641</v>
      </c>
      <c r="I73" s="334">
        <v>9.8460000000000001</v>
      </c>
      <c r="J73" s="335">
        <v>-0.15402494636200001</v>
      </c>
      <c r="K73" s="338">
        <v>0.49229877189299998</v>
      </c>
    </row>
    <row r="74" spans="1:11" ht="14.4" customHeight="1" thickBot="1" x14ac:dyDescent="0.35">
      <c r="A74" s="355" t="s">
        <v>266</v>
      </c>
      <c r="B74" s="339">
        <v>19.999962416498999</v>
      </c>
      <c r="C74" s="339">
        <v>19.681000000000001</v>
      </c>
      <c r="D74" s="340">
        <v>-0.31896241649899998</v>
      </c>
      <c r="E74" s="346">
        <v>0.984051849205</v>
      </c>
      <c r="F74" s="339">
        <v>20.000049892724999</v>
      </c>
      <c r="G74" s="340">
        <v>10.000024946362</v>
      </c>
      <c r="H74" s="342">
        <v>1.641</v>
      </c>
      <c r="I74" s="339">
        <v>9.8460000000000001</v>
      </c>
      <c r="J74" s="340">
        <v>-0.15402494636200001</v>
      </c>
      <c r="K74" s="343">
        <v>0.49229877189299998</v>
      </c>
    </row>
    <row r="75" spans="1:11" ht="14.4" customHeight="1" thickBot="1" x14ac:dyDescent="0.35">
      <c r="A75" s="356" t="s">
        <v>267</v>
      </c>
      <c r="B75" s="334">
        <v>16.99999946454</v>
      </c>
      <c r="C75" s="334">
        <v>17.077000000000002</v>
      </c>
      <c r="D75" s="335">
        <v>7.7000535459E-2</v>
      </c>
      <c r="E75" s="336">
        <v>1.004529443404</v>
      </c>
      <c r="F75" s="334">
        <v>17.000042408816</v>
      </c>
      <c r="G75" s="335">
        <v>8.5000212044080001</v>
      </c>
      <c r="H75" s="337">
        <v>1.4239999999999999</v>
      </c>
      <c r="I75" s="334">
        <v>8.5440000000000005</v>
      </c>
      <c r="J75" s="335">
        <v>4.3978795591E-2</v>
      </c>
      <c r="K75" s="338">
        <v>0.50258698152199999</v>
      </c>
    </row>
    <row r="76" spans="1:11" ht="14.4" customHeight="1" thickBot="1" x14ac:dyDescent="0.35">
      <c r="A76" s="356" t="s">
        <v>268</v>
      </c>
      <c r="B76" s="334">
        <v>2.999962951958</v>
      </c>
      <c r="C76" s="334">
        <v>2.6040000000000001</v>
      </c>
      <c r="D76" s="335">
        <v>-0.39596295195800002</v>
      </c>
      <c r="E76" s="336">
        <v>0.86801071936499996</v>
      </c>
      <c r="F76" s="334">
        <v>3.000007483908</v>
      </c>
      <c r="G76" s="335">
        <v>1.500003741954</v>
      </c>
      <c r="H76" s="337">
        <v>0.217</v>
      </c>
      <c r="I76" s="334">
        <v>1.302</v>
      </c>
      <c r="J76" s="335">
        <v>-0.198003741954</v>
      </c>
      <c r="K76" s="338">
        <v>0.43399891733000001</v>
      </c>
    </row>
    <row r="77" spans="1:11" ht="14.4" customHeight="1" thickBot="1" x14ac:dyDescent="0.35">
      <c r="A77" s="354" t="s">
        <v>269</v>
      </c>
      <c r="B77" s="334">
        <v>0</v>
      </c>
      <c r="C77" s="334">
        <v>12.993399999999999</v>
      </c>
      <c r="D77" s="335">
        <v>12.993399999999999</v>
      </c>
      <c r="E77" s="344" t="s">
        <v>200</v>
      </c>
      <c r="F77" s="334">
        <v>0</v>
      </c>
      <c r="G77" s="335">
        <v>0</v>
      </c>
      <c r="H77" s="337">
        <v>0</v>
      </c>
      <c r="I77" s="334">
        <v>0</v>
      </c>
      <c r="J77" s="335">
        <v>0</v>
      </c>
      <c r="K77" s="345" t="s">
        <v>200</v>
      </c>
    </row>
    <row r="78" spans="1:11" ht="14.4" customHeight="1" thickBot="1" x14ac:dyDescent="0.35">
      <c r="A78" s="355" t="s">
        <v>270</v>
      </c>
      <c r="B78" s="339">
        <v>0</v>
      </c>
      <c r="C78" s="339">
        <v>12.993399999999999</v>
      </c>
      <c r="D78" s="340">
        <v>12.993399999999999</v>
      </c>
      <c r="E78" s="341" t="s">
        <v>206</v>
      </c>
      <c r="F78" s="339">
        <v>0</v>
      </c>
      <c r="G78" s="340">
        <v>0</v>
      </c>
      <c r="H78" s="342">
        <v>0</v>
      </c>
      <c r="I78" s="339">
        <v>0</v>
      </c>
      <c r="J78" s="340">
        <v>0</v>
      </c>
      <c r="K78" s="347" t="s">
        <v>200</v>
      </c>
    </row>
    <row r="79" spans="1:11" ht="14.4" customHeight="1" thickBot="1" x14ac:dyDescent="0.35">
      <c r="A79" s="356" t="s">
        <v>271</v>
      </c>
      <c r="B79" s="334">
        <v>0</v>
      </c>
      <c r="C79" s="334">
        <v>12.993399999999999</v>
      </c>
      <c r="D79" s="335">
        <v>12.993399999999999</v>
      </c>
      <c r="E79" s="344" t="s">
        <v>206</v>
      </c>
      <c r="F79" s="334">
        <v>0</v>
      </c>
      <c r="G79" s="335">
        <v>0</v>
      </c>
      <c r="H79" s="337">
        <v>0</v>
      </c>
      <c r="I79" s="334">
        <v>0</v>
      </c>
      <c r="J79" s="335">
        <v>0</v>
      </c>
      <c r="K79" s="345" t="s">
        <v>200</v>
      </c>
    </row>
    <row r="80" spans="1:11" ht="14.4" customHeight="1" thickBot="1" x14ac:dyDescent="0.35">
      <c r="A80" s="352" t="s">
        <v>272</v>
      </c>
      <c r="B80" s="334">
        <v>1875.56638655706</v>
      </c>
      <c r="C80" s="334">
        <v>2228.2720199999999</v>
      </c>
      <c r="D80" s="335">
        <v>352.70563344293998</v>
      </c>
      <c r="E80" s="336">
        <v>1.188052865508</v>
      </c>
      <c r="F80" s="334">
        <v>2339.7759372309401</v>
      </c>
      <c r="G80" s="335">
        <v>1169.8879686154701</v>
      </c>
      <c r="H80" s="337">
        <v>283.80910999999998</v>
      </c>
      <c r="I80" s="334">
        <v>1228.1088</v>
      </c>
      <c r="J80" s="335">
        <v>58.220831384530001</v>
      </c>
      <c r="K80" s="338">
        <v>0.52488307981000004</v>
      </c>
    </row>
    <row r="81" spans="1:11" ht="14.4" customHeight="1" thickBot="1" x14ac:dyDescent="0.35">
      <c r="A81" s="353" t="s">
        <v>273</v>
      </c>
      <c r="B81" s="334">
        <v>1861.56638655706</v>
      </c>
      <c r="C81" s="334">
        <v>2221.0406200000002</v>
      </c>
      <c r="D81" s="335">
        <v>359.47423344293998</v>
      </c>
      <c r="E81" s="336">
        <v>1.1931030964230001</v>
      </c>
      <c r="F81" s="334">
        <v>2333.9616925863502</v>
      </c>
      <c r="G81" s="335">
        <v>1166.9808462931801</v>
      </c>
      <c r="H81" s="337">
        <v>283.80910999999998</v>
      </c>
      <c r="I81" s="334">
        <v>1226.6625200000001</v>
      </c>
      <c r="J81" s="335">
        <v>59.681673706824</v>
      </c>
      <c r="K81" s="338">
        <v>0.52557097397800001</v>
      </c>
    </row>
    <row r="82" spans="1:11" ht="14.4" customHeight="1" thickBot="1" x14ac:dyDescent="0.35">
      <c r="A82" s="354" t="s">
        <v>274</v>
      </c>
      <c r="B82" s="334">
        <v>1861.56638655706</v>
      </c>
      <c r="C82" s="334">
        <v>2221.0406200000002</v>
      </c>
      <c r="D82" s="335">
        <v>359.47423344293998</v>
      </c>
      <c r="E82" s="336">
        <v>1.1931030964230001</v>
      </c>
      <c r="F82" s="334">
        <v>2333.9616925863502</v>
      </c>
      <c r="G82" s="335">
        <v>1166.9808462931801</v>
      </c>
      <c r="H82" s="337">
        <v>283.80910999999998</v>
      </c>
      <c r="I82" s="334">
        <v>1226.6625200000001</v>
      </c>
      <c r="J82" s="335">
        <v>59.681673706824</v>
      </c>
      <c r="K82" s="338">
        <v>0.52557097397800001</v>
      </c>
    </row>
    <row r="83" spans="1:11" ht="14.4" customHeight="1" thickBot="1" x14ac:dyDescent="0.35">
      <c r="A83" s="355" t="s">
        <v>275</v>
      </c>
      <c r="B83" s="339">
        <v>0</v>
      </c>
      <c r="C83" s="339">
        <v>0.98524</v>
      </c>
      <c r="D83" s="340">
        <v>0.98524</v>
      </c>
      <c r="E83" s="341" t="s">
        <v>206</v>
      </c>
      <c r="F83" s="339">
        <v>0.96145865957300003</v>
      </c>
      <c r="G83" s="340">
        <v>0.48072932978600003</v>
      </c>
      <c r="H83" s="342">
        <v>0</v>
      </c>
      <c r="I83" s="339">
        <v>0.76524000000000003</v>
      </c>
      <c r="J83" s="340">
        <v>0.28451067021300003</v>
      </c>
      <c r="K83" s="343">
        <v>0.79591565625899996</v>
      </c>
    </row>
    <row r="84" spans="1:11" ht="14.4" customHeight="1" thickBot="1" x14ac:dyDescent="0.35">
      <c r="A84" s="356" t="s">
        <v>276</v>
      </c>
      <c r="B84" s="334">
        <v>0</v>
      </c>
      <c r="C84" s="334">
        <v>0.98524</v>
      </c>
      <c r="D84" s="335">
        <v>0.98524</v>
      </c>
      <c r="E84" s="344" t="s">
        <v>206</v>
      </c>
      <c r="F84" s="334">
        <v>0.96145865957300003</v>
      </c>
      <c r="G84" s="335">
        <v>0.48072932978600003</v>
      </c>
      <c r="H84" s="337">
        <v>0</v>
      </c>
      <c r="I84" s="334">
        <v>0.76524000000000003</v>
      </c>
      <c r="J84" s="335">
        <v>0.28451067021300003</v>
      </c>
      <c r="K84" s="338">
        <v>0.79591565625899996</v>
      </c>
    </row>
    <row r="85" spans="1:11" ht="14.4" customHeight="1" thickBot="1" x14ac:dyDescent="0.35">
      <c r="A85" s="355" t="s">
        <v>277</v>
      </c>
      <c r="B85" s="339">
        <v>1.5663865565740001</v>
      </c>
      <c r="C85" s="339">
        <v>6.734</v>
      </c>
      <c r="D85" s="340">
        <v>5.1676134434250001</v>
      </c>
      <c r="E85" s="346">
        <v>4.2990665182469998</v>
      </c>
      <c r="F85" s="339">
        <v>7.0000007018800003</v>
      </c>
      <c r="G85" s="340">
        <v>3.5000003509400002</v>
      </c>
      <c r="H85" s="342">
        <v>0</v>
      </c>
      <c r="I85" s="339">
        <v>9.1344600000000007</v>
      </c>
      <c r="J85" s="340">
        <v>5.634459649059</v>
      </c>
      <c r="K85" s="343">
        <v>1.3049227263000001</v>
      </c>
    </row>
    <row r="86" spans="1:11" ht="14.4" customHeight="1" thickBot="1" x14ac:dyDescent="0.35">
      <c r="A86" s="356" t="s">
        <v>278</v>
      </c>
      <c r="B86" s="334">
        <v>1.5663865565740001</v>
      </c>
      <c r="C86" s="334">
        <v>6.734</v>
      </c>
      <c r="D86" s="335">
        <v>5.1676134434250001</v>
      </c>
      <c r="E86" s="336">
        <v>4.2990665182469998</v>
      </c>
      <c r="F86" s="334">
        <v>7.0000007018800003</v>
      </c>
      <c r="G86" s="335">
        <v>3.5000003509400002</v>
      </c>
      <c r="H86" s="337">
        <v>0</v>
      </c>
      <c r="I86" s="334">
        <v>9.1344600000000007</v>
      </c>
      <c r="J86" s="335">
        <v>5.634459649059</v>
      </c>
      <c r="K86" s="338">
        <v>1.3049227263000001</v>
      </c>
    </row>
    <row r="87" spans="1:11" ht="14.4" customHeight="1" thickBot="1" x14ac:dyDescent="0.35">
      <c r="A87" s="355" t="s">
        <v>279</v>
      </c>
      <c r="B87" s="339">
        <v>1860.00000000049</v>
      </c>
      <c r="C87" s="339">
        <v>2078.0689200000002</v>
      </c>
      <c r="D87" s="340">
        <v>218.06891999951401</v>
      </c>
      <c r="E87" s="346">
        <v>1.117241354838</v>
      </c>
      <c r="F87" s="339">
        <v>2326.0002332249001</v>
      </c>
      <c r="G87" s="340">
        <v>1163.00011661245</v>
      </c>
      <c r="H87" s="342">
        <v>213.85299000000001</v>
      </c>
      <c r="I87" s="339">
        <v>1121.6012499999999</v>
      </c>
      <c r="J87" s="340">
        <v>-41.398866612448003</v>
      </c>
      <c r="K87" s="343">
        <v>0.48220169283600001</v>
      </c>
    </row>
    <row r="88" spans="1:11" ht="14.4" customHeight="1" thickBot="1" x14ac:dyDescent="0.35">
      <c r="A88" s="356" t="s">
        <v>280</v>
      </c>
      <c r="B88" s="334">
        <v>686.00000000017906</v>
      </c>
      <c r="C88" s="334">
        <v>816.63999000000001</v>
      </c>
      <c r="D88" s="335">
        <v>130.63998999982101</v>
      </c>
      <c r="E88" s="336">
        <v>1.1904373032060001</v>
      </c>
      <c r="F88" s="334">
        <v>1000.00010026866</v>
      </c>
      <c r="G88" s="335">
        <v>500.000050134329</v>
      </c>
      <c r="H88" s="337">
        <v>77.207859999999997</v>
      </c>
      <c r="I88" s="334">
        <v>454.23637000000002</v>
      </c>
      <c r="J88" s="335">
        <v>-45.763680134327998</v>
      </c>
      <c r="K88" s="338">
        <v>0.45423632445399997</v>
      </c>
    </row>
    <row r="89" spans="1:11" ht="14.4" customHeight="1" thickBot="1" x14ac:dyDescent="0.35">
      <c r="A89" s="356" t="s">
        <v>281</v>
      </c>
      <c r="B89" s="334">
        <v>1174.0000000003099</v>
      </c>
      <c r="C89" s="334">
        <v>1261.42893</v>
      </c>
      <c r="D89" s="335">
        <v>87.428929999692997</v>
      </c>
      <c r="E89" s="336">
        <v>1.0744709795559999</v>
      </c>
      <c r="F89" s="334">
        <v>1326.0001329562399</v>
      </c>
      <c r="G89" s="335">
        <v>663.00006647811995</v>
      </c>
      <c r="H89" s="337">
        <v>136.64512999999999</v>
      </c>
      <c r="I89" s="334">
        <v>667.36487999999997</v>
      </c>
      <c r="J89" s="335">
        <v>4.3648135218800004</v>
      </c>
      <c r="K89" s="338">
        <v>0.50329171424100005</v>
      </c>
    </row>
    <row r="90" spans="1:11" ht="14.4" customHeight="1" thickBot="1" x14ac:dyDescent="0.35">
      <c r="A90" s="355" t="s">
        <v>282</v>
      </c>
      <c r="B90" s="339">
        <v>0</v>
      </c>
      <c r="C90" s="339">
        <v>135.25246000000001</v>
      </c>
      <c r="D90" s="340">
        <v>135.25246000000001</v>
      </c>
      <c r="E90" s="341" t="s">
        <v>200</v>
      </c>
      <c r="F90" s="339">
        <v>0</v>
      </c>
      <c r="G90" s="340">
        <v>0</v>
      </c>
      <c r="H90" s="342">
        <v>69.956119999999999</v>
      </c>
      <c r="I90" s="339">
        <v>95.161569999999998</v>
      </c>
      <c r="J90" s="340">
        <v>95.161569999999998</v>
      </c>
      <c r="K90" s="347" t="s">
        <v>200</v>
      </c>
    </row>
    <row r="91" spans="1:11" ht="14.4" customHeight="1" thickBot="1" x14ac:dyDescent="0.35">
      <c r="A91" s="356" t="s">
        <v>283</v>
      </c>
      <c r="B91" s="334">
        <v>0</v>
      </c>
      <c r="C91" s="334">
        <v>21.508310000000002</v>
      </c>
      <c r="D91" s="335">
        <v>21.508310000000002</v>
      </c>
      <c r="E91" s="344" t="s">
        <v>200</v>
      </c>
      <c r="F91" s="334">
        <v>0</v>
      </c>
      <c r="G91" s="335">
        <v>0</v>
      </c>
      <c r="H91" s="337">
        <v>0</v>
      </c>
      <c r="I91" s="334">
        <v>15.700760000000001</v>
      </c>
      <c r="J91" s="335">
        <v>15.700760000000001</v>
      </c>
      <c r="K91" s="345" t="s">
        <v>200</v>
      </c>
    </row>
    <row r="92" spans="1:11" ht="14.4" customHeight="1" thickBot="1" x14ac:dyDescent="0.35">
      <c r="A92" s="356" t="s">
        <v>284</v>
      </c>
      <c r="B92" s="334">
        <v>0</v>
      </c>
      <c r="C92" s="334">
        <v>113.74415</v>
      </c>
      <c r="D92" s="335">
        <v>113.74415</v>
      </c>
      <c r="E92" s="344" t="s">
        <v>200</v>
      </c>
      <c r="F92" s="334">
        <v>0</v>
      </c>
      <c r="G92" s="335">
        <v>0</v>
      </c>
      <c r="H92" s="337">
        <v>69.956119999999999</v>
      </c>
      <c r="I92" s="334">
        <v>79.460809999999995</v>
      </c>
      <c r="J92" s="335">
        <v>79.460809999999995</v>
      </c>
      <c r="K92" s="345" t="s">
        <v>200</v>
      </c>
    </row>
    <row r="93" spans="1:11" ht="14.4" customHeight="1" thickBot="1" x14ac:dyDescent="0.35">
      <c r="A93" s="353" t="s">
        <v>285</v>
      </c>
      <c r="B93" s="334">
        <v>14</v>
      </c>
      <c r="C93" s="334">
        <v>7.2313999999999998</v>
      </c>
      <c r="D93" s="335">
        <v>-6.7686000000000002</v>
      </c>
      <c r="E93" s="336">
        <v>0.51652857142800002</v>
      </c>
      <c r="F93" s="334">
        <v>5.8142446445880003</v>
      </c>
      <c r="G93" s="335">
        <v>2.9071223222940001</v>
      </c>
      <c r="H93" s="337">
        <v>0</v>
      </c>
      <c r="I93" s="334">
        <v>1.44628</v>
      </c>
      <c r="J93" s="335">
        <v>-1.4608423222939999</v>
      </c>
      <c r="K93" s="338">
        <v>0.24874770299599999</v>
      </c>
    </row>
    <row r="94" spans="1:11" ht="14.4" customHeight="1" thickBot="1" x14ac:dyDescent="0.35">
      <c r="A94" s="359" t="s">
        <v>286</v>
      </c>
      <c r="B94" s="339">
        <v>14</v>
      </c>
      <c r="C94" s="339">
        <v>7.2313999999999998</v>
      </c>
      <c r="D94" s="340">
        <v>-6.7686000000000002</v>
      </c>
      <c r="E94" s="346">
        <v>0.51652857142800002</v>
      </c>
      <c r="F94" s="339">
        <v>5.8142446445880003</v>
      </c>
      <c r="G94" s="340">
        <v>2.9071223222940001</v>
      </c>
      <c r="H94" s="342">
        <v>0</v>
      </c>
      <c r="I94" s="339">
        <v>1.44628</v>
      </c>
      <c r="J94" s="340">
        <v>-1.4608423222939999</v>
      </c>
      <c r="K94" s="343">
        <v>0.24874770299599999</v>
      </c>
    </row>
    <row r="95" spans="1:11" ht="14.4" customHeight="1" thickBot="1" x14ac:dyDescent="0.35">
      <c r="A95" s="355" t="s">
        <v>287</v>
      </c>
      <c r="B95" s="339">
        <v>0</v>
      </c>
      <c r="C95" s="339">
        <v>-1E-4</v>
      </c>
      <c r="D95" s="340">
        <v>-1E-4</v>
      </c>
      <c r="E95" s="341" t="s">
        <v>200</v>
      </c>
      <c r="F95" s="339">
        <v>0</v>
      </c>
      <c r="G95" s="340">
        <v>0</v>
      </c>
      <c r="H95" s="342">
        <v>0</v>
      </c>
      <c r="I95" s="339">
        <v>-2.0000000000000002E-5</v>
      </c>
      <c r="J95" s="340">
        <v>-2.0000000000000002E-5</v>
      </c>
      <c r="K95" s="347" t="s">
        <v>200</v>
      </c>
    </row>
    <row r="96" spans="1:11" ht="14.4" customHeight="1" thickBot="1" x14ac:dyDescent="0.35">
      <c r="A96" s="356" t="s">
        <v>288</v>
      </c>
      <c r="B96" s="334">
        <v>0</v>
      </c>
      <c r="C96" s="334">
        <v>-1E-4</v>
      </c>
      <c r="D96" s="335">
        <v>-1E-4</v>
      </c>
      <c r="E96" s="344" t="s">
        <v>200</v>
      </c>
      <c r="F96" s="334">
        <v>0</v>
      </c>
      <c r="G96" s="335">
        <v>0</v>
      </c>
      <c r="H96" s="337">
        <v>0</v>
      </c>
      <c r="I96" s="334">
        <v>-2.0000000000000002E-5</v>
      </c>
      <c r="J96" s="335">
        <v>-2.0000000000000002E-5</v>
      </c>
      <c r="K96" s="345" t="s">
        <v>200</v>
      </c>
    </row>
    <row r="97" spans="1:11" ht="14.4" customHeight="1" thickBot="1" x14ac:dyDescent="0.35">
      <c r="A97" s="355" t="s">
        <v>289</v>
      </c>
      <c r="B97" s="339">
        <v>14</v>
      </c>
      <c r="C97" s="339">
        <v>7.2314999999999996</v>
      </c>
      <c r="D97" s="340">
        <v>-6.7685000000000004</v>
      </c>
      <c r="E97" s="346">
        <v>0.516535714285</v>
      </c>
      <c r="F97" s="339">
        <v>5.8142446445880003</v>
      </c>
      <c r="G97" s="340">
        <v>2.9071223222940001</v>
      </c>
      <c r="H97" s="342">
        <v>0</v>
      </c>
      <c r="I97" s="339">
        <v>1.4462999999999999</v>
      </c>
      <c r="J97" s="340">
        <v>-1.460822322294</v>
      </c>
      <c r="K97" s="343">
        <v>0.24875114282399999</v>
      </c>
    </row>
    <row r="98" spans="1:11" ht="14.4" customHeight="1" thickBot="1" x14ac:dyDescent="0.35">
      <c r="A98" s="356" t="s">
        <v>290</v>
      </c>
      <c r="B98" s="334">
        <v>14</v>
      </c>
      <c r="C98" s="334">
        <v>7.2314999999999996</v>
      </c>
      <c r="D98" s="335">
        <v>-6.7685000000000004</v>
      </c>
      <c r="E98" s="336">
        <v>0.516535714285</v>
      </c>
      <c r="F98" s="334">
        <v>5.8142446445880003</v>
      </c>
      <c r="G98" s="335">
        <v>2.9071223222940001</v>
      </c>
      <c r="H98" s="337">
        <v>0</v>
      </c>
      <c r="I98" s="334">
        <v>1.4462999999999999</v>
      </c>
      <c r="J98" s="335">
        <v>-1.460822322294</v>
      </c>
      <c r="K98" s="338">
        <v>0.24875114282399999</v>
      </c>
    </row>
    <row r="99" spans="1:11" ht="14.4" customHeight="1" thickBot="1" x14ac:dyDescent="0.35">
      <c r="A99" s="352" t="s">
        <v>291</v>
      </c>
      <c r="B99" s="334">
        <v>502.09512956055698</v>
      </c>
      <c r="C99" s="334">
        <v>531.89478000000099</v>
      </c>
      <c r="D99" s="335">
        <v>29.799650439442999</v>
      </c>
      <c r="E99" s="336">
        <v>1.0593506064580001</v>
      </c>
      <c r="F99" s="334">
        <v>463.70014961789599</v>
      </c>
      <c r="G99" s="335">
        <v>231.85007480894799</v>
      </c>
      <c r="H99" s="337">
        <v>44.144280000000002</v>
      </c>
      <c r="I99" s="334">
        <v>216.91526999999999</v>
      </c>
      <c r="J99" s="335">
        <v>-14.934804808948</v>
      </c>
      <c r="K99" s="338">
        <v>0.46779210698700002</v>
      </c>
    </row>
    <row r="100" spans="1:11" ht="14.4" customHeight="1" thickBot="1" x14ac:dyDescent="0.35">
      <c r="A100" s="357" t="s">
        <v>292</v>
      </c>
      <c r="B100" s="339">
        <v>502.09512956055698</v>
      </c>
      <c r="C100" s="339">
        <v>531.89478000000099</v>
      </c>
      <c r="D100" s="340">
        <v>29.799650439442999</v>
      </c>
      <c r="E100" s="346">
        <v>1.0593506064580001</v>
      </c>
      <c r="F100" s="339">
        <v>463.70014961789599</v>
      </c>
      <c r="G100" s="340">
        <v>231.85007480894799</v>
      </c>
      <c r="H100" s="342">
        <v>44.144280000000002</v>
      </c>
      <c r="I100" s="339">
        <v>216.91526999999999</v>
      </c>
      <c r="J100" s="340">
        <v>-14.934804808948</v>
      </c>
      <c r="K100" s="343">
        <v>0.46779210698700002</v>
      </c>
    </row>
    <row r="101" spans="1:11" ht="14.4" customHeight="1" thickBot="1" x14ac:dyDescent="0.35">
      <c r="A101" s="359" t="s">
        <v>31</v>
      </c>
      <c r="B101" s="339">
        <v>502.09512956055698</v>
      </c>
      <c r="C101" s="339">
        <v>531.89478000000099</v>
      </c>
      <c r="D101" s="340">
        <v>29.799650439442999</v>
      </c>
      <c r="E101" s="346">
        <v>1.0593506064580001</v>
      </c>
      <c r="F101" s="339">
        <v>463.70014961789599</v>
      </c>
      <c r="G101" s="340">
        <v>231.85007480894799</v>
      </c>
      <c r="H101" s="342">
        <v>44.144280000000002</v>
      </c>
      <c r="I101" s="339">
        <v>216.91526999999999</v>
      </c>
      <c r="J101" s="340">
        <v>-14.934804808948</v>
      </c>
      <c r="K101" s="343">
        <v>0.46779210698700002</v>
      </c>
    </row>
    <row r="102" spans="1:11" ht="14.4" customHeight="1" thickBot="1" x14ac:dyDescent="0.35">
      <c r="A102" s="355" t="s">
        <v>293</v>
      </c>
      <c r="B102" s="339">
        <v>5.9297660682859998</v>
      </c>
      <c r="C102" s="339">
        <v>6.2655000000000003</v>
      </c>
      <c r="D102" s="340">
        <v>0.33573393171299998</v>
      </c>
      <c r="E102" s="346">
        <v>1.0566184108859999</v>
      </c>
      <c r="F102" s="339">
        <v>6.7729266926160001</v>
      </c>
      <c r="G102" s="340">
        <v>3.3864633463080001</v>
      </c>
      <c r="H102" s="342">
        <v>0.52200000000000002</v>
      </c>
      <c r="I102" s="339">
        <v>3.1320000000000001</v>
      </c>
      <c r="J102" s="340">
        <v>-0.25446334630799999</v>
      </c>
      <c r="K102" s="343">
        <v>0.46242933699700001</v>
      </c>
    </row>
    <row r="103" spans="1:11" ht="14.4" customHeight="1" thickBot="1" x14ac:dyDescent="0.35">
      <c r="A103" s="356" t="s">
        <v>294</v>
      </c>
      <c r="B103" s="334">
        <v>5.9297660682859998</v>
      </c>
      <c r="C103" s="334">
        <v>6.2655000000000003</v>
      </c>
      <c r="D103" s="335">
        <v>0.33573393171299998</v>
      </c>
      <c r="E103" s="336">
        <v>1.0566184108859999</v>
      </c>
      <c r="F103" s="334">
        <v>6.7729266926160001</v>
      </c>
      <c r="G103" s="335">
        <v>3.3864633463080001</v>
      </c>
      <c r="H103" s="337">
        <v>0.52200000000000002</v>
      </c>
      <c r="I103" s="334">
        <v>3.1320000000000001</v>
      </c>
      <c r="J103" s="335">
        <v>-0.25446334630799999</v>
      </c>
      <c r="K103" s="338">
        <v>0.46242933699700001</v>
      </c>
    </row>
    <row r="104" spans="1:11" ht="14.4" customHeight="1" thickBot="1" x14ac:dyDescent="0.35">
      <c r="A104" s="355" t="s">
        <v>295</v>
      </c>
      <c r="B104" s="339">
        <v>1.326101424198</v>
      </c>
      <c r="C104" s="339">
        <v>0.14699999999999999</v>
      </c>
      <c r="D104" s="340">
        <v>-1.179101424198</v>
      </c>
      <c r="E104" s="346">
        <v>0.110851249623</v>
      </c>
      <c r="F104" s="339">
        <v>0</v>
      </c>
      <c r="G104" s="340">
        <v>0</v>
      </c>
      <c r="H104" s="342">
        <v>0</v>
      </c>
      <c r="I104" s="339">
        <v>0</v>
      </c>
      <c r="J104" s="340">
        <v>0</v>
      </c>
      <c r="K104" s="343">
        <v>6</v>
      </c>
    </row>
    <row r="105" spans="1:11" ht="14.4" customHeight="1" thickBot="1" x14ac:dyDescent="0.35">
      <c r="A105" s="356" t="s">
        <v>296</v>
      </c>
      <c r="B105" s="334">
        <v>1.326101424198</v>
      </c>
      <c r="C105" s="334">
        <v>0.14699999999999999</v>
      </c>
      <c r="D105" s="335">
        <v>-1.179101424198</v>
      </c>
      <c r="E105" s="336">
        <v>0.110851249623</v>
      </c>
      <c r="F105" s="334">
        <v>0</v>
      </c>
      <c r="G105" s="335">
        <v>0</v>
      </c>
      <c r="H105" s="337">
        <v>0</v>
      </c>
      <c r="I105" s="334">
        <v>0</v>
      </c>
      <c r="J105" s="335">
        <v>0</v>
      </c>
      <c r="K105" s="338">
        <v>6</v>
      </c>
    </row>
    <row r="106" spans="1:11" ht="14.4" customHeight="1" thickBot="1" x14ac:dyDescent="0.35">
      <c r="A106" s="355" t="s">
        <v>297</v>
      </c>
      <c r="B106" s="339">
        <v>0.73477752106299998</v>
      </c>
      <c r="C106" s="339">
        <v>2.0278999999999998</v>
      </c>
      <c r="D106" s="340">
        <v>1.2931224789360001</v>
      </c>
      <c r="E106" s="346">
        <v>2.7598830147440001</v>
      </c>
      <c r="F106" s="339">
        <v>1.7545519285610001</v>
      </c>
      <c r="G106" s="340">
        <v>0.87727596427999999</v>
      </c>
      <c r="H106" s="342">
        <v>0.12529999999999999</v>
      </c>
      <c r="I106" s="339">
        <v>0.89980000000000004</v>
      </c>
      <c r="J106" s="340">
        <v>2.2524035719E-2</v>
      </c>
      <c r="K106" s="343">
        <v>0.51283748594300005</v>
      </c>
    </row>
    <row r="107" spans="1:11" ht="14.4" customHeight="1" thickBot="1" x14ac:dyDescent="0.35">
      <c r="A107" s="356" t="s">
        <v>298</v>
      </c>
      <c r="B107" s="334">
        <v>0.73477752106299998</v>
      </c>
      <c r="C107" s="334">
        <v>2.0278999999999998</v>
      </c>
      <c r="D107" s="335">
        <v>1.2931224789360001</v>
      </c>
      <c r="E107" s="336">
        <v>2.7598830147440001</v>
      </c>
      <c r="F107" s="334">
        <v>1.7545519285610001</v>
      </c>
      <c r="G107" s="335">
        <v>0.87727596427999999</v>
      </c>
      <c r="H107" s="337">
        <v>0.12529999999999999</v>
      </c>
      <c r="I107" s="334">
        <v>0.89980000000000004</v>
      </c>
      <c r="J107" s="335">
        <v>2.2524035719E-2</v>
      </c>
      <c r="K107" s="338">
        <v>0.51283748594300005</v>
      </c>
    </row>
    <row r="108" spans="1:11" ht="14.4" customHeight="1" thickBot="1" x14ac:dyDescent="0.35">
      <c r="A108" s="355" t="s">
        <v>299</v>
      </c>
      <c r="B108" s="339">
        <v>188</v>
      </c>
      <c r="C108" s="339">
        <v>171.4469</v>
      </c>
      <c r="D108" s="340">
        <v>-16.553099999998999</v>
      </c>
      <c r="E108" s="346">
        <v>0.91195159574399998</v>
      </c>
      <c r="F108" s="339">
        <v>117.687631564019</v>
      </c>
      <c r="G108" s="340">
        <v>58.843815782009003</v>
      </c>
      <c r="H108" s="342">
        <v>17.895050000000001</v>
      </c>
      <c r="I108" s="339">
        <v>54.099150000000002</v>
      </c>
      <c r="J108" s="340">
        <v>-4.7446657820090001</v>
      </c>
      <c r="K108" s="343">
        <v>0.45968424447799999</v>
      </c>
    </row>
    <row r="109" spans="1:11" ht="14.4" customHeight="1" thickBot="1" x14ac:dyDescent="0.35">
      <c r="A109" s="356" t="s">
        <v>300</v>
      </c>
      <c r="B109" s="334">
        <v>188</v>
      </c>
      <c r="C109" s="334">
        <v>171.4469</v>
      </c>
      <c r="D109" s="335">
        <v>-16.553099999998999</v>
      </c>
      <c r="E109" s="336">
        <v>0.91195159574399998</v>
      </c>
      <c r="F109" s="334">
        <v>117.687631564019</v>
      </c>
      <c r="G109" s="335">
        <v>58.843815782009003</v>
      </c>
      <c r="H109" s="337">
        <v>17.895050000000001</v>
      </c>
      <c r="I109" s="334">
        <v>54.099150000000002</v>
      </c>
      <c r="J109" s="335">
        <v>-4.7446657820090001</v>
      </c>
      <c r="K109" s="338">
        <v>0.45968424447799999</v>
      </c>
    </row>
    <row r="110" spans="1:11" ht="14.4" customHeight="1" thickBot="1" x14ac:dyDescent="0.35">
      <c r="A110" s="355" t="s">
        <v>301</v>
      </c>
      <c r="B110" s="339">
        <v>306.10448454700901</v>
      </c>
      <c r="C110" s="339">
        <v>352.00747999999999</v>
      </c>
      <c r="D110" s="340">
        <v>45.902995452991</v>
      </c>
      <c r="E110" s="346">
        <v>1.1499585852880001</v>
      </c>
      <c r="F110" s="339">
        <v>337.48503943269901</v>
      </c>
      <c r="G110" s="340">
        <v>168.74251971634999</v>
      </c>
      <c r="H110" s="342">
        <v>25.601929999999999</v>
      </c>
      <c r="I110" s="339">
        <v>158.78432000000001</v>
      </c>
      <c r="J110" s="340">
        <v>-9.9581997163490001</v>
      </c>
      <c r="K110" s="343">
        <v>0.47049291508399999</v>
      </c>
    </row>
    <row r="111" spans="1:11" ht="14.4" customHeight="1" thickBot="1" x14ac:dyDescent="0.35">
      <c r="A111" s="356" t="s">
        <v>302</v>
      </c>
      <c r="B111" s="334">
        <v>306.10448454700901</v>
      </c>
      <c r="C111" s="334">
        <v>352.00747999999999</v>
      </c>
      <c r="D111" s="335">
        <v>45.902995452991</v>
      </c>
      <c r="E111" s="336">
        <v>1.1499585852880001</v>
      </c>
      <c r="F111" s="334">
        <v>337.48503943269901</v>
      </c>
      <c r="G111" s="335">
        <v>168.74251971634999</v>
      </c>
      <c r="H111" s="337">
        <v>25.601929999999999</v>
      </c>
      <c r="I111" s="334">
        <v>158.78432000000001</v>
      </c>
      <c r="J111" s="335">
        <v>-9.9581997163490001</v>
      </c>
      <c r="K111" s="338">
        <v>0.47049291508399999</v>
      </c>
    </row>
    <row r="112" spans="1:11" ht="14.4" customHeight="1" thickBot="1" x14ac:dyDescent="0.35">
      <c r="A112" s="360"/>
      <c r="B112" s="334">
        <v>-1964.8239183820599</v>
      </c>
      <c r="C112" s="334">
        <v>-1883.3484000000001</v>
      </c>
      <c r="D112" s="335">
        <v>81.475518382054005</v>
      </c>
      <c r="E112" s="336">
        <v>0.95853291604400004</v>
      </c>
      <c r="F112" s="334">
        <v>-1587.3419909864001</v>
      </c>
      <c r="G112" s="335">
        <v>-793.67099549320199</v>
      </c>
      <c r="H112" s="337">
        <v>13.609749999999</v>
      </c>
      <c r="I112" s="334">
        <v>-621.95944999999995</v>
      </c>
      <c r="J112" s="335">
        <v>171.71154549320201</v>
      </c>
      <c r="K112" s="338">
        <v>0.39182447987300001</v>
      </c>
    </row>
    <row r="113" spans="1:11" ht="14.4" customHeight="1" thickBot="1" x14ac:dyDescent="0.35">
      <c r="A113" s="361" t="s">
        <v>43</v>
      </c>
      <c r="B113" s="348">
        <v>-1964.8239183820599</v>
      </c>
      <c r="C113" s="348">
        <v>-1883.3484000000001</v>
      </c>
      <c r="D113" s="349">
        <v>81.475518382054005</v>
      </c>
      <c r="E113" s="350">
        <v>-0.94361922600100001</v>
      </c>
      <c r="F113" s="348">
        <v>-1587.3419909864001</v>
      </c>
      <c r="G113" s="349">
        <v>-793.67099549320199</v>
      </c>
      <c r="H113" s="348">
        <v>13.609749999999</v>
      </c>
      <c r="I113" s="348">
        <v>-621.95944999999995</v>
      </c>
      <c r="J113" s="349">
        <v>171.71154549320201</v>
      </c>
      <c r="K113" s="351">
        <v>0.39182447987300001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14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177" customWidth="1"/>
    <col min="2" max="2" width="61.109375" style="177" customWidth="1"/>
    <col min="3" max="3" width="9.5546875" style="102" customWidth="1"/>
    <col min="4" max="4" width="9.5546875" style="178" customWidth="1"/>
    <col min="5" max="5" width="2.21875" style="178" customWidth="1"/>
    <col min="6" max="6" width="9.5546875" style="179" customWidth="1"/>
    <col min="7" max="7" width="9.5546875" style="176" customWidth="1"/>
    <col min="8" max="9" width="9.5546875" style="102" customWidth="1"/>
    <col min="10" max="10" width="0" style="102" hidden="1" customWidth="1"/>
    <col min="11" max="16384" width="8.88671875" style="102"/>
  </cols>
  <sheetData>
    <row r="1" spans="1:10" ht="18.600000000000001" customHeight="1" thickBot="1" x14ac:dyDescent="0.4">
      <c r="A1" s="300" t="s">
        <v>104</v>
      </c>
      <c r="B1" s="301"/>
      <c r="C1" s="301"/>
      <c r="D1" s="301"/>
      <c r="E1" s="301"/>
      <c r="F1" s="301"/>
      <c r="G1" s="272"/>
      <c r="H1" s="302"/>
      <c r="I1" s="302"/>
    </row>
    <row r="2" spans="1:10" ht="14.4" customHeight="1" thickBot="1" x14ac:dyDescent="0.35">
      <c r="A2" s="195" t="s">
        <v>199</v>
      </c>
      <c r="B2" s="175"/>
      <c r="C2" s="175"/>
      <c r="D2" s="175"/>
      <c r="E2" s="175"/>
      <c r="F2" s="175"/>
    </row>
    <row r="3" spans="1:10" ht="14.4" customHeight="1" thickBot="1" x14ac:dyDescent="0.35">
      <c r="A3" s="195"/>
      <c r="B3" s="175"/>
      <c r="C3" s="239">
        <v>2014</v>
      </c>
      <c r="D3" s="240">
        <v>2015</v>
      </c>
      <c r="E3" s="7"/>
      <c r="F3" s="295">
        <v>2016</v>
      </c>
      <c r="G3" s="296"/>
      <c r="H3" s="296"/>
      <c r="I3" s="297"/>
    </row>
    <row r="4" spans="1:10" ht="14.4" customHeight="1" thickBot="1" x14ac:dyDescent="0.35">
      <c r="A4" s="244" t="s">
        <v>0</v>
      </c>
      <c r="B4" s="245" t="s">
        <v>157</v>
      </c>
      <c r="C4" s="298" t="s">
        <v>50</v>
      </c>
      <c r="D4" s="299"/>
      <c r="E4" s="246"/>
      <c r="F4" s="241" t="s">
        <v>50</v>
      </c>
      <c r="G4" s="242" t="s">
        <v>51</v>
      </c>
      <c r="H4" s="242" t="s">
        <v>45</v>
      </c>
      <c r="I4" s="243" t="s">
        <v>52</v>
      </c>
    </row>
    <row r="5" spans="1:10" ht="14.4" customHeight="1" x14ac:dyDescent="0.3">
      <c r="A5" s="362" t="s">
        <v>303</v>
      </c>
      <c r="B5" s="363" t="s">
        <v>304</v>
      </c>
      <c r="C5" s="364" t="s">
        <v>305</v>
      </c>
      <c r="D5" s="364" t="s">
        <v>305</v>
      </c>
      <c r="E5" s="364"/>
      <c r="F5" s="364" t="s">
        <v>305</v>
      </c>
      <c r="G5" s="364" t="s">
        <v>305</v>
      </c>
      <c r="H5" s="364" t="s">
        <v>305</v>
      </c>
      <c r="I5" s="365" t="s">
        <v>305</v>
      </c>
      <c r="J5" s="366" t="s">
        <v>46</v>
      </c>
    </row>
    <row r="6" spans="1:10" ht="14.4" customHeight="1" x14ac:dyDescent="0.3">
      <c r="A6" s="362" t="s">
        <v>303</v>
      </c>
      <c r="B6" s="363" t="s">
        <v>207</v>
      </c>
      <c r="C6" s="364">
        <v>0</v>
      </c>
      <c r="D6" s="364">
        <v>0.33857999999999999</v>
      </c>
      <c r="E6" s="364"/>
      <c r="F6" s="364">
        <v>0</v>
      </c>
      <c r="G6" s="364">
        <v>0.169290015283</v>
      </c>
      <c r="H6" s="364">
        <v>-0.169290015283</v>
      </c>
      <c r="I6" s="365">
        <v>0</v>
      </c>
      <c r="J6" s="366" t="s">
        <v>1</v>
      </c>
    </row>
    <row r="7" spans="1:10" ht="14.4" customHeight="1" x14ac:dyDescent="0.3">
      <c r="A7" s="362" t="s">
        <v>303</v>
      </c>
      <c r="B7" s="363" t="s">
        <v>306</v>
      </c>
      <c r="C7" s="364">
        <v>0</v>
      </c>
      <c r="D7" s="364">
        <v>0.33857999999999999</v>
      </c>
      <c r="E7" s="364"/>
      <c r="F7" s="364">
        <v>0</v>
      </c>
      <c r="G7" s="364">
        <v>0.169290015283</v>
      </c>
      <c r="H7" s="364">
        <v>-0.169290015283</v>
      </c>
      <c r="I7" s="365">
        <v>0</v>
      </c>
      <c r="J7" s="366" t="s">
        <v>307</v>
      </c>
    </row>
    <row r="9" spans="1:10" ht="14.4" customHeight="1" x14ac:dyDescent="0.3">
      <c r="A9" s="362" t="s">
        <v>303</v>
      </c>
      <c r="B9" s="363" t="s">
        <v>304</v>
      </c>
      <c r="C9" s="364" t="s">
        <v>305</v>
      </c>
      <c r="D9" s="364" t="s">
        <v>305</v>
      </c>
      <c r="E9" s="364"/>
      <c r="F9" s="364" t="s">
        <v>305</v>
      </c>
      <c r="G9" s="364" t="s">
        <v>305</v>
      </c>
      <c r="H9" s="364" t="s">
        <v>305</v>
      </c>
      <c r="I9" s="365" t="s">
        <v>305</v>
      </c>
      <c r="J9" s="366" t="s">
        <v>46</v>
      </c>
    </row>
    <row r="10" spans="1:10" ht="14.4" customHeight="1" x14ac:dyDescent="0.3">
      <c r="A10" s="362" t="s">
        <v>308</v>
      </c>
      <c r="B10" s="363" t="s">
        <v>309</v>
      </c>
      <c r="C10" s="364" t="s">
        <v>305</v>
      </c>
      <c r="D10" s="364" t="s">
        <v>305</v>
      </c>
      <c r="E10" s="364"/>
      <c r="F10" s="364" t="s">
        <v>305</v>
      </c>
      <c r="G10" s="364" t="s">
        <v>305</v>
      </c>
      <c r="H10" s="364" t="s">
        <v>305</v>
      </c>
      <c r="I10" s="365" t="s">
        <v>305</v>
      </c>
      <c r="J10" s="366" t="s">
        <v>0</v>
      </c>
    </row>
    <row r="11" spans="1:10" ht="14.4" customHeight="1" x14ac:dyDescent="0.3">
      <c r="A11" s="362" t="s">
        <v>308</v>
      </c>
      <c r="B11" s="363" t="s">
        <v>207</v>
      </c>
      <c r="C11" s="364">
        <v>0</v>
      </c>
      <c r="D11" s="364">
        <v>0.33857999999999999</v>
      </c>
      <c r="E11" s="364"/>
      <c r="F11" s="364">
        <v>0</v>
      </c>
      <c r="G11" s="364">
        <v>0.169290015283</v>
      </c>
      <c r="H11" s="364">
        <v>-0.169290015283</v>
      </c>
      <c r="I11" s="365">
        <v>0</v>
      </c>
      <c r="J11" s="366" t="s">
        <v>1</v>
      </c>
    </row>
    <row r="12" spans="1:10" ht="14.4" customHeight="1" x14ac:dyDescent="0.3">
      <c r="A12" s="362" t="s">
        <v>308</v>
      </c>
      <c r="B12" s="363" t="s">
        <v>310</v>
      </c>
      <c r="C12" s="364">
        <v>0</v>
      </c>
      <c r="D12" s="364">
        <v>0.33857999999999999</v>
      </c>
      <c r="E12" s="364"/>
      <c r="F12" s="364">
        <v>0</v>
      </c>
      <c r="G12" s="364">
        <v>0.169290015283</v>
      </c>
      <c r="H12" s="364">
        <v>-0.169290015283</v>
      </c>
      <c r="I12" s="365">
        <v>0</v>
      </c>
      <c r="J12" s="366" t="s">
        <v>311</v>
      </c>
    </row>
    <row r="13" spans="1:10" ht="14.4" customHeight="1" x14ac:dyDescent="0.3">
      <c r="A13" s="362" t="s">
        <v>305</v>
      </c>
      <c r="B13" s="363" t="s">
        <v>305</v>
      </c>
      <c r="C13" s="364" t="s">
        <v>305</v>
      </c>
      <c r="D13" s="364" t="s">
        <v>305</v>
      </c>
      <c r="E13" s="364"/>
      <c r="F13" s="364" t="s">
        <v>305</v>
      </c>
      <c r="G13" s="364" t="s">
        <v>305</v>
      </c>
      <c r="H13" s="364" t="s">
        <v>305</v>
      </c>
      <c r="I13" s="365" t="s">
        <v>305</v>
      </c>
      <c r="J13" s="366" t="s">
        <v>312</v>
      </c>
    </row>
    <row r="14" spans="1:10" ht="14.4" customHeight="1" x14ac:dyDescent="0.3">
      <c r="A14" s="362" t="s">
        <v>303</v>
      </c>
      <c r="B14" s="363" t="s">
        <v>306</v>
      </c>
      <c r="C14" s="364">
        <v>0</v>
      </c>
      <c r="D14" s="364">
        <v>0.33857999999999999</v>
      </c>
      <c r="E14" s="364"/>
      <c r="F14" s="364">
        <v>0</v>
      </c>
      <c r="G14" s="364">
        <v>0.169290015283</v>
      </c>
      <c r="H14" s="364">
        <v>-0.169290015283</v>
      </c>
      <c r="I14" s="365">
        <v>0</v>
      </c>
      <c r="J14" s="366" t="s">
        <v>307</v>
      </c>
    </row>
  </sheetData>
  <mergeCells count="3">
    <mergeCell ref="F3:I3"/>
    <mergeCell ref="C4:D4"/>
    <mergeCell ref="A1:I1"/>
  </mergeCells>
  <conditionalFormatting sqref="F8 F15:F65537">
    <cfRule type="cellIs" dxfId="39" priority="18" stopIfTrue="1" operator="greaterThan">
      <formula>1</formula>
    </cfRule>
  </conditionalFormatting>
  <conditionalFormatting sqref="H5:H7">
    <cfRule type="expression" dxfId="38" priority="14">
      <formula>$H5&gt;0</formula>
    </cfRule>
  </conditionalFormatting>
  <conditionalFormatting sqref="I5:I7">
    <cfRule type="expression" dxfId="37" priority="15">
      <formula>$I5&gt;1</formula>
    </cfRule>
  </conditionalFormatting>
  <conditionalFormatting sqref="B5:B7">
    <cfRule type="expression" dxfId="36" priority="11">
      <formula>OR($J5="NS",$J5="SumaNS",$J5="Účet")</formula>
    </cfRule>
  </conditionalFormatting>
  <conditionalFormatting sqref="B5:D7 F5:I7">
    <cfRule type="expression" dxfId="35" priority="17">
      <formula>AND($J5&lt;&gt;"",$J5&lt;&gt;"mezeraKL")</formula>
    </cfRule>
  </conditionalFormatting>
  <conditionalFormatting sqref="B5:D7 F5:I7">
    <cfRule type="expression" dxfId="34" priority="12">
      <formula>OR($J5="KL",$J5="SumaKL")</formula>
    </cfRule>
    <cfRule type="expression" priority="16" stopIfTrue="1">
      <formula>OR($J5="mezeraNS",$J5="mezeraKL")</formula>
    </cfRule>
  </conditionalFormatting>
  <conditionalFormatting sqref="F5:I7 B5:D7">
    <cfRule type="expression" dxfId="33" priority="13">
      <formula>OR($J5="SumaNS",$J5="NS")</formula>
    </cfRule>
  </conditionalFormatting>
  <conditionalFormatting sqref="A5:A7">
    <cfRule type="expression" dxfId="32" priority="9">
      <formula>AND($J5&lt;&gt;"mezeraKL",$J5&lt;&gt;"")</formula>
    </cfRule>
  </conditionalFormatting>
  <conditionalFormatting sqref="A5:A7">
    <cfRule type="expression" dxfId="31" priority="10">
      <formula>AND($J5&lt;&gt;"",$J5&lt;&gt;"mezeraKL")</formula>
    </cfRule>
  </conditionalFormatting>
  <conditionalFormatting sqref="H9:H14">
    <cfRule type="expression" dxfId="30" priority="5">
      <formula>$H9&gt;0</formula>
    </cfRule>
  </conditionalFormatting>
  <conditionalFormatting sqref="A9:A14">
    <cfRule type="expression" dxfId="29" priority="2">
      <formula>AND($J9&lt;&gt;"mezeraKL",$J9&lt;&gt;"")</formula>
    </cfRule>
  </conditionalFormatting>
  <conditionalFormatting sqref="I9:I14">
    <cfRule type="expression" dxfId="28" priority="6">
      <formula>$I9&gt;1</formula>
    </cfRule>
  </conditionalFormatting>
  <conditionalFormatting sqref="B9:B14">
    <cfRule type="expression" dxfId="27" priority="1">
      <formula>OR($J9="NS",$J9="SumaNS",$J9="Účet")</formula>
    </cfRule>
  </conditionalFormatting>
  <conditionalFormatting sqref="A9:D14 F9:I14">
    <cfRule type="expression" dxfId="26" priority="8">
      <formula>AND($J9&lt;&gt;"",$J9&lt;&gt;"mezeraKL")</formula>
    </cfRule>
  </conditionalFormatting>
  <conditionalFormatting sqref="B9:D14 F9:I14">
    <cfRule type="expression" dxfId="25" priority="3">
      <formula>OR($J9="KL",$J9="SumaKL")</formula>
    </cfRule>
    <cfRule type="expression" priority="7" stopIfTrue="1">
      <formula>OR($J9="mezeraNS",$J9="mezeraKL")</formula>
    </cfRule>
  </conditionalFormatting>
  <conditionalFormatting sqref="B9:D14 F9:I14">
    <cfRule type="expression" dxfId="24" priority="4">
      <formula>OR($J9="SumaNS",$J9="NS")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7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259" customWidth="1"/>
    <col min="2" max="2" width="5.44140625" style="176" bestFit="1" customWidth="1"/>
    <col min="3" max="3" width="6.109375" style="176" bestFit="1" customWidth="1"/>
    <col min="4" max="4" width="7.44140625" style="176" bestFit="1" customWidth="1"/>
    <col min="5" max="5" width="6.21875" style="176" bestFit="1" customWidth="1"/>
    <col min="6" max="6" width="6.33203125" style="179" bestFit="1" customWidth="1"/>
    <col min="7" max="7" width="6.109375" style="179" bestFit="1" customWidth="1"/>
    <col min="8" max="8" width="7.44140625" style="179" bestFit="1" customWidth="1"/>
    <col min="9" max="9" width="6.21875" style="179" bestFit="1" customWidth="1"/>
    <col min="10" max="10" width="5.44140625" style="176" bestFit="1" customWidth="1"/>
    <col min="11" max="11" width="6.109375" style="176" bestFit="1" customWidth="1"/>
    <col min="12" max="12" width="7.44140625" style="176" bestFit="1" customWidth="1"/>
    <col min="13" max="13" width="6.21875" style="176" bestFit="1" customWidth="1"/>
    <col min="14" max="14" width="5.33203125" style="179" bestFit="1" customWidth="1"/>
    <col min="15" max="15" width="6.109375" style="179" bestFit="1" customWidth="1"/>
    <col min="16" max="16" width="7.44140625" style="179" bestFit="1" customWidth="1"/>
    <col min="17" max="17" width="6.21875" style="179" bestFit="1" customWidth="1"/>
    <col min="18" max="16384" width="8.88671875" style="102"/>
  </cols>
  <sheetData>
    <row r="1" spans="1:17" ht="18.600000000000001" customHeight="1" thickBot="1" x14ac:dyDescent="0.4">
      <c r="A1" s="303" t="s">
        <v>158</v>
      </c>
      <c r="B1" s="303"/>
      <c r="C1" s="303"/>
      <c r="D1" s="303"/>
      <c r="E1" s="303"/>
      <c r="F1" s="272"/>
      <c r="G1" s="272"/>
      <c r="H1" s="272"/>
      <c r="I1" s="272"/>
      <c r="J1" s="302"/>
      <c r="K1" s="302"/>
      <c r="L1" s="302"/>
      <c r="M1" s="302"/>
      <c r="N1" s="302"/>
      <c r="O1" s="302"/>
      <c r="P1" s="302"/>
      <c r="Q1" s="302"/>
    </row>
    <row r="2" spans="1:17" ht="14.4" customHeight="1" thickBot="1" x14ac:dyDescent="0.35">
      <c r="A2" s="195" t="s">
        <v>199</v>
      </c>
      <c r="B2" s="180"/>
      <c r="C2" s="180"/>
      <c r="D2" s="180"/>
      <c r="E2" s="180"/>
    </row>
    <row r="3" spans="1:17" ht="14.4" customHeight="1" thickBot="1" x14ac:dyDescent="0.35">
      <c r="A3" s="248" t="s">
        <v>3</v>
      </c>
      <c r="B3" s="252">
        <f>SUM(B6:B1048576)</f>
        <v>5</v>
      </c>
      <c r="C3" s="253">
        <f>SUM(C6:C1048576)</f>
        <v>0</v>
      </c>
      <c r="D3" s="253">
        <f>SUM(D6:D1048576)</f>
        <v>0</v>
      </c>
      <c r="E3" s="254">
        <f>SUM(E6:E1048576)</f>
        <v>0</v>
      </c>
      <c r="F3" s="251">
        <f>IF(SUM($B3:$E3)=0,"",B3/SUM($B3:$E3))</f>
        <v>1</v>
      </c>
      <c r="G3" s="249">
        <f t="shared" ref="G3:I3" si="0">IF(SUM($B3:$E3)=0,"",C3/SUM($B3:$E3))</f>
        <v>0</v>
      </c>
      <c r="H3" s="249">
        <f t="shared" si="0"/>
        <v>0</v>
      </c>
      <c r="I3" s="250">
        <f t="shared" si="0"/>
        <v>0</v>
      </c>
      <c r="J3" s="253">
        <f>SUM(J6:J1048576)</f>
        <v>2</v>
      </c>
      <c r="K3" s="253">
        <f>SUM(K6:K1048576)</f>
        <v>0</v>
      </c>
      <c r="L3" s="253">
        <f>SUM(L6:L1048576)</f>
        <v>0</v>
      </c>
      <c r="M3" s="254">
        <f>SUM(M6:M1048576)</f>
        <v>0</v>
      </c>
      <c r="N3" s="251">
        <f>IF(SUM($J3:$M3)=0,"",J3/SUM($J3:$M3))</f>
        <v>1</v>
      </c>
      <c r="O3" s="249">
        <f t="shared" ref="O3:Q3" si="1">IF(SUM($J3:$M3)=0,"",K3/SUM($J3:$M3))</f>
        <v>0</v>
      </c>
      <c r="P3" s="249">
        <f t="shared" si="1"/>
        <v>0</v>
      </c>
      <c r="Q3" s="250">
        <f t="shared" si="1"/>
        <v>0</v>
      </c>
    </row>
    <row r="4" spans="1:17" ht="14.4" customHeight="1" thickBot="1" x14ac:dyDescent="0.35">
      <c r="A4" s="247"/>
      <c r="B4" s="307" t="s">
        <v>160</v>
      </c>
      <c r="C4" s="308"/>
      <c r="D4" s="308"/>
      <c r="E4" s="309"/>
      <c r="F4" s="304" t="s">
        <v>165</v>
      </c>
      <c r="G4" s="305"/>
      <c r="H4" s="305"/>
      <c r="I4" s="306"/>
      <c r="J4" s="307" t="s">
        <v>166</v>
      </c>
      <c r="K4" s="308"/>
      <c r="L4" s="308"/>
      <c r="M4" s="309"/>
      <c r="N4" s="304" t="s">
        <v>167</v>
      </c>
      <c r="O4" s="305"/>
      <c r="P4" s="305"/>
      <c r="Q4" s="306"/>
    </row>
    <row r="5" spans="1:17" ht="14.4" customHeight="1" thickBot="1" x14ac:dyDescent="0.35">
      <c r="A5" s="367" t="s">
        <v>159</v>
      </c>
      <c r="B5" s="368" t="s">
        <v>161</v>
      </c>
      <c r="C5" s="368" t="s">
        <v>162</v>
      </c>
      <c r="D5" s="368" t="s">
        <v>163</v>
      </c>
      <c r="E5" s="369" t="s">
        <v>164</v>
      </c>
      <c r="F5" s="370" t="s">
        <v>161</v>
      </c>
      <c r="G5" s="371" t="s">
        <v>162</v>
      </c>
      <c r="H5" s="371" t="s">
        <v>163</v>
      </c>
      <c r="I5" s="372" t="s">
        <v>164</v>
      </c>
      <c r="J5" s="368" t="s">
        <v>161</v>
      </c>
      <c r="K5" s="368" t="s">
        <v>162</v>
      </c>
      <c r="L5" s="368" t="s">
        <v>163</v>
      </c>
      <c r="M5" s="369" t="s">
        <v>164</v>
      </c>
      <c r="N5" s="370" t="s">
        <v>161</v>
      </c>
      <c r="O5" s="371" t="s">
        <v>162</v>
      </c>
      <c r="P5" s="371" t="s">
        <v>163</v>
      </c>
      <c r="Q5" s="372" t="s">
        <v>164</v>
      </c>
    </row>
    <row r="6" spans="1:17" ht="14.4" customHeight="1" x14ac:dyDescent="0.3">
      <c r="A6" s="380" t="s">
        <v>313</v>
      </c>
      <c r="B6" s="384"/>
      <c r="C6" s="374"/>
      <c r="D6" s="374"/>
      <c r="E6" s="386"/>
      <c r="F6" s="382"/>
      <c r="G6" s="375"/>
      <c r="H6" s="375"/>
      <c r="I6" s="388"/>
      <c r="J6" s="384"/>
      <c r="K6" s="374"/>
      <c r="L6" s="374"/>
      <c r="M6" s="386"/>
      <c r="N6" s="382"/>
      <c r="O6" s="375"/>
      <c r="P6" s="375"/>
      <c r="Q6" s="376"/>
    </row>
    <row r="7" spans="1:17" ht="14.4" customHeight="1" thickBot="1" x14ac:dyDescent="0.35">
      <c r="A7" s="381" t="s">
        <v>314</v>
      </c>
      <c r="B7" s="385">
        <v>5</v>
      </c>
      <c r="C7" s="377"/>
      <c r="D7" s="377"/>
      <c r="E7" s="387"/>
      <c r="F7" s="383">
        <v>1</v>
      </c>
      <c r="G7" s="378">
        <v>0</v>
      </c>
      <c r="H7" s="378">
        <v>0</v>
      </c>
      <c r="I7" s="389">
        <v>0</v>
      </c>
      <c r="J7" s="385">
        <v>2</v>
      </c>
      <c r="K7" s="377"/>
      <c r="L7" s="377"/>
      <c r="M7" s="387"/>
      <c r="N7" s="383">
        <v>1</v>
      </c>
      <c r="O7" s="378">
        <v>0</v>
      </c>
      <c r="P7" s="378">
        <v>0</v>
      </c>
      <c r="Q7" s="379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23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16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177" customWidth="1"/>
    <col min="2" max="2" width="61.109375" style="177" customWidth="1"/>
    <col min="3" max="3" width="9.5546875" style="102" customWidth="1"/>
    <col min="4" max="4" width="9.5546875" style="178" customWidth="1"/>
    <col min="5" max="5" width="2.21875" style="178" customWidth="1"/>
    <col min="6" max="6" width="9.5546875" style="179" customWidth="1"/>
    <col min="7" max="7" width="9.5546875" style="176" customWidth="1"/>
    <col min="8" max="9" width="9.5546875" style="102" customWidth="1"/>
    <col min="10" max="10" width="0" style="102" hidden="1" customWidth="1"/>
    <col min="11" max="16384" width="8.88671875" style="102"/>
  </cols>
  <sheetData>
    <row r="1" spans="1:10" ht="18.600000000000001" customHeight="1" thickBot="1" x14ac:dyDescent="0.4">
      <c r="A1" s="300" t="s">
        <v>105</v>
      </c>
      <c r="B1" s="301"/>
      <c r="C1" s="301"/>
      <c r="D1" s="301"/>
      <c r="E1" s="301"/>
      <c r="F1" s="301"/>
      <c r="G1" s="272"/>
      <c r="H1" s="302"/>
      <c r="I1" s="302"/>
    </row>
    <row r="2" spans="1:10" ht="14.4" customHeight="1" thickBot="1" x14ac:dyDescent="0.35">
      <c r="A2" s="195" t="s">
        <v>199</v>
      </c>
      <c r="B2" s="175"/>
      <c r="C2" s="175"/>
      <c r="D2" s="175"/>
      <c r="E2" s="175"/>
      <c r="F2" s="175"/>
    </row>
    <row r="3" spans="1:10" ht="14.4" customHeight="1" thickBot="1" x14ac:dyDescent="0.35">
      <c r="A3" s="195"/>
      <c r="B3" s="175"/>
      <c r="C3" s="239">
        <v>2014</v>
      </c>
      <c r="D3" s="240">
        <v>2015</v>
      </c>
      <c r="E3" s="7"/>
      <c r="F3" s="295">
        <v>2016</v>
      </c>
      <c r="G3" s="296"/>
      <c r="H3" s="296"/>
      <c r="I3" s="297"/>
    </row>
    <row r="4" spans="1:10" ht="14.4" customHeight="1" thickBot="1" x14ac:dyDescent="0.35">
      <c r="A4" s="244" t="s">
        <v>0</v>
      </c>
      <c r="B4" s="245" t="s">
        <v>157</v>
      </c>
      <c r="C4" s="298" t="s">
        <v>50</v>
      </c>
      <c r="D4" s="299"/>
      <c r="E4" s="246"/>
      <c r="F4" s="241" t="s">
        <v>50</v>
      </c>
      <c r="G4" s="242" t="s">
        <v>51</v>
      </c>
      <c r="H4" s="242" t="s">
        <v>45</v>
      </c>
      <c r="I4" s="243" t="s">
        <v>52</v>
      </c>
    </row>
    <row r="5" spans="1:10" ht="14.4" customHeight="1" x14ac:dyDescent="0.3">
      <c r="A5" s="362" t="s">
        <v>303</v>
      </c>
      <c r="B5" s="363" t="s">
        <v>304</v>
      </c>
      <c r="C5" s="364" t="s">
        <v>305</v>
      </c>
      <c r="D5" s="364" t="s">
        <v>305</v>
      </c>
      <c r="E5" s="364"/>
      <c r="F5" s="364" t="s">
        <v>305</v>
      </c>
      <c r="G5" s="364" t="s">
        <v>305</v>
      </c>
      <c r="H5" s="364" t="s">
        <v>305</v>
      </c>
      <c r="I5" s="365" t="s">
        <v>305</v>
      </c>
      <c r="J5" s="366" t="s">
        <v>46</v>
      </c>
    </row>
    <row r="6" spans="1:10" ht="14.4" customHeight="1" x14ac:dyDescent="0.3">
      <c r="A6" s="362" t="s">
        <v>303</v>
      </c>
      <c r="B6" s="363" t="s">
        <v>209</v>
      </c>
      <c r="C6" s="364" t="s">
        <v>305</v>
      </c>
      <c r="D6" s="364">
        <v>0.28936000000000001</v>
      </c>
      <c r="E6" s="364"/>
      <c r="F6" s="364">
        <v>0</v>
      </c>
      <c r="G6" s="364">
        <v>0.1446800130615</v>
      </c>
      <c r="H6" s="364">
        <v>-0.1446800130615</v>
      </c>
      <c r="I6" s="365">
        <v>0</v>
      </c>
      <c r="J6" s="366" t="s">
        <v>1</v>
      </c>
    </row>
    <row r="7" spans="1:10" ht="14.4" customHeight="1" x14ac:dyDescent="0.3">
      <c r="A7" s="362" t="s">
        <v>303</v>
      </c>
      <c r="B7" s="363" t="s">
        <v>210</v>
      </c>
      <c r="C7" s="364">
        <v>0</v>
      </c>
      <c r="D7" s="364">
        <v>0.65410000000000001</v>
      </c>
      <c r="E7" s="364"/>
      <c r="F7" s="364" t="s">
        <v>305</v>
      </c>
      <c r="G7" s="364" t="s">
        <v>305</v>
      </c>
      <c r="H7" s="364" t="s">
        <v>305</v>
      </c>
      <c r="I7" s="365" t="s">
        <v>305</v>
      </c>
      <c r="J7" s="366" t="s">
        <v>1</v>
      </c>
    </row>
    <row r="8" spans="1:10" ht="14.4" customHeight="1" x14ac:dyDescent="0.3">
      <c r="A8" s="362" t="s">
        <v>303</v>
      </c>
      <c r="B8" s="363" t="s">
        <v>306</v>
      </c>
      <c r="C8" s="364">
        <v>0</v>
      </c>
      <c r="D8" s="364">
        <v>0.94345999999999997</v>
      </c>
      <c r="E8" s="364"/>
      <c r="F8" s="364">
        <v>0</v>
      </c>
      <c r="G8" s="364">
        <v>0.1446800130615</v>
      </c>
      <c r="H8" s="364">
        <v>-0.1446800130615</v>
      </c>
      <c r="I8" s="365">
        <v>0</v>
      </c>
      <c r="J8" s="366" t="s">
        <v>307</v>
      </c>
    </row>
    <row r="10" spans="1:10" ht="14.4" customHeight="1" x14ac:dyDescent="0.3">
      <c r="A10" s="362" t="s">
        <v>303</v>
      </c>
      <c r="B10" s="363" t="s">
        <v>304</v>
      </c>
      <c r="C10" s="364" t="s">
        <v>305</v>
      </c>
      <c r="D10" s="364" t="s">
        <v>305</v>
      </c>
      <c r="E10" s="364"/>
      <c r="F10" s="364" t="s">
        <v>305</v>
      </c>
      <c r="G10" s="364" t="s">
        <v>305</v>
      </c>
      <c r="H10" s="364" t="s">
        <v>305</v>
      </c>
      <c r="I10" s="365" t="s">
        <v>305</v>
      </c>
      <c r="J10" s="366" t="s">
        <v>46</v>
      </c>
    </row>
    <row r="11" spans="1:10" ht="14.4" customHeight="1" x14ac:dyDescent="0.3">
      <c r="A11" s="362" t="s">
        <v>308</v>
      </c>
      <c r="B11" s="363" t="s">
        <v>309</v>
      </c>
      <c r="C11" s="364" t="s">
        <v>305</v>
      </c>
      <c r="D11" s="364" t="s">
        <v>305</v>
      </c>
      <c r="E11" s="364"/>
      <c r="F11" s="364" t="s">
        <v>305</v>
      </c>
      <c r="G11" s="364" t="s">
        <v>305</v>
      </c>
      <c r="H11" s="364" t="s">
        <v>305</v>
      </c>
      <c r="I11" s="365" t="s">
        <v>305</v>
      </c>
      <c r="J11" s="366" t="s">
        <v>0</v>
      </c>
    </row>
    <row r="12" spans="1:10" ht="14.4" customHeight="1" x14ac:dyDescent="0.3">
      <c r="A12" s="362" t="s">
        <v>308</v>
      </c>
      <c r="B12" s="363" t="s">
        <v>209</v>
      </c>
      <c r="C12" s="364" t="s">
        <v>305</v>
      </c>
      <c r="D12" s="364">
        <v>0.28936000000000001</v>
      </c>
      <c r="E12" s="364"/>
      <c r="F12" s="364">
        <v>0</v>
      </c>
      <c r="G12" s="364">
        <v>0.1446800130615</v>
      </c>
      <c r="H12" s="364">
        <v>-0.1446800130615</v>
      </c>
      <c r="I12" s="365">
        <v>0</v>
      </c>
      <c r="J12" s="366" t="s">
        <v>1</v>
      </c>
    </row>
    <row r="13" spans="1:10" ht="14.4" customHeight="1" x14ac:dyDescent="0.3">
      <c r="A13" s="362" t="s">
        <v>308</v>
      </c>
      <c r="B13" s="363" t="s">
        <v>210</v>
      </c>
      <c r="C13" s="364">
        <v>0</v>
      </c>
      <c r="D13" s="364">
        <v>0.65410000000000001</v>
      </c>
      <c r="E13" s="364"/>
      <c r="F13" s="364" t="s">
        <v>305</v>
      </c>
      <c r="G13" s="364" t="s">
        <v>305</v>
      </c>
      <c r="H13" s="364" t="s">
        <v>305</v>
      </c>
      <c r="I13" s="365" t="s">
        <v>305</v>
      </c>
      <c r="J13" s="366" t="s">
        <v>1</v>
      </c>
    </row>
    <row r="14" spans="1:10" ht="14.4" customHeight="1" x14ac:dyDescent="0.3">
      <c r="A14" s="362" t="s">
        <v>308</v>
      </c>
      <c r="B14" s="363" t="s">
        <v>310</v>
      </c>
      <c r="C14" s="364">
        <v>0</v>
      </c>
      <c r="D14" s="364">
        <v>0.94345999999999997</v>
      </c>
      <c r="E14" s="364"/>
      <c r="F14" s="364">
        <v>0</v>
      </c>
      <c r="G14" s="364">
        <v>0.1446800130615</v>
      </c>
      <c r="H14" s="364">
        <v>-0.1446800130615</v>
      </c>
      <c r="I14" s="365">
        <v>0</v>
      </c>
      <c r="J14" s="366" t="s">
        <v>311</v>
      </c>
    </row>
    <row r="15" spans="1:10" ht="14.4" customHeight="1" x14ac:dyDescent="0.3">
      <c r="A15" s="362" t="s">
        <v>305</v>
      </c>
      <c r="B15" s="363" t="s">
        <v>305</v>
      </c>
      <c r="C15" s="364" t="s">
        <v>305</v>
      </c>
      <c r="D15" s="364" t="s">
        <v>305</v>
      </c>
      <c r="E15" s="364"/>
      <c r="F15" s="364" t="s">
        <v>305</v>
      </c>
      <c r="G15" s="364" t="s">
        <v>305</v>
      </c>
      <c r="H15" s="364" t="s">
        <v>305</v>
      </c>
      <c r="I15" s="365" t="s">
        <v>305</v>
      </c>
      <c r="J15" s="366" t="s">
        <v>312</v>
      </c>
    </row>
    <row r="16" spans="1:10" ht="14.4" customHeight="1" x14ac:dyDescent="0.3">
      <c r="A16" s="362" t="s">
        <v>303</v>
      </c>
      <c r="B16" s="363" t="s">
        <v>306</v>
      </c>
      <c r="C16" s="364">
        <v>0</v>
      </c>
      <c r="D16" s="364">
        <v>0.94345999999999997</v>
      </c>
      <c r="E16" s="364"/>
      <c r="F16" s="364">
        <v>0</v>
      </c>
      <c r="G16" s="364">
        <v>0.1446800130615</v>
      </c>
      <c r="H16" s="364">
        <v>-0.1446800130615</v>
      </c>
      <c r="I16" s="365">
        <v>0</v>
      </c>
      <c r="J16" s="366" t="s">
        <v>307</v>
      </c>
    </row>
  </sheetData>
  <mergeCells count="3">
    <mergeCell ref="A1:I1"/>
    <mergeCell ref="F3:I3"/>
    <mergeCell ref="C4:D4"/>
  </mergeCells>
  <conditionalFormatting sqref="F9 F17:F65537">
    <cfRule type="cellIs" dxfId="22" priority="18" stopIfTrue="1" operator="greaterThan">
      <formula>1</formula>
    </cfRule>
  </conditionalFormatting>
  <conditionalFormatting sqref="H5:H8">
    <cfRule type="expression" dxfId="21" priority="14">
      <formula>$H5&gt;0</formula>
    </cfRule>
  </conditionalFormatting>
  <conditionalFormatting sqref="I5:I8">
    <cfRule type="expression" dxfId="20" priority="15">
      <formula>$I5&gt;1</formula>
    </cfRule>
  </conditionalFormatting>
  <conditionalFormatting sqref="B5:B8">
    <cfRule type="expression" dxfId="19" priority="11">
      <formula>OR($J5="NS",$J5="SumaNS",$J5="Účet")</formula>
    </cfRule>
  </conditionalFormatting>
  <conditionalFormatting sqref="F5:I8 B5:D8">
    <cfRule type="expression" dxfId="18" priority="17">
      <formula>AND($J5&lt;&gt;"",$J5&lt;&gt;"mezeraKL")</formula>
    </cfRule>
  </conditionalFormatting>
  <conditionalFormatting sqref="B5:D8 F5:I8">
    <cfRule type="expression" dxfId="17" priority="12">
      <formula>OR($J5="KL",$J5="SumaKL")</formula>
    </cfRule>
    <cfRule type="expression" priority="16" stopIfTrue="1">
      <formula>OR($J5="mezeraNS",$J5="mezeraKL")</formula>
    </cfRule>
  </conditionalFormatting>
  <conditionalFormatting sqref="B5:D8 F5:I8">
    <cfRule type="expression" dxfId="16" priority="13">
      <formula>OR($J5="SumaNS",$J5="NS")</formula>
    </cfRule>
  </conditionalFormatting>
  <conditionalFormatting sqref="A5:A8">
    <cfRule type="expression" dxfId="15" priority="9">
      <formula>AND($J5&lt;&gt;"mezeraKL",$J5&lt;&gt;"")</formula>
    </cfRule>
  </conditionalFormatting>
  <conditionalFormatting sqref="A5:A8">
    <cfRule type="expression" dxfId="14" priority="10">
      <formula>AND($J5&lt;&gt;"",$J5&lt;&gt;"mezeraKL")</formula>
    </cfRule>
  </conditionalFormatting>
  <conditionalFormatting sqref="H10:H16">
    <cfRule type="expression" dxfId="13" priority="5">
      <formula>$H10&gt;0</formula>
    </cfRule>
  </conditionalFormatting>
  <conditionalFormatting sqref="A10:A16">
    <cfRule type="expression" dxfId="12" priority="2">
      <formula>AND($J10&lt;&gt;"mezeraKL",$J10&lt;&gt;"")</formula>
    </cfRule>
  </conditionalFormatting>
  <conditionalFormatting sqref="I10:I16">
    <cfRule type="expression" dxfId="11" priority="6">
      <formula>$I10&gt;1</formula>
    </cfRule>
  </conditionalFormatting>
  <conditionalFormatting sqref="B10:B16">
    <cfRule type="expression" dxfId="10" priority="1">
      <formula>OR($J10="NS",$J10="SumaNS",$J10="Účet")</formula>
    </cfRule>
  </conditionalFormatting>
  <conditionalFormatting sqref="A10:D16 F10:I16">
    <cfRule type="expression" dxfId="9" priority="8">
      <formula>AND($J10&lt;&gt;"",$J10&lt;&gt;"mezeraKL")</formula>
    </cfRule>
  </conditionalFormatting>
  <conditionalFormatting sqref="B10:D16 F10:I16">
    <cfRule type="expression" dxfId="8" priority="3">
      <formula>OR($J10="KL",$J10="SumaKL")</formula>
    </cfRule>
    <cfRule type="expression" priority="7" stopIfTrue="1">
      <formula>OR($J10="mezeraNS",$J10="mezeraKL")</formula>
    </cfRule>
  </conditionalFormatting>
  <conditionalFormatting sqref="B10:D16 F10:I16">
    <cfRule type="expression" dxfId="7" priority="4">
      <formula>OR($J10="SumaNS",$J10="NS")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16</vt:i4>
      </vt:variant>
      <vt:variant>
        <vt:lpstr>Pojmenované oblasti</vt:lpstr>
      </vt:variant>
      <vt:variant>
        <vt:i4>1</vt:i4>
      </vt:variant>
    </vt:vector>
  </HeadingPairs>
  <TitlesOfParts>
    <vt:vector size="17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Statim</vt:lpstr>
      <vt:lpstr>Materiál Žádanky</vt:lpstr>
      <vt:lpstr>Osobní náklady</vt:lpstr>
      <vt:lpstr>ON Data</vt:lpstr>
      <vt:lpstr>ZV Vykáz.-A</vt:lpstr>
      <vt:lpstr>ZV Vykáz.-A Lékaři</vt:lpstr>
      <vt:lpstr>ZV Vykáz.-A Detail</vt:lpstr>
      <vt:lpstr>ZV Vykáz.-H</vt:lpstr>
      <vt:lpstr>ZV Vykáz.-H Detail</vt:lpstr>
      <vt:lpstr>doměsíce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2014-08-21T08:13:26Z</cp:lastPrinted>
  <dcterms:created xsi:type="dcterms:W3CDTF">2013-04-17T20:15:29Z</dcterms:created>
  <dcterms:modified xsi:type="dcterms:W3CDTF">2016-07-27T14:20:06Z</dcterms:modified>
</cp:coreProperties>
</file>