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Statim" sheetId="427" r:id="rId8"/>
    <sheet name="Materiál Žádanky" sheetId="420" r:id="rId9"/>
    <sheet name="Osobní náklady" sheetId="431" r:id="rId10"/>
    <sheet name="ON Data" sheetId="432" state="hidden" r:id="rId11"/>
    <sheet name="ZV Vykáz.-A" sheetId="344" r:id="rId12"/>
    <sheet name="ZV Vykáz.-A Lékaři" sheetId="429" r:id="rId13"/>
    <sheet name="ZV Vykáz.-A Detail" sheetId="345" r:id="rId14"/>
    <sheet name="ZV Vykáz.-A Det.Lék." sheetId="430" r:id="rId15"/>
    <sheet name="ZV Vykáz.-H" sheetId="410" r:id="rId16"/>
    <sheet name="ZV Vykáz.-H Detail" sheetId="377" r:id="rId17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Statim'!$A$5:$I$5</definedName>
    <definedName name="_xlnm._FilterDatabase" localSheetId="4" hidden="1">'Man Tab'!$A$5:$A$31</definedName>
    <definedName name="_xlnm._FilterDatabase" localSheetId="8" hidden="1">'Materiál Žádanky'!$A$4:$I$4</definedName>
    <definedName name="_xlnm._FilterDatabase" localSheetId="14" hidden="1">'ZV Vykáz.-A Det.Lék.'!$A$5:$S$5</definedName>
    <definedName name="_xlnm._FilterDatabase" localSheetId="13" hidden="1">'ZV Vykáz.-A Detail'!$A$5:$R$5</definedName>
    <definedName name="_xlnm._FilterDatabase" localSheetId="12" hidden="1">'ZV Vykáz.-A Lékaři'!$A$4:$A$5</definedName>
    <definedName name="_xlnm._FilterDatabase" localSheetId="16" hidden="1">'ZV Vykáz.-H Detail'!$A$5:$Q$5</definedName>
    <definedName name="doměsíce">'HI Graf'!$C$11</definedName>
    <definedName name="Obdobi" localSheetId="10">'ON Data'!$B$3:$B$16</definedName>
    <definedName name="Obdobi" localSheetId="9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10" i="431" l="1"/>
  <c r="D10" i="431"/>
  <c r="E10" i="431"/>
  <c r="F10" i="431"/>
  <c r="G10" i="431"/>
  <c r="H10" i="431"/>
  <c r="I10" i="431"/>
  <c r="J10" i="431"/>
  <c r="K10" i="431"/>
  <c r="L10" i="431"/>
  <c r="M10" i="431"/>
  <c r="N10" i="431"/>
  <c r="O10" i="431"/>
  <c r="P10" i="431"/>
  <c r="Q10" i="431"/>
  <c r="D11" i="431"/>
  <c r="E11" i="431"/>
  <c r="F11" i="431"/>
  <c r="G11" i="431"/>
  <c r="H11" i="431"/>
  <c r="I11" i="431"/>
  <c r="J11" i="431"/>
  <c r="K11" i="431"/>
  <c r="L11" i="431"/>
  <c r="M11" i="431"/>
  <c r="N11" i="431"/>
  <c r="O11" i="431"/>
  <c r="P11" i="431"/>
  <c r="C11" i="431"/>
  <c r="C12" i="431"/>
  <c r="D12" i="431"/>
  <c r="E12" i="431"/>
  <c r="F12" i="431"/>
  <c r="G12" i="431"/>
  <c r="H12" i="431"/>
  <c r="I12" i="431"/>
  <c r="J12" i="431"/>
  <c r="K12" i="431"/>
  <c r="L12" i="431"/>
  <c r="M12" i="431"/>
  <c r="N12" i="431"/>
  <c r="O12" i="431"/>
  <c r="P12" i="431"/>
  <c r="Q12" i="431"/>
  <c r="C9" i="431"/>
  <c r="D9" i="431"/>
  <c r="E9" i="431"/>
  <c r="F9" i="431"/>
  <c r="G9" i="431"/>
  <c r="H9" i="431"/>
  <c r="I9" i="431"/>
  <c r="J9" i="431"/>
  <c r="K9" i="431"/>
  <c r="L9" i="431"/>
  <c r="M9" i="431"/>
  <c r="N9" i="431"/>
  <c r="O9" i="431"/>
  <c r="P9" i="431"/>
  <c r="Q9" i="431"/>
  <c r="Q11" i="431"/>
  <c r="K8" i="431"/>
  <c r="H8" i="431"/>
  <c r="E8" i="431"/>
  <c r="N8" i="431"/>
  <c r="O8" i="431"/>
  <c r="L8" i="431"/>
  <c r="I8" i="431"/>
  <c r="C8" i="431"/>
  <c r="J8" i="431"/>
  <c r="P8" i="431"/>
  <c r="M8" i="431"/>
  <c r="G8" i="431"/>
  <c r="D8" i="431"/>
  <c r="F8" i="431"/>
  <c r="Q8" i="431"/>
  <c r="S11" i="431" l="1"/>
  <c r="R11" i="431"/>
  <c r="R9" i="431"/>
  <c r="S9" i="431"/>
  <c r="R12" i="431"/>
  <c r="S12" i="431"/>
  <c r="R10" i="431"/>
  <c r="S10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19" i="414" l="1"/>
  <c r="E19" i="414" s="1"/>
  <c r="D18" i="414"/>
  <c r="A20" i="383" l="1"/>
  <c r="Q3" i="430"/>
  <c r="P3" i="430"/>
  <c r="M3" i="430"/>
  <c r="R3" i="430" s="1"/>
  <c r="L3" i="430"/>
  <c r="I3" i="430"/>
  <c r="H3" i="430"/>
  <c r="S3" i="430" l="1"/>
  <c r="H3" i="344"/>
  <c r="E11" i="339" s="1"/>
  <c r="E3" i="344"/>
  <c r="B3" i="344"/>
  <c r="I3" i="344" s="1"/>
  <c r="J3" i="344" l="1"/>
  <c r="D17" i="414" s="1"/>
  <c r="C11" i="339"/>
  <c r="E18" i="414"/>
  <c r="A19" i="414"/>
  <c r="A18" i="414"/>
  <c r="A17" i="414"/>
  <c r="A8" i="414" l="1"/>
  <c r="A7" i="414"/>
  <c r="A18" i="383" l="1"/>
  <c r="G3" i="429"/>
  <c r="F3" i="429"/>
  <c r="E3" i="429"/>
  <c r="D3" i="429"/>
  <c r="C3" i="429"/>
  <c r="B3" i="429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3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20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C16" i="414"/>
  <c r="D13" i="414"/>
  <c r="C13" i="414"/>
  <c r="D4" i="414"/>
  <c r="D16" i="414"/>
  <c r="C12" i="414" l="1"/>
  <c r="C7" i="414"/>
  <c r="E20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C21" i="414"/>
  <c r="D21" i="414"/>
  <c r="Q3" i="345" l="1"/>
  <c r="I12" i="339"/>
  <c r="I13" i="339" s="1"/>
  <c r="F13" i="339"/>
  <c r="E13" i="339"/>
  <c r="E15" i="339" s="1"/>
  <c r="H12" i="339"/>
  <c r="G12" i="339"/>
  <c r="A4" i="383"/>
  <c r="A22" i="383"/>
  <c r="A21" i="383"/>
  <c r="A19" i="383"/>
  <c r="A17" i="383"/>
  <c r="A14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5" i="414"/>
  <c r="H13" i="339" l="1"/>
  <c r="F15" i="339"/>
  <c r="J13" i="339"/>
  <c r="B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<sst xmlns="http://schemas.openxmlformats.org/spreadsheetml/2006/main" count="1200" uniqueCount="429">
  <si>
    <t>NS</t>
  </si>
  <si>
    <t>Účet</t>
  </si>
  <si>
    <t>%</t>
  </si>
  <si>
    <t>Celkem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</si>
  <si>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</si>
  <si>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</si>
  <si>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</si>
  <si>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</si>
  <si>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</si>
  <si>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</si>
  <si>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</si>
  <si>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</si>
  <si>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</si>
  <si>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</si>
  <si>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</si>
  <si>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</si>
  <si>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</si>
  <si>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</si>
  <si>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</si>
  <si>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</si>
  <si>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</si>
  <si>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</si>
  <si>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</si>
  <si>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</si>
  <si>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</si>
  <si>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</si>
  <si>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</si>
  <si>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</si>
  <si>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</si>
  <si>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</si>
  <si>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</si>
  <si>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</si>
  <si>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</si>
  <si>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</si>
  <si>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</si>
  <si>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</si>
  <si>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</si>
  <si>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</si>
  <si>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</si>
  <si>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</si>
  <si>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</si>
  <si>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</si>
  <si>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</si>
  <si>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</si>
  <si>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</si>
  <si>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</si>
  <si>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</si>
  <si>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</si>
  <si>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</si>
  <si>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</si>
  <si>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</si>
  <si>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</si>
  <si>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</si>
  <si>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</si>
  <si>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</si>
  <si>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</si>
  <si>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</si>
  <si>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</si>
  <si>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</si>
  <si>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</si>
  <si>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</si>
  <si>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</si>
  <si>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</si>
  <si>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</si>
  <si>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</si>
  <si>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</si>
  <si>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</si>
  <si>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</si>
  <si>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</si>
  <si>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</si>
  <si>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</si>
  <si>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</si>
  <si>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</si>
  <si>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</si>
  <si>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</si>
  <si>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</si>
  <si>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</si>
  <si>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</si>
  <si>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</si>
  <si>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</si>
  <si>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</si>
  <si>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</si>
  <si>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</si>
  <si>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</si>
  <si>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</si>
  <si>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</si>
  <si>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</si>
  <si>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</si>
  <si>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</si>
  <si>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</si>
  <si>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Materiál Žádanky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</si>
  <si>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</si>
  <si>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</si>
  <si>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</si>
  <si>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</si>
  <si>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</si>
  <si>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</si>
  <si>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</si>
  <si>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</si>
  <si>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</si>
  <si>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</si>
  <si>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</si>
  <si>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</si>
  <si>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</si>
  <si>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</si>
  <si>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</si>
  <si>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</si>
  <si>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</si>
  <si>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</si>
  <si>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</si>
  <si>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</si>
  <si>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</si>
  <si>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</si>
  <si>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</si>
  <si>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</si>
  <si>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</si>
  <si>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</si>
  <si>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</si>
  <si>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</si>
  <si>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</si>
  <si>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</si>
  <si>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</si>
  <si>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</si>
  <si>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</si>
  <si>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</si>
  <si>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</si>
  <si>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</si>
  <si>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</si>
  <si>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</si>
  <si>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</si>
  <si>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</si>
  <si>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</si>
  <si>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</si>
  <si>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</si>
  <si>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</si>
  <si>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</si>
  <si>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</si>
  <si>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</si>
  <si>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</si>
  <si>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</si>
  <si>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</si>
  <si>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</si>
  <si>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</si>
  <si>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</si>
  <si>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</si>
  <si>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</si>
  <si>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</si>
  <si>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</si>
  <si>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</si>
  <si>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</si>
  <si>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</si>
  <si>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</si>
  <si>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</si>
  <si>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</si>
  <si>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</si>
  <si>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</si>
  <si>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</si>
  <si>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</si>
  <si>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</si>
  <si>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</si>
  <si>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</si>
  <si>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</si>
  <si>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</si>
  <si>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</si>
  <si>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</si>
  <si>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</si>
  <si>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</si>
  <si>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</si>
  <si>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</si>
  <si>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</si>
  <si>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</si>
  <si>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</si>
  <si>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</si>
  <si>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</si>
  <si>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</si>
  <si>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</si>
  <si>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</si>
  <si>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</si>
  <si>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</si>
  <si>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</si>
  <si>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</si>
  <si>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</si>
  <si>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</si>
  <si>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</si>
  <si>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</si>
  <si>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</si>
  <si>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</si>
  <si>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</si>
  <si>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2017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</si>
  <si>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</si>
  <si>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</si>
  <si>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</si>
  <si>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</si>
  <si>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</si>
  <si>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</si>
  <si>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</si>
  <si>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</si>
  <si>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</si>
  <si>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</si>
  <si>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</si>
  <si>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</si>
  <si>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</si>
  <si>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</si>
  <si>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</si>
  <si>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</si>
  <si>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</si>
  <si>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</si>
  <si>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</si>
  <si>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</si>
  <si>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</si>
  <si>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</si>
  <si>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</si>
  <si>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</si>
  <si>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</si>
  <si>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</si>
  <si>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</si>
  <si>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</si>
  <si>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</si>
  <si>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</si>
  <si>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</si>
  <si>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Oddělení klinické logopedie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</si>
  <si>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</si>
  <si>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</si>
  <si>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</si>
  <si>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</si>
  <si>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</si>
  <si>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</si>
  <si>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 (LEK)</t>
  </si>
  <si>
    <t>50115     Zdravotnické prostředky</t>
  </si>
  <si>
    <t>50115050     obvazový materiál (Z502)</t>
  </si>
  <si>
    <t>50115060     ZPr - ostatní (Z503)</t>
  </si>
  <si>
    <t>50115067     ZPr - rukavice (Z532)</t>
  </si>
  <si>
    <t>--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</si>
  <si>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</si>
  <si>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</si>
  <si>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</si>
  <si>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</si>
  <si>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</si>
  <si>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</si>
  <si>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50117015     IT - spotřební materiál (sk. P37, 48)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</si>
  <si>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</si>
  <si>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</si>
  <si>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</si>
  <si>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</si>
  <si>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</si>
  <si>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</si>
  <si>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</si>
  <si>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</si>
  <si>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</si>
  <si>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</si>
  <si>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</si>
  <si>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</si>
  <si>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</si>
  <si>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</si>
  <si>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</si>
  <si>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</si>
  <si>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</si>
  <si>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</si>
  <si>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</si>
  <si>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</si>
  <si>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</si>
  <si>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</si>
  <si>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</si>
  <si>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</si>
  <si>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</si>
  <si>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</si>
  <si>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51808     Revize a smluvní servisy majetku</t>
  </si>
  <si>
    <t>51808007     revize, sml.servis - energetik</t>
  </si>
  <si>
    <t>51808008     revize, tech.kontroly, prev.prohl.- OHM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</si>
  <si>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</si>
  <si>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</si>
  <si>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</si>
  <si>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</si>
  <si>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</si>
  <si>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</si>
  <si>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</si>
  <si>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</si>
  <si>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</si>
  <si>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</si>
  <si>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</si>
  <si>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</si>
  <si>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</si>
  <si>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</si>
  <si>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</si>
  <si>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</si>
  <si>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</si>
  <si>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</si>
  <si>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</si>
  <si>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</si>
  <si>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</si>
  <si>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</si>
  <si>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</si>
  <si>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55110013     odpisy DHM - budovy z dotací</t>
  </si>
  <si>
    <t>558     Náklady z drobného dlouhodobého majetku</t>
  </si>
  <si>
    <t>55802     DDHM - provozní</t>
  </si>
  <si>
    <t>55802001     DDHM - kuchyňské zařízení a nádobí (sk.V_26)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</si>
  <si>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</si>
  <si>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</si>
  <si>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</si>
  <si>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</si>
  <si>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</si>
  <si>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</si>
  <si>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</si>
  <si>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</si>
  <si>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</si>
  <si>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</si>
  <si>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</si>
  <si>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</si>
  <si>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</si>
  <si>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</si>
  <si>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</si>
  <si>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</si>
  <si>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</si>
  <si>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</si>
  <si>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</si>
  <si>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</si>
  <si>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</si>
  <si>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</si>
  <si>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</si>
  <si>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</si>
  <si>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</si>
  <si>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</si>
  <si>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</si>
  <si>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</si>
  <si>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</si>
  <si>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</si>
  <si>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</si>
  <si>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</si>
  <si>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</si>
  <si>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36</t>
  </si>
  <si>
    <t>LOGO: Oddělení klinické logopedie</t>
  </si>
  <si>
    <t/>
  </si>
  <si>
    <t>50113001 - léky - paušál (LEK)</t>
  </si>
  <si>
    <t>LOGO: Oddělení klinické logopedie Celkem</t>
  </si>
  <si>
    <t>SumaKL</t>
  </si>
  <si>
    <t>3621</t>
  </si>
  <si>
    <t>LOGO: ambulance</t>
  </si>
  <si>
    <t>LOGO: ambulance Celkem</t>
  </si>
  <si>
    <t>SumaNS</t>
  </si>
  <si>
    <t>mezeraNS</t>
  </si>
  <si>
    <t>36 - Oddělení klinické logopedie</t>
  </si>
  <si>
    <t>3621 - ambulance</t>
  </si>
  <si>
    <t>50115050 - obvazový materiál (Z502)</t>
  </si>
  <si>
    <t>50115060 - ZPr - ostatní (Z503)</t>
  </si>
  <si>
    <t>50115067 - ZPr - rukavice (Z532)</t>
  </si>
  <si>
    <t>2 VŠ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</si>
  <si>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</si>
  <si>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</si>
  <si>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</si>
  <si>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</si>
  <si>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</si>
  <si>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</si>
  <si>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</si>
  <si>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</si>
  <si>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</si>
  <si>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</si>
  <si>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</si>
  <si>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ON Data</t>
  </si>
  <si>
    <t>kliničtí logopedové</t>
  </si>
  <si>
    <t>odborní pracovníci v lab. metodách</t>
  </si>
  <si>
    <t>THP</t>
  </si>
  <si>
    <t>Specializovaná ambulantní péče</t>
  </si>
  <si>
    <t>903 - Pracoviště klinické logopedie</t>
  </si>
  <si>
    <t>Zdravotní výkony vykázané na pracovišti v rámci ambulantní péče *</t>
  </si>
  <si>
    <t>beze jména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</si>
  <si>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</si>
  <si>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</si>
  <si>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</si>
  <si>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</si>
  <si>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06</t>
  </si>
  <si>
    <t>903</t>
  </si>
  <si>
    <t>V</t>
  </si>
  <si>
    <t>09511</t>
  </si>
  <si>
    <t>MINIMÁLNÍ KONTAKT LÉKAŘE S PACIENTEM</t>
  </si>
  <si>
    <t>72017</t>
  </si>
  <si>
    <t>KONTROLNÍ VYŠETŘENÍ KLINICKÝM LOGOPEDEM</t>
  </si>
  <si>
    <t>72211</t>
  </si>
  <si>
    <t>LOGOPEDICKÁ TERAPIE VAD A PORUCH ŘEČI PROVÁDĚNÁ KL</t>
  </si>
  <si>
    <t>LOGOPEDICKÁ TERAPIE POSKYTOVANÁ LOGOPEDEM V AMBULA</t>
  </si>
  <si>
    <t>72213</t>
  </si>
  <si>
    <t>LOGOPEDICKÁ TERAPIE ZVLÁŠTĚ NÁROČNÁ  U DĚTÍ, DOROS</t>
  </si>
  <si>
    <t>LOGOPEDICKÁ TERAPIE ZVLÁŠTĚ NÁROČNÁ POSKYTOVANÁ PŘ</t>
  </si>
  <si>
    <t>09543</t>
  </si>
  <si>
    <t>Signalni kod</t>
  </si>
  <si>
    <t>72015</t>
  </si>
  <si>
    <t>KOMPLEXNÍ VYŠETŘENÍ KLINICKÝM LOGOPEDEM</t>
  </si>
  <si>
    <t>72215</t>
  </si>
  <si>
    <t>LOGOPEDICKÁ TERAPIE STŘEDNĚ NÁROČNÁ PROVÁDĚNÁ KLIN</t>
  </si>
  <si>
    <t>LOGOPEDICKÁ TERAPIE STŘEDNĚ NÁROČNÁ POSKYTOVANÁ PŘ</t>
  </si>
  <si>
    <t>72016</t>
  </si>
  <si>
    <t>CÍLENÉ VYŠETŘENÍ KLINICKÝM LOGOPEDEM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</si>
  <si>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</si>
  <si>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</si>
  <si>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</si>
  <si>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</si>
  <si>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</si>
  <si>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</si>
  <si>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</si>
  <si>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</si>
  <si>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</si>
  <si>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</si>
  <si>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11 - Ortopedická klinika</t>
  </si>
  <si>
    <t>16 - Klinika plicních nemocí a tuberkulózy</t>
  </si>
  <si>
    <t>17 - Neurologická klinika</t>
  </si>
  <si>
    <t>18 - Klinika psychiatrie</t>
  </si>
  <si>
    <t>21 - Onkologická klinika</t>
  </si>
  <si>
    <t>26 - Oddělení rehabilitace</t>
  </si>
  <si>
    <t>30 - Oddělení geriatrie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</si>
  <si>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</si>
  <si>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</si>
  <si>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</si>
  <si>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</si>
  <si>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</si>
  <si>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</si>
  <si>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</si>
  <si>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</si>
  <si>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07</t>
  </si>
  <si>
    <t>08</t>
  </si>
  <si>
    <t>11</t>
  </si>
  <si>
    <t>16</t>
  </si>
  <si>
    <t>17</t>
  </si>
  <si>
    <t>18</t>
  </si>
  <si>
    <t>21</t>
  </si>
  <si>
    <t>26</t>
  </si>
  <si>
    <t>30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</si>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</sst>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96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3" xfId="0" applyFont="1" applyFill="1" applyBorder="1" applyAlignment="1"/>
    <xf numFmtId="0" fontId="3" fillId="2" borderId="56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0" fontId="31" fillId="2" borderId="45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51" xfId="1" applyFont="1" applyFill="1" applyBorder="1"/>
    <xf numFmtId="0" fontId="45" fillId="2" borderId="5" xfId="1" applyFont="1" applyFill="1" applyBorder="1"/>
    <xf numFmtId="0" fontId="45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49" xfId="0" applyNumberFormat="1" applyFont="1" applyFill="1" applyBorder="1"/>
    <xf numFmtId="9" fontId="39" fillId="2" borderId="52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0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50" xfId="1" applyFont="1" applyFill="1" applyBorder="1" applyAlignment="1">
      <alignment horizontal="left"/>
    </xf>
    <xf numFmtId="0" fontId="45" fillId="4" borderId="35" xfId="1" applyFont="1" applyFill="1" applyBorder="1" applyAlignment="1">
      <alignment horizontal="left" indent="2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3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85" xfId="74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4" xfId="0" quotePrefix="1" applyNumberFormat="1" applyFont="1" applyFill="1" applyBorder="1" applyAlignment="1">
      <alignment horizontal="center" vertical="center"/>
    </xf>
    <xf numFmtId="0" fontId="25" fillId="4" borderId="72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3" xfId="0" applyFont="1" applyBorder="1"/>
    <xf numFmtId="0" fontId="31" fillId="2" borderId="63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5" xfId="0" applyNumberFormat="1" applyFont="1" applyBorder="1" applyAlignment="1">
      <alignment horizontal="right" vertical="center"/>
    </xf>
    <xf numFmtId="9" fontId="39" fillId="0" borderId="92" xfId="0" applyNumberFormat="1" applyFont="1" applyBorder="1" applyAlignment="1">
      <alignment horizontal="right" vertical="center"/>
    </xf>
    <xf numFmtId="173" fontId="39" fillId="0" borderId="92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93" xfId="0" applyNumberFormat="1" applyFont="1" applyBorder="1" applyAlignment="1">
      <alignment vertical="center"/>
    </xf>
    <xf numFmtId="173" fontId="39" fillId="0" borderId="9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4" fontId="39" fillId="0" borderId="95" xfId="0" applyNumberFormat="1" applyFont="1" applyBorder="1" applyAlignment="1">
      <alignment vertical="center"/>
    </xf>
    <xf numFmtId="174" fontId="39" fillId="0" borderId="92" xfId="0" applyNumberFormat="1" applyFont="1" applyBorder="1" applyAlignment="1">
      <alignment vertical="center"/>
    </xf>
    <xf numFmtId="174" fontId="39" fillId="0" borderId="61" xfId="0" applyNumberFormat="1" applyFont="1" applyBorder="1" applyAlignment="1">
      <alignment vertical="center"/>
    </xf>
    <xf numFmtId="168" fontId="39" fillId="0" borderId="86" xfId="0" applyNumberFormat="1" applyFont="1" applyBorder="1" applyAlignment="1">
      <alignment vertical="center"/>
    </xf>
    <xf numFmtId="0" fontId="32" fillId="0" borderId="93" xfId="0" applyFont="1" applyBorder="1" applyAlignment="1">
      <alignment horizontal="center" vertical="center"/>
    </xf>
    <xf numFmtId="166" fontId="39" fillId="2" borderId="61" xfId="0" applyNumberFormat="1" applyFont="1" applyFill="1" applyBorder="1" applyAlignment="1">
      <alignment horizontal="center" vertical="center"/>
    </xf>
    <xf numFmtId="173" fontId="39" fillId="0" borderId="70" xfId="0" applyNumberFormat="1" applyFont="1" applyBorder="1" applyAlignment="1">
      <alignment horizontal="right" vertical="center"/>
    </xf>
    <xf numFmtId="175" fontId="39" fillId="0" borderId="69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horizontal="right" vertical="center"/>
    </xf>
    <xf numFmtId="173" fontId="39" fillId="0" borderId="70" xfId="0" applyNumberFormat="1" applyFont="1" applyBorder="1" applyAlignment="1">
      <alignment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6" fontId="39" fillId="0" borderId="68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4" xfId="0" quotePrefix="1" applyFont="1" applyFill="1" applyBorder="1" applyAlignment="1">
      <alignment horizontal="center" vertical="center" wrapText="1"/>
    </xf>
    <xf numFmtId="0" fontId="40" fillId="9" borderId="74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1" xfId="0" applyNumberFormat="1" applyFont="1" applyFill="1" applyBorder="1"/>
    <xf numFmtId="3" fontId="0" fillId="7" borderId="62" xfId="0" applyNumberFormat="1" applyFont="1" applyFill="1" applyBorder="1"/>
    <xf numFmtId="0" fontId="0" fillId="0" borderId="102" xfId="0" applyNumberFormat="1" applyFont="1" applyBorder="1"/>
    <xf numFmtId="3" fontId="0" fillId="0" borderId="103" xfId="0" applyNumberFormat="1" applyFont="1" applyBorder="1"/>
    <xf numFmtId="0" fontId="0" fillId="7" borderId="102" xfId="0" applyNumberFormat="1" applyFont="1" applyFill="1" applyBorder="1"/>
    <xf numFmtId="3" fontId="0" fillId="7" borderId="103" xfId="0" applyNumberFormat="1" applyFont="1" applyFill="1" applyBorder="1"/>
    <xf numFmtId="0" fontId="52" fillId="8" borderId="102" xfId="0" applyNumberFormat="1" applyFont="1" applyFill="1" applyBorder="1"/>
    <xf numFmtId="3" fontId="52" fillId="8" borderId="103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3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79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0" fontId="5" fillId="0" borderId="2" xfId="14" applyFont="1" applyFill="1" applyBorder="1" applyAlignment="1"/>
    <xf numFmtId="9" fontId="3" fillId="2" borderId="88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3" fontId="3" fillId="2" borderId="81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4" fillId="4" borderId="77" xfId="0" applyNumberFormat="1" applyFont="1" applyFill="1" applyBorder="1" applyAlignment="1">
      <alignment horizontal="center" vertical="center"/>
    </xf>
    <xf numFmtId="3" fontId="54" fillId="4" borderId="90" xfId="0" applyNumberFormat="1" applyFont="1" applyFill="1" applyBorder="1" applyAlignment="1">
      <alignment horizontal="center" vertical="center"/>
    </xf>
    <xf numFmtId="9" fontId="54" fillId="4" borderId="77" xfId="0" applyNumberFormat="1" applyFont="1" applyFill="1" applyBorder="1" applyAlignment="1">
      <alignment horizontal="center" vertical="center"/>
    </xf>
    <xf numFmtId="9" fontId="54" fillId="4" borderId="90" xfId="0" applyNumberFormat="1" applyFont="1" applyFill="1" applyBorder="1" applyAlignment="1">
      <alignment horizontal="center" vertical="center"/>
    </xf>
    <xf numFmtId="3" fontId="54" fillId="4" borderId="78" xfId="0" applyNumberFormat="1" applyFont="1" applyFill="1" applyBorder="1" applyAlignment="1">
      <alignment horizontal="center" vertical="center" wrapText="1"/>
    </xf>
    <xf numFmtId="3" fontId="54" fillId="4" borderId="91" xfId="0" applyNumberFormat="1" applyFont="1" applyFill="1" applyBorder="1" applyAlignment="1">
      <alignment horizontal="center" vertical="center" wrapText="1"/>
    </xf>
    <xf numFmtId="0" fontId="39" fillId="2" borderId="98" xfId="0" applyFont="1" applyFill="1" applyBorder="1" applyAlignment="1">
      <alignment horizontal="center" vertical="center" wrapText="1"/>
    </xf>
    <xf numFmtId="0" fontId="39" fillId="2" borderId="81" xfId="0" applyFont="1" applyFill="1" applyBorder="1" applyAlignment="1">
      <alignment horizontal="center" vertical="center" wrapText="1"/>
    </xf>
    <xf numFmtId="0" fontId="54" fillId="9" borderId="100" xfId="0" applyFont="1" applyFill="1" applyBorder="1" applyAlignment="1">
      <alignment horizontal="center"/>
    </xf>
    <xf numFmtId="0" fontId="54" fillId="9" borderId="99" xfId="0" applyFont="1" applyFill="1" applyBorder="1" applyAlignment="1">
      <alignment horizontal="center"/>
    </xf>
    <xf numFmtId="0" fontId="54" fillId="9" borderId="76" xfId="0" applyFont="1" applyFill="1" applyBorder="1" applyAlignment="1">
      <alignment horizontal="center"/>
    </xf>
    <xf numFmtId="0" fontId="54" fillId="2" borderId="78" xfId="0" applyFont="1" applyFill="1" applyBorder="1" applyAlignment="1">
      <alignment horizontal="center" vertical="center" wrapText="1"/>
    </xf>
    <xf numFmtId="0" fontId="54" fillId="2" borderId="91" xfId="0" applyFont="1" applyFill="1" applyBorder="1" applyAlignment="1">
      <alignment horizontal="center" vertical="center" wrapText="1"/>
    </xf>
    <xf numFmtId="166" fontId="39" fillId="2" borderId="68" xfId="0" applyNumberFormat="1" applyFont="1" applyFill="1" applyBorder="1" applyAlignment="1">
      <alignment horizontal="center" vertical="center"/>
    </xf>
    <xf numFmtId="0" fontId="32" fillId="0" borderId="96" xfId="0" applyFont="1" applyBorder="1" applyAlignment="1">
      <alignment horizontal="center" vertical="center"/>
    </xf>
    <xf numFmtId="0" fontId="54" fillId="4" borderId="89" xfId="0" applyFont="1" applyFill="1" applyBorder="1" applyAlignment="1">
      <alignment horizontal="center" vertical="center" wrapText="1"/>
    </xf>
    <xf numFmtId="0" fontId="54" fillId="4" borderId="97" xfId="0" applyFont="1" applyFill="1" applyBorder="1" applyAlignment="1">
      <alignment horizontal="center" vertical="center" wrapText="1"/>
    </xf>
    <xf numFmtId="0" fontId="54" fillId="4" borderId="77" xfId="0" applyFont="1" applyFill="1" applyBorder="1" applyAlignment="1">
      <alignment horizontal="center" vertical="center" wrapText="1"/>
    </xf>
    <xf numFmtId="0" fontId="54" fillId="4" borderId="90" xfId="0" applyFont="1" applyFill="1" applyBorder="1" applyAlignment="1">
      <alignment horizontal="center" vertical="center" wrapText="1"/>
    </xf>
    <xf numFmtId="0" fontId="54" fillId="4" borderId="78" xfId="0" applyFont="1" applyFill="1" applyBorder="1" applyAlignment="1">
      <alignment horizontal="center" vertical="center" wrapText="1"/>
    </xf>
    <xf numFmtId="0" fontId="54" fillId="4" borderId="91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9" xfId="0" applyNumberFormat="1" applyFont="1" applyFill="1" applyBorder="1" applyAlignment="1">
      <alignment horizontal="center" vertical="center" wrapText="1"/>
    </xf>
    <xf numFmtId="168" fontId="54" fillId="2" borderId="97" xfId="0" applyNumberFormat="1" applyFont="1" applyFill="1" applyBorder="1" applyAlignment="1">
      <alignment horizontal="center" vertical="center" wrapText="1"/>
    </xf>
    <xf numFmtId="0" fontId="54" fillId="2" borderId="77" xfId="0" applyFont="1" applyFill="1" applyBorder="1" applyAlignment="1">
      <alignment horizontal="center" vertical="center" wrapText="1"/>
    </xf>
    <xf numFmtId="0" fontId="54" fillId="2" borderId="90" xfId="0" applyFont="1" applyFill="1" applyBorder="1" applyAlignment="1">
      <alignment horizontal="center" vertical="center" wrapText="1"/>
    </xf>
    <xf numFmtId="0" fontId="39" fillId="4" borderId="86" xfId="0" applyFont="1" applyFill="1" applyBorder="1" applyAlignment="1">
      <alignment horizontal="center" vertical="center" wrapText="1"/>
    </xf>
    <xf numFmtId="0" fontId="39" fillId="4" borderId="64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83" xfId="0" applyFont="1" applyFill="1" applyBorder="1" applyAlignment="1">
      <alignment horizontal="center"/>
    </xf>
    <xf numFmtId="0" fontId="58" fillId="2" borderId="71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66" xfId="0" applyFont="1" applyFill="1" applyBorder="1" applyAlignment="1">
      <alignment horizontal="center"/>
    </xf>
    <xf numFmtId="0" fontId="58" fillId="4" borderId="67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66" xfId="0" applyFont="1" applyFill="1" applyBorder="1" applyAlignment="1">
      <alignment horizontal="center"/>
    </xf>
    <xf numFmtId="0" fontId="58" fillId="2" borderId="67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2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6" xfId="26" applyNumberFormat="1" applyFont="1" applyFill="1" applyBorder="1" applyAlignment="1">
      <alignment horizontal="center"/>
    </xf>
    <xf numFmtId="3" fontId="31" fillId="2" borderId="64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3" fillId="2" borderId="46" xfId="0" applyNumberFormat="1" applyFont="1" applyFill="1" applyBorder="1" applyAlignment="1">
      <alignment horizontal="center" vertical="top"/>
    </xf>
    <xf numFmtId="0" fontId="31" fillId="2" borderId="63" xfId="0" applyNumberFormat="1" applyFont="1" applyFill="1" applyBorder="1" applyAlignment="1">
      <alignment horizontal="center" vertical="top"/>
    </xf>
    <xf numFmtId="0" fontId="31" fillId="2" borderId="63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3" fillId="2" borderId="46" xfId="0" applyNumberFormat="1" applyFont="1" applyFill="1" applyBorder="1" applyAlignment="1">
      <alignment horizontal="center" vertical="top"/>
    </xf>
    <xf numFmtId="3" fontId="33" fillId="10" borderId="105" xfId="0" applyNumberFormat="1" applyFont="1" applyFill="1" applyBorder="1" applyAlignment="1">
      <alignment horizontal="right" vertical="top"/>
    </xf>
    <xf numFmtId="3" fontId="33" fillId="10" borderId="106" xfId="0" applyNumberFormat="1" applyFont="1" applyFill="1" applyBorder="1" applyAlignment="1">
      <alignment horizontal="right" vertical="top"/>
    </xf>
    <xf numFmtId="177" fontId="33" fillId="10" borderId="107" xfId="0" applyNumberFormat="1" applyFont="1" applyFill="1" applyBorder="1" applyAlignment="1">
      <alignment horizontal="right" vertical="top"/>
    </xf>
    <xf numFmtId="3" fontId="33" fillId="0" borderId="105" xfId="0" applyNumberFormat="1" applyFont="1" applyBorder="1" applyAlignment="1">
      <alignment horizontal="right" vertical="top"/>
    </xf>
    <xf numFmtId="177" fontId="33" fillId="10" borderId="108" xfId="0" applyNumberFormat="1" applyFont="1" applyFill="1" applyBorder="1" applyAlignment="1">
      <alignment horizontal="right" vertical="top"/>
    </xf>
    <xf numFmtId="3" fontId="35" fillId="10" borderId="110" xfId="0" applyNumberFormat="1" applyFont="1" applyFill="1" applyBorder="1" applyAlignment="1">
      <alignment horizontal="right" vertical="top"/>
    </xf>
    <xf numFmtId="3" fontId="35" fillId="10" borderId="111" xfId="0" applyNumberFormat="1" applyFont="1" applyFill="1" applyBorder="1" applyAlignment="1">
      <alignment horizontal="right" vertical="top"/>
    </xf>
    <xf numFmtId="177" fontId="35" fillId="10" borderId="112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0" fontId="35" fillId="10" borderId="113" xfId="0" applyFont="1" applyFill="1" applyBorder="1" applyAlignment="1">
      <alignment horizontal="right" vertical="top"/>
    </xf>
    <xf numFmtId="177" fontId="35" fillId="10" borderId="113" xfId="0" applyNumberFormat="1" applyFont="1" applyFill="1" applyBorder="1" applyAlignment="1">
      <alignment horizontal="right" vertical="top"/>
    </xf>
    <xf numFmtId="0" fontId="33" fillId="10" borderId="107" xfId="0" applyFont="1" applyFill="1" applyBorder="1" applyAlignment="1">
      <alignment horizontal="right" vertical="top"/>
    </xf>
    <xf numFmtId="0" fontId="33" fillId="10" borderId="108" xfId="0" applyFont="1" applyFill="1" applyBorder="1" applyAlignment="1">
      <alignment horizontal="right" vertical="top"/>
    </xf>
    <xf numFmtId="0" fontId="35" fillId="10" borderId="112" xfId="0" applyFont="1" applyFill="1" applyBorder="1" applyAlignment="1">
      <alignment horizontal="right" vertical="top"/>
    </xf>
    <xf numFmtId="3" fontId="35" fillId="0" borderId="114" xfId="0" applyNumberFormat="1" applyFont="1" applyBorder="1" applyAlignment="1">
      <alignment horizontal="right" vertical="top"/>
    </xf>
    <xf numFmtId="3" fontId="35" fillId="0" borderId="115" xfId="0" applyNumberFormat="1" applyFont="1" applyBorder="1" applyAlignment="1">
      <alignment horizontal="right" vertical="top"/>
    </xf>
    <xf numFmtId="3" fontId="35" fillId="0" borderId="116" xfId="0" applyNumberFormat="1" applyFont="1" applyBorder="1" applyAlignment="1">
      <alignment horizontal="right" vertical="top"/>
    </xf>
    <xf numFmtId="177" fontId="35" fillId="10" borderId="117" xfId="0" applyNumberFormat="1" applyFont="1" applyFill="1" applyBorder="1" applyAlignment="1">
      <alignment horizontal="right" vertical="top"/>
    </xf>
    <xf numFmtId="0" fontId="37" fillId="11" borderId="104" xfId="0" applyFont="1" applyFill="1" applyBorder="1" applyAlignment="1">
      <alignment vertical="top"/>
    </xf>
    <xf numFmtId="0" fontId="37" fillId="11" borderId="104" xfId="0" applyFont="1" applyFill="1" applyBorder="1" applyAlignment="1">
      <alignment vertical="top" indent="2"/>
    </xf>
    <xf numFmtId="0" fontId="37" fillId="11" borderId="104" xfId="0" applyFont="1" applyFill="1" applyBorder="1" applyAlignment="1">
      <alignment vertical="top" indent="4"/>
    </xf>
    <xf numFmtId="0" fontId="38" fillId="11" borderId="109" xfId="0" applyFont="1" applyFill="1" applyBorder="1" applyAlignment="1">
      <alignment vertical="top" indent="6"/>
    </xf>
    <xf numFmtId="0" fontId="37" fillId="11" borderId="104" xfId="0" applyFont="1" applyFill="1" applyBorder="1" applyAlignment="1">
      <alignment vertical="top" indent="8"/>
    </xf>
    <xf numFmtId="0" fontId="38" fillId="11" borderId="109" xfId="0" applyFont="1" applyFill="1" applyBorder="1" applyAlignment="1">
      <alignment vertical="top" indent="2"/>
    </xf>
    <xf numFmtId="0" fontId="37" fillId="11" borderId="104" xfId="0" applyFont="1" applyFill="1" applyBorder="1" applyAlignment="1">
      <alignment vertical="top" indent="6"/>
    </xf>
    <xf numFmtId="0" fontId="38" fillId="11" borderId="109" xfId="0" applyFont="1" applyFill="1" applyBorder="1" applyAlignment="1">
      <alignment vertical="top" indent="4"/>
    </xf>
    <xf numFmtId="0" fontId="32" fillId="11" borderId="104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0" fontId="3" fillId="2" borderId="94" xfId="79" applyFont="1" applyFill="1" applyBorder="1" applyAlignment="1">
      <alignment horizontal="left"/>
    </xf>
    <xf numFmtId="3" fontId="3" fillId="2" borderId="77" xfId="80" applyNumberFormat="1" applyFont="1" applyFill="1" applyBorder="1"/>
    <xf numFmtId="3" fontId="3" fillId="2" borderId="78" xfId="80" applyNumberFormat="1" applyFont="1" applyFill="1" applyBorder="1"/>
    <xf numFmtId="9" fontId="3" fillId="2" borderId="118" xfId="80" applyNumberFormat="1" applyFont="1" applyFill="1" applyBorder="1"/>
    <xf numFmtId="9" fontId="3" fillId="2" borderId="77" xfId="80" applyNumberFormat="1" applyFont="1" applyFill="1" applyBorder="1"/>
    <xf numFmtId="9" fontId="3" fillId="2" borderId="78" xfId="80" applyNumberFormat="1" applyFont="1" applyFill="1" applyBorder="1"/>
    <xf numFmtId="0" fontId="39" fillId="0" borderId="65" xfId="0" applyFont="1" applyFill="1" applyBorder="1"/>
    <xf numFmtId="3" fontId="32" fillId="0" borderId="66" xfId="0" applyNumberFormat="1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3" fontId="32" fillId="0" borderId="69" xfId="0" applyNumberFormat="1" applyFont="1" applyFill="1" applyBorder="1"/>
    <xf numFmtId="9" fontId="32" fillId="0" borderId="69" xfId="0" applyNumberFormat="1" applyFont="1" applyFill="1" applyBorder="1"/>
    <xf numFmtId="9" fontId="32" fillId="0" borderId="70" xfId="0" applyNumberFormat="1" applyFont="1" applyFill="1" applyBorder="1"/>
    <xf numFmtId="0" fontId="39" fillId="0" borderId="85" xfId="0" applyFont="1" applyFill="1" applyBorder="1"/>
    <xf numFmtId="0" fontId="39" fillId="0" borderId="84" xfId="0" applyFont="1" applyFill="1" applyBorder="1" applyAlignment="1">
      <alignment horizontal="left" indent="1"/>
    </xf>
    <xf numFmtId="9" fontId="32" fillId="0" borderId="119" xfId="0" applyNumberFormat="1" applyFont="1" applyFill="1" applyBorder="1"/>
    <xf numFmtId="9" fontId="32" fillId="0" borderId="80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3" fontId="32" fillId="0" borderId="67" xfId="0" applyNumberFormat="1" applyFont="1" applyFill="1" applyBorder="1"/>
    <xf numFmtId="3" fontId="32" fillId="0" borderId="70" xfId="0" applyNumberFormat="1" applyFont="1" applyFill="1" applyBorder="1"/>
    <xf numFmtId="9" fontId="32" fillId="0" borderId="120" xfId="0" applyNumberFormat="1" applyFont="1" applyFill="1" applyBorder="1"/>
    <xf numFmtId="9" fontId="32" fillId="0" borderId="96" xfId="0" applyNumberFormat="1" applyFont="1" applyFill="1" applyBorder="1"/>
    <xf numFmtId="0" fontId="32" fillId="2" borderId="55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8" fillId="4" borderId="65" xfId="0" applyFont="1" applyFill="1" applyBorder="1" applyAlignment="1">
      <alignment horizontal="left"/>
    </xf>
    <xf numFmtId="169" fontId="58" fillId="4" borderId="66" xfId="0" applyNumberFormat="1" applyFont="1" applyFill="1" applyBorder="1"/>
    <xf numFmtId="9" fontId="58" fillId="4" borderId="66" xfId="0" applyNumberFormat="1" applyFont="1" applyFill="1" applyBorder="1"/>
    <xf numFmtId="9" fontId="58" fillId="4" borderId="67" xfId="0" applyNumberFormat="1" applyFont="1" applyFill="1" applyBorder="1"/>
    <xf numFmtId="169" fontId="0" fillId="0" borderId="69" xfId="0" applyNumberFormat="1" applyBorder="1"/>
    <xf numFmtId="9" fontId="0" fillId="0" borderId="69" xfId="0" applyNumberFormat="1" applyBorder="1"/>
    <xf numFmtId="9" fontId="0" fillId="0" borderId="70" xfId="0" applyNumberFormat="1" applyBorder="1"/>
    <xf numFmtId="0" fontId="58" fillId="0" borderId="68" xfId="0" applyFont="1" applyBorder="1" applyAlignment="1">
      <alignment horizontal="left" indent="1"/>
    </xf>
    <xf numFmtId="0" fontId="59" fillId="0" borderId="0" xfId="0" applyFont="1" applyFill="1"/>
    <xf numFmtId="0" fontId="60" fillId="0" borderId="0" xfId="0" applyFont="1" applyFill="1"/>
    <xf numFmtId="0" fontId="31" fillId="2" borderId="17" xfId="26" applyNumberFormat="1" applyFont="1" applyFill="1" applyBorder="1"/>
    <xf numFmtId="3" fontId="32" fillId="0" borderId="28" xfId="0" applyNumberFormat="1" applyFont="1" applyFill="1" applyBorder="1"/>
    <xf numFmtId="169" fontId="32" fillId="0" borderId="28" xfId="0" applyNumberFormat="1" applyFont="1" applyFill="1" applyBorder="1"/>
    <xf numFmtId="169" fontId="32" fillId="0" borderId="21" xfId="0" applyNumberFormat="1" applyFont="1" applyFill="1" applyBorder="1"/>
    <xf numFmtId="0" fontId="39" fillId="0" borderId="20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0" fontId="32" fillId="0" borderId="65" xfId="0" applyFont="1" applyFill="1" applyBorder="1"/>
    <xf numFmtId="0" fontId="32" fillId="0" borderId="66" xfId="0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3" fontId="32" fillId="0" borderId="74" xfId="0" applyNumberFormat="1" applyFont="1" applyFill="1" applyBorder="1"/>
    <xf numFmtId="9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8" xfId="0" applyFont="1" applyFill="1" applyBorder="1"/>
    <xf numFmtId="0" fontId="32" fillId="0" borderId="69" xfId="0" applyFont="1" applyFill="1" applyBorder="1"/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169" fontId="32" fillId="0" borderId="66" xfId="0" applyNumberFormat="1" applyFont="1" applyFill="1" applyBorder="1"/>
    <xf numFmtId="169" fontId="32" fillId="0" borderId="74" xfId="0" applyNumberFormat="1" applyFont="1" applyFill="1" applyBorder="1"/>
    <xf numFmtId="9" fontId="32" fillId="0" borderId="75" xfId="0" applyNumberFormat="1" applyFont="1" applyFill="1" applyBorder="1"/>
    <xf numFmtId="169" fontId="32" fillId="0" borderId="69" xfId="0" applyNumberFormat="1" applyFont="1" applyFill="1" applyBorder="1"/>
    <xf numFmtId="0" fontId="39" fillId="0" borderId="73" xfId="0" applyFont="1" applyFill="1" applyBorder="1"/>
    <xf numFmtId="0" fontId="39" fillId="0" borderId="68" xfId="0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8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7"/>
      <tableStyleElement type="headerRow" dxfId="86"/>
      <tableStyleElement type="totalRow" dxfId="85"/>
      <tableStyleElement type="firstColumn" dxfId="84"/>
      <tableStyleElement type="lastColumn" dxfId="83"/>
      <tableStyleElement type="firstRowStripe" dxfId="82"/>
      <tableStyleElement type="firstColumnStripe" dxfId="81"/>
    </tableStyle>
    <tableStyle name="TableStyleMedium2 2" pivot="0" count="7">
      <tableStyleElement type="wholeTable" dxfId="80"/>
      <tableStyleElement type="headerRow" dxfId="79"/>
      <tableStyleElement type="totalRow" dxfId="78"/>
      <tableStyleElement type="firstColumn" dxfId="77"/>
      <tableStyleElement type="lastColumn" dxfId="76"/>
      <tableStyleElement type="firstRowStripe" dxfId="75"/>
      <tableStyleElement type="firstColumnStripe" dxfId="74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0.25808028262340055</c:v>
                </c:pt>
                <c:pt idx="1">
                  <c:v>0.24835848647789729</c:v>
                </c:pt>
                <c:pt idx="2">
                  <c:v>0.24685044873479267</c:v>
                </c:pt>
                <c:pt idx="3">
                  <c:v>0.2405352201841322</c:v>
                </c:pt>
                <c:pt idx="4">
                  <c:v>0.25000258758965732</c:v>
                </c:pt>
                <c:pt idx="5">
                  <c:v>0.24742931914295929</c:v>
                </c:pt>
                <c:pt idx="6">
                  <c:v>0.21577493178315935</c:v>
                </c:pt>
                <c:pt idx="7">
                  <c:v>0.20444098888217999</c:v>
                </c:pt>
                <c:pt idx="8">
                  <c:v>0.20412375422992449</c:v>
                </c:pt>
                <c:pt idx="9">
                  <c:v>0.20826440280889977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149424"/>
        <c:axId val="9391467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0.19155036146694723</c:v>
                </c:pt>
                <c:pt idx="1">
                  <c:v>0.19155036146694723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9150512"/>
        <c:axId val="939139088"/>
      </c:scatterChart>
      <c:catAx>
        <c:axId val="939149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39146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91467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39149424"/>
        <c:crosses val="autoZero"/>
        <c:crossBetween val="between"/>
      </c:valAx>
      <c:valAx>
        <c:axId val="93915051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39139088"/>
        <c:crosses val="max"/>
        <c:crossBetween val="midCat"/>
      </c:valAx>
      <c:valAx>
        <c:axId val="93913908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3915051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2" totalsRowShown="0" headerRowDxfId="73" tableBorderDxfId="72">
  <autoFilter ref="A7:S1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1"/>
    <tableColumn id="2" name="popis" dataDxfId="70"/>
    <tableColumn id="3" name="01 uv_sk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4">
      <calculatedColumnFormula>IF(Tabulka[[#This Row],[15_vzpl]]=0,"",Tabulka[[#This Row],[14_vzsk]]/Tabulka[[#This Row],[15_vzpl]])</calculatedColumnFormula>
    </tableColumn>
    <tableColumn id="20" name="17_vzroz" dataDxfId="53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63" totalsRowShown="0">
  <autoFilter ref="C3:S63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2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1" bestFit="1" customWidth="1"/>
    <col min="2" max="2" width="102.21875" style="101" bestFit="1" customWidth="1"/>
    <col min="3" max="3" width="16.109375" style="42" hidden="1" customWidth="1"/>
    <col min="4" max="16384" width="8.88671875" style="101"/>
  </cols>
  <sheetData>
    <row r="1" spans="1:3" ht="18.600000000000001" customHeight="1" thickBot="1" x14ac:dyDescent="0.4">
      <c r="A1" s="288" t="s">
        <v>83</v>
      </c>
      <c r="B1" s="288"/>
    </row>
    <row r="2" spans="1:3" ht="14.4" customHeight="1" thickBot="1" x14ac:dyDescent="0.35">
      <c r="A2" s="193" t="s">
        <v>220</v>
      </c>
      <c r="B2" s="41"/>
    </row>
    <row r="3" spans="1:3" ht="14.4" customHeight="1" thickBot="1" x14ac:dyDescent="0.35">
      <c r="A3" s="284" t="s">
        <v>104</v>
      </c>
      <c r="B3" s="285"/>
    </row>
    <row r="4" spans="1:3" ht="14.4" customHeight="1" x14ac:dyDescent="0.3">
      <c r="A4" s="113" t="str">
        <f t="shared" ref="A4:A8" si="0">HYPERLINK("#'"&amp;C4&amp;"'!A1",C4)</f>
        <v>Motivace</v>
      </c>
      <c r="B4" s="63" t="s">
        <v>92</v>
      </c>
      <c r="C4" s="42" t="s">
        <v>93</v>
      </c>
    </row>
    <row r="5" spans="1:3" ht="14.4" customHeight="1" x14ac:dyDescent="0.3">
      <c r="A5" s="114" t="str">
        <f t="shared" si="0"/>
        <v>HI</v>
      </c>
      <c r="B5" s="64" t="s">
        <v>101</v>
      </c>
      <c r="C5" s="42" t="s">
        <v>86</v>
      </c>
    </row>
    <row r="6" spans="1:3" ht="14.4" customHeight="1" x14ac:dyDescent="0.3">
      <c r="A6" s="115" t="str">
        <f t="shared" si="0"/>
        <v>HI Graf</v>
      </c>
      <c r="B6" s="65" t="s">
        <v>79</v>
      </c>
      <c r="C6" s="42" t="s">
        <v>87</v>
      </c>
    </row>
    <row r="7" spans="1:3" ht="14.4" customHeight="1" x14ac:dyDescent="0.3">
      <c r="A7" s="115" t="str">
        <f t="shared" si="0"/>
        <v>Man Tab</v>
      </c>
      <c r="B7" s="65" t="s">
        <v>222</v>
      </c>
      <c r="C7" s="42" t="s">
        <v>88</v>
      </c>
    </row>
    <row r="8" spans="1:3" ht="14.4" customHeight="1" thickBot="1" x14ac:dyDescent="0.35">
      <c r="A8" s="116" t="str">
        <f t="shared" si="0"/>
        <v>HV</v>
      </c>
      <c r="B8" s="66" t="s">
        <v>37</v>
      </c>
      <c r="C8" s="42" t="s">
        <v>42</v>
      </c>
    </row>
    <row r="9" spans="1:3" ht="14.4" customHeight="1" thickBot="1" x14ac:dyDescent="0.35">
      <c r="A9" s="67"/>
      <c r="B9" s="67"/>
    </row>
    <row r="10" spans="1:3" ht="14.4" customHeight="1" thickBot="1" x14ac:dyDescent="0.35">
      <c r="A10" s="286" t="s">
        <v>84</v>
      </c>
      <c r="B10" s="285"/>
    </row>
    <row r="11" spans="1:3" ht="14.4" customHeight="1" x14ac:dyDescent="0.3">
      <c r="A11" s="117" t="str">
        <f t="shared" ref="A11" si="1">HYPERLINK("#'"&amp;C11&amp;"'!A1",C11)</f>
        <v>Léky Žádanky</v>
      </c>
      <c r="B11" s="64" t="s">
        <v>102</v>
      </c>
      <c r="C11" s="42" t="s">
        <v>89</v>
      </c>
    </row>
    <row r="12" spans="1:3" ht="14.4" customHeight="1" x14ac:dyDescent="0.3">
      <c r="A12" s="115" t="str">
        <f t="shared" ref="A12:A14" si="2">HYPERLINK("#'"&amp;C12&amp;"'!A1",C12)</f>
        <v>LŽ Statim</v>
      </c>
      <c r="B12" s="215" t="s">
        <v>146</v>
      </c>
      <c r="C12" s="42" t="s">
        <v>156</v>
      </c>
    </row>
    <row r="13" spans="1:3" ht="14.4" customHeight="1" x14ac:dyDescent="0.3">
      <c r="A13" s="117" t="str">
        <f t="shared" ref="A13" si="3">HYPERLINK("#'"&amp;C13&amp;"'!A1",C13)</f>
        <v>Materiál Žádanky</v>
      </c>
      <c r="B13" s="65" t="s">
        <v>103</v>
      </c>
      <c r="C13" s="42" t="s">
        <v>90</v>
      </c>
    </row>
    <row r="14" spans="1:3" ht="14.4" customHeight="1" thickBot="1" x14ac:dyDescent="0.35">
      <c r="A14" s="117" t="str">
        <f t="shared" si="2"/>
        <v>Osobní náklady</v>
      </c>
      <c r="B14" s="65" t="s">
        <v>81</v>
      </c>
      <c r="C14" s="42" t="s">
        <v>91</v>
      </c>
    </row>
    <row r="15" spans="1:3" ht="14.4" customHeight="1" thickBot="1" x14ac:dyDescent="0.35">
      <c r="A15" s="68"/>
      <c r="B15" s="68"/>
    </row>
    <row r="16" spans="1:3" ht="14.4" customHeight="1" thickBot="1" x14ac:dyDescent="0.35">
      <c r="A16" s="287" t="s">
        <v>85</v>
      </c>
      <c r="B16" s="285"/>
    </row>
    <row r="17" spans="1:3" ht="14.4" customHeight="1" x14ac:dyDescent="0.3">
      <c r="A17" s="118" t="str">
        <f t="shared" ref="A17:A22" si="4">HYPERLINK("#'"&amp;C17&amp;"'!A1",C17)</f>
        <v>ZV Vykáz.-A</v>
      </c>
      <c r="B17" s="64" t="s">
        <v>363</v>
      </c>
      <c r="C17" s="42" t="s">
        <v>94</v>
      </c>
    </row>
    <row r="18" spans="1:3" ht="14.4" customHeight="1" x14ac:dyDescent="0.3">
      <c r="A18" s="115" t="str">
        <f t="shared" ref="A18" si="5">HYPERLINK("#'"&amp;C18&amp;"'!A1",C18)</f>
        <v>ZV Vykáz.-A Lékaři</v>
      </c>
      <c r="B18" s="65" t="s">
        <v>368</v>
      </c>
      <c r="C18" s="42" t="s">
        <v>159</v>
      </c>
    </row>
    <row r="19" spans="1:3" ht="14.4" customHeight="1" x14ac:dyDescent="0.3">
      <c r="A19" s="115" t="str">
        <f t="shared" si="4"/>
        <v>ZV Vykáz.-A Detail</v>
      </c>
      <c r="B19" s="65" t="s">
        <v>391</v>
      </c>
      <c r="C19" s="42" t="s">
        <v>95</v>
      </c>
    </row>
    <row r="20" spans="1:3" ht="14.4" customHeight="1" x14ac:dyDescent="0.3">
      <c r="A20" s="228" t="str">
        <f>HYPERLINK("#'"&amp;C20&amp;"'!A1",C20)</f>
        <v>ZV Vykáz.-A Det.Lék.</v>
      </c>
      <c r="B20" s="65" t="s">
        <v>392</v>
      </c>
      <c r="C20" s="42" t="s">
        <v>184</v>
      </c>
    </row>
    <row r="21" spans="1:3" ht="14.4" customHeight="1" x14ac:dyDescent="0.3">
      <c r="A21" s="115" t="str">
        <f t="shared" si="4"/>
        <v>ZV Vykáz.-H</v>
      </c>
      <c r="B21" s="65" t="s">
        <v>98</v>
      </c>
      <c r="C21" s="42" t="s">
        <v>96</v>
      </c>
    </row>
    <row r="22" spans="1:3" ht="14.4" customHeight="1" x14ac:dyDescent="0.3">
      <c r="A22" s="115" t="str">
        <f t="shared" si="4"/>
        <v>ZV Vykáz.-H Detail</v>
      </c>
      <c r="B22" s="65" t="s">
        <v>428</v>
      </c>
      <c r="C22" s="42" t="s">
        <v>97</v>
      </c>
    </row>
  </sheetData>
  <mergeCells count="4">
    <mergeCell ref="A3:B3"/>
    <mergeCell ref="A10:B10"/>
    <mergeCell ref="A16:B16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18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36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92" customWidth="1"/>
    <col min="18" max="18" width="7.33203125" style="235" customWidth="1"/>
    <col min="19" max="19" width="8" style="192" customWidth="1"/>
    <col min="21" max="21" width="11.21875" bestFit="1" customWidth="1"/>
  </cols>
  <sheetData>
    <row r="1" spans="1:19" ht="18.600000000000001" thickBot="1" x14ac:dyDescent="0.4">
      <c r="A1" s="328" t="s">
        <v>81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</row>
    <row r="2" spans="1:19" ht="15" thickBot="1" x14ac:dyDescent="0.35">
      <c r="A2" s="193" t="s">
        <v>220</v>
      </c>
      <c r="B2" s="194"/>
    </row>
    <row r="3" spans="1:19" x14ac:dyDescent="0.3">
      <c r="A3" s="356" t="s">
        <v>141</v>
      </c>
      <c r="B3" s="357"/>
      <c r="C3" s="358" t="s">
        <v>130</v>
      </c>
      <c r="D3" s="359"/>
      <c r="E3" s="359"/>
      <c r="F3" s="360"/>
      <c r="G3" s="361" t="s">
        <v>131</v>
      </c>
      <c r="H3" s="362"/>
      <c r="I3" s="362"/>
      <c r="J3" s="363"/>
      <c r="K3" s="364" t="s">
        <v>140</v>
      </c>
      <c r="L3" s="365"/>
      <c r="M3" s="365"/>
      <c r="N3" s="365"/>
      <c r="O3" s="366"/>
      <c r="P3" s="362" t="s">
        <v>217</v>
      </c>
      <c r="Q3" s="362"/>
      <c r="R3" s="362"/>
      <c r="S3" s="363"/>
    </row>
    <row r="4" spans="1:19" ht="15" thickBot="1" x14ac:dyDescent="0.35">
      <c r="A4" s="350">
        <v>2017</v>
      </c>
      <c r="B4" s="351"/>
      <c r="C4" s="352" t="s">
        <v>216</v>
      </c>
      <c r="D4" s="354" t="s">
        <v>82</v>
      </c>
      <c r="E4" s="354" t="s">
        <v>50</v>
      </c>
      <c r="F4" s="340" t="s">
        <v>43</v>
      </c>
      <c r="G4" s="344" t="s">
        <v>132</v>
      </c>
      <c r="H4" s="346" t="s">
        <v>136</v>
      </c>
      <c r="I4" s="346" t="s">
        <v>215</v>
      </c>
      <c r="J4" s="348" t="s">
        <v>133</v>
      </c>
      <c r="K4" s="337" t="s">
        <v>214</v>
      </c>
      <c r="L4" s="338"/>
      <c r="M4" s="338"/>
      <c r="N4" s="339"/>
      <c r="O4" s="340" t="s">
        <v>213</v>
      </c>
      <c r="P4" s="329" t="s">
        <v>212</v>
      </c>
      <c r="Q4" s="329" t="s">
        <v>143</v>
      </c>
      <c r="R4" s="331" t="s">
        <v>50</v>
      </c>
      <c r="S4" s="333" t="s">
        <v>142</v>
      </c>
    </row>
    <row r="5" spans="1:19" s="270" customFormat="1" ht="19.2" customHeight="1" x14ac:dyDescent="0.3">
      <c r="A5" s="335" t="s">
        <v>211</v>
      </c>
      <c r="B5" s="336"/>
      <c r="C5" s="353"/>
      <c r="D5" s="355"/>
      <c r="E5" s="355"/>
      <c r="F5" s="341"/>
      <c r="G5" s="345"/>
      <c r="H5" s="347"/>
      <c r="I5" s="347"/>
      <c r="J5" s="349"/>
      <c r="K5" s="273" t="s">
        <v>134</v>
      </c>
      <c r="L5" s="272" t="s">
        <v>135</v>
      </c>
      <c r="M5" s="272" t="s">
        <v>210</v>
      </c>
      <c r="N5" s="271" t="s">
        <v>3</v>
      </c>
      <c r="O5" s="341"/>
      <c r="P5" s="330"/>
      <c r="Q5" s="330"/>
      <c r="R5" s="332"/>
      <c r="S5" s="334"/>
    </row>
    <row r="6" spans="1:19" ht="15" thickBot="1" x14ac:dyDescent="0.35">
      <c r="A6" s="342" t="s">
        <v>129</v>
      </c>
      <c r="B6" s="343"/>
      <c r="C6" s="269">
        <f ca="1">SUM(Tabulka[01 uv_sk])/2</f>
        <v>5</v>
      </c>
      <c r="D6" s="267"/>
      <c r="E6" s="267"/>
      <c r="F6" s="266"/>
      <c r="G6" s="268">
        <f ca="1">SUM(Tabulka[05 h_vram])/2</f>
        <v>7712</v>
      </c>
      <c r="H6" s="267">
        <f ca="1">SUM(Tabulka[06 h_naduv])/2</f>
        <v>0</v>
      </c>
      <c r="I6" s="267">
        <f ca="1">SUM(Tabulka[07 h_nadzk])/2</f>
        <v>0</v>
      </c>
      <c r="J6" s="266">
        <f ca="1">SUM(Tabulka[08 h_oon])/2</f>
        <v>0</v>
      </c>
      <c r="K6" s="268">
        <f ca="1">SUM(Tabulka[09 m_kl])/2</f>
        <v>0</v>
      </c>
      <c r="L6" s="267">
        <f ca="1">SUM(Tabulka[10 m_gr])/2</f>
        <v>0</v>
      </c>
      <c r="M6" s="267">
        <f ca="1">SUM(Tabulka[11 m_jo])/2</f>
        <v>83848</v>
      </c>
      <c r="N6" s="267">
        <f ca="1">SUM(Tabulka[12 m_oc])/2</f>
        <v>83848</v>
      </c>
      <c r="O6" s="266">
        <f ca="1">SUM(Tabulka[13 m_sk])/2</f>
        <v>2222741</v>
      </c>
      <c r="P6" s="265">
        <f ca="1">SUM(Tabulka[14_vzsk])/2</f>
        <v>1500</v>
      </c>
      <c r="Q6" s="265">
        <f ca="1">SUM(Tabulka[15_vzpl])/2</f>
        <v>10416.666666666666</v>
      </c>
      <c r="R6" s="264">
        <f ca="1">IF(Q6=0,0,P6/Q6)</f>
        <v>0.14400000000000002</v>
      </c>
      <c r="S6" s="263">
        <f ca="1">Q6-P6</f>
        <v>8916.6666666666661</v>
      </c>
    </row>
    <row r="7" spans="1:19" hidden="1" x14ac:dyDescent="0.3">
      <c r="A7" s="262" t="s">
        <v>209</v>
      </c>
      <c r="B7" s="261" t="s">
        <v>208</v>
      </c>
      <c r="C7" s="260" t="s">
        <v>207</v>
      </c>
      <c r="D7" s="259" t="s">
        <v>206</v>
      </c>
      <c r="E7" s="258" t="s">
        <v>205</v>
      </c>
      <c r="F7" s="257" t="s">
        <v>204</v>
      </c>
      <c r="G7" s="256" t="s">
        <v>203</v>
      </c>
      <c r="H7" s="254" t="s">
        <v>202</v>
      </c>
      <c r="I7" s="254" t="s">
        <v>201</v>
      </c>
      <c r="J7" s="253" t="s">
        <v>200</v>
      </c>
      <c r="K7" s="255" t="s">
        <v>199</v>
      </c>
      <c r="L7" s="254" t="s">
        <v>198</v>
      </c>
      <c r="M7" s="254" t="s">
        <v>197</v>
      </c>
      <c r="N7" s="253" t="s">
        <v>196</v>
      </c>
      <c r="O7" s="252" t="s">
        <v>195</v>
      </c>
      <c r="P7" s="251" t="s">
        <v>194</v>
      </c>
      <c r="Q7" s="250" t="s">
        <v>193</v>
      </c>
      <c r="R7" s="249" t="s">
        <v>192</v>
      </c>
      <c r="S7" s="248" t="s">
        <v>191</v>
      </c>
    </row>
    <row r="8" spans="1:19" x14ac:dyDescent="0.3">
      <c r="A8" s="245" t="s">
        <v>345</v>
      </c>
      <c r="B8" s="244"/>
      <c r="C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7712</v>
      </c>
      <c r="H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83848</v>
      </c>
      <c r="N8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83848</v>
      </c>
      <c r="O8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2190091</v>
      </c>
      <c r="P8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</v>
      </c>
      <c r="Q8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10416.666666666666</v>
      </c>
      <c r="R8" s="247">
        <f ca="1">IF(Tabulka[[#This Row],[15_vzpl]]=0,"",Tabulka[[#This Row],[14_vzsk]]/Tabulka[[#This Row],[15_vzpl]])</f>
        <v>0.14400000000000002</v>
      </c>
      <c r="S8" s="246">
        <f ca="1">IF(Tabulka[[#This Row],[15_vzpl]]-Tabulka[[#This Row],[14_vzsk]]=0,"",Tabulka[[#This Row],[15_vzpl]]-Tabulka[[#This Row],[14_vzsk]])</f>
        <v>8916.6666666666661</v>
      </c>
    </row>
    <row r="9" spans="1:19" x14ac:dyDescent="0.3">
      <c r="A9" s="245">
        <v>523</v>
      </c>
      <c r="B9" s="244" t="s">
        <v>358</v>
      </c>
      <c r="C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7712</v>
      </c>
      <c r="H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83848</v>
      </c>
      <c r="N9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83848</v>
      </c>
      <c r="O9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2190091</v>
      </c>
      <c r="P9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247" t="str">
        <f ca="1">IF(Tabulka[[#This Row],[15_vzpl]]=0,"",Tabulka[[#This Row],[14_vzsk]]/Tabulka[[#This Row],[15_vzpl]])</f>
        <v/>
      </c>
      <c r="S9" s="246" t="str">
        <f ca="1">IF(Tabulka[[#This Row],[15_vzpl]]-Tabulka[[#This Row],[14_vzsk]]=0,"",Tabulka[[#This Row],[15_vzpl]]-Tabulka[[#This Row],[14_vzsk]])</f>
        <v/>
      </c>
    </row>
    <row r="10" spans="1:19" x14ac:dyDescent="0.3">
      <c r="A10" s="245">
        <v>526</v>
      </c>
      <c r="B10" s="244" t="s">
        <v>359</v>
      </c>
      <c r="C10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0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</v>
      </c>
      <c r="Q10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10416.666666666666</v>
      </c>
      <c r="R10" s="247">
        <f ca="1">IF(Tabulka[[#This Row],[15_vzpl]]=0,"",Tabulka[[#This Row],[14_vzsk]]/Tabulka[[#This Row],[15_vzpl]])</f>
        <v>0.14400000000000002</v>
      </c>
      <c r="S10" s="246">
        <f ca="1">IF(Tabulka[[#This Row],[15_vzpl]]-Tabulka[[#This Row],[14_vzsk]]=0,"",Tabulka[[#This Row],[15_vzpl]]-Tabulka[[#This Row],[14_vzsk]])</f>
        <v>8916.6666666666661</v>
      </c>
    </row>
    <row r="11" spans="1:19" x14ac:dyDescent="0.3">
      <c r="A11" s="245" t="s">
        <v>346</v>
      </c>
      <c r="B11" s="244"/>
      <c r="C11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32650</v>
      </c>
      <c r="P11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47" t="str">
        <f ca="1">IF(Tabulka[[#This Row],[15_vzpl]]=0,"",Tabulka[[#This Row],[14_vzsk]]/Tabulka[[#This Row],[15_vzpl]])</f>
        <v/>
      </c>
      <c r="S11" s="246" t="str">
        <f ca="1">IF(Tabulka[[#This Row],[15_vzpl]]-Tabulka[[#This Row],[14_vzsk]]=0,"",Tabulka[[#This Row],[15_vzpl]]-Tabulka[[#This Row],[14_vzsk]])</f>
        <v/>
      </c>
    </row>
    <row r="12" spans="1:19" x14ac:dyDescent="0.3">
      <c r="A12" s="245">
        <v>30</v>
      </c>
      <c r="B12" s="244" t="s">
        <v>360</v>
      </c>
      <c r="C12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32650</v>
      </c>
      <c r="P12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47" t="str">
        <f ca="1">IF(Tabulka[[#This Row],[15_vzpl]]=0,"",Tabulka[[#This Row],[14_vzsk]]/Tabulka[[#This Row],[15_vzpl]])</f>
        <v/>
      </c>
      <c r="S12" s="246" t="str">
        <f ca="1">IF(Tabulka[[#This Row],[15_vzpl]]-Tabulka[[#This Row],[14_vzsk]]=0,"",Tabulka[[#This Row],[15_vzpl]]-Tabulka[[#This Row],[14_vzsk]])</f>
        <v/>
      </c>
    </row>
    <row r="13" spans="1:19" x14ac:dyDescent="0.3">
      <c r="A13" t="s">
        <v>219</v>
      </c>
    </row>
    <row r="14" spans="1:19" x14ac:dyDescent="0.3">
      <c r="A14" s="85" t="s">
        <v>113</v>
      </c>
    </row>
    <row r="15" spans="1:19" x14ac:dyDescent="0.3">
      <c r="A15" s="86" t="s">
        <v>190</v>
      </c>
    </row>
    <row r="16" spans="1:19" x14ac:dyDescent="0.3">
      <c r="A16" s="237" t="s">
        <v>189</v>
      </c>
    </row>
    <row r="17" spans="1:1" x14ac:dyDescent="0.3">
      <c r="A17" s="196" t="s">
        <v>139</v>
      </c>
    </row>
    <row r="18" spans="1:1" x14ac:dyDescent="0.3">
      <c r="A18" s="198" t="s">
        <v>144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2">
    <cfRule type="cellIs" dxfId="4" priority="3" operator="lessThan">
      <formula>0</formula>
    </cfRule>
  </conditionalFormatting>
  <conditionalFormatting sqref="R6:R12">
    <cfRule type="cellIs" dxfId="3" priority="4" operator="greaterThan">
      <formula>1</formula>
    </cfRule>
  </conditionalFormatting>
  <conditionalFormatting sqref="A8:S12">
    <cfRule type="expression" dxfId="2" priority="2">
      <formula>$B8=""</formula>
    </cfRule>
  </conditionalFormatting>
  <conditionalFormatting sqref="P8:S12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63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357</v>
      </c>
    </row>
    <row r="2" spans="1:19" x14ac:dyDescent="0.3">
      <c r="A2" s="193" t="s">
        <v>220</v>
      </c>
    </row>
    <row r="3" spans="1:19" x14ac:dyDescent="0.3">
      <c r="A3" s="283" t="s">
        <v>116</v>
      </c>
      <c r="B3" s="282" t="s">
        <v>188</v>
      </c>
      <c r="C3" t="s">
        <v>218</v>
      </c>
      <c r="D3" t="s">
        <v>209</v>
      </c>
      <c r="E3" t="s">
        <v>207</v>
      </c>
      <c r="F3" t="s">
        <v>206</v>
      </c>
      <c r="G3" t="s">
        <v>205</v>
      </c>
      <c r="H3" t="s">
        <v>204</v>
      </c>
      <c r="I3" t="s">
        <v>203</v>
      </c>
      <c r="J3" t="s">
        <v>202</v>
      </c>
      <c r="K3" t="s">
        <v>201</v>
      </c>
      <c r="L3" t="s">
        <v>200</v>
      </c>
      <c r="M3" t="s">
        <v>199</v>
      </c>
      <c r="N3" t="s">
        <v>198</v>
      </c>
      <c r="O3" t="s">
        <v>197</v>
      </c>
      <c r="P3" t="s">
        <v>196</v>
      </c>
      <c r="Q3" t="s">
        <v>195</v>
      </c>
      <c r="R3" t="s">
        <v>194</v>
      </c>
      <c r="S3" t="s">
        <v>193</v>
      </c>
    </row>
    <row r="4" spans="1:19" x14ac:dyDescent="0.3">
      <c r="A4" s="281" t="s">
        <v>117</v>
      </c>
      <c r="B4" s="280">
        <v>1</v>
      </c>
      <c r="C4" s="275">
        <v>1</v>
      </c>
      <c r="D4" s="275" t="s">
        <v>345</v>
      </c>
      <c r="E4" s="274">
        <v>5</v>
      </c>
      <c r="F4" s="274"/>
      <c r="G4" s="274"/>
      <c r="H4" s="274"/>
      <c r="I4" s="274">
        <v>840</v>
      </c>
      <c r="J4" s="274"/>
      <c r="K4" s="274"/>
      <c r="L4" s="274"/>
      <c r="M4" s="274"/>
      <c r="N4" s="274"/>
      <c r="O4" s="274"/>
      <c r="P4" s="274"/>
      <c r="Q4" s="274">
        <v>216193</v>
      </c>
      <c r="R4" s="274">
        <v>1500</v>
      </c>
      <c r="S4" s="274">
        <v>1041.6666666666667</v>
      </c>
    </row>
    <row r="5" spans="1:19" x14ac:dyDescent="0.3">
      <c r="A5" s="279" t="s">
        <v>118</v>
      </c>
      <c r="B5" s="278">
        <v>2</v>
      </c>
      <c r="C5">
        <v>1</v>
      </c>
      <c r="D5">
        <v>523</v>
      </c>
      <c r="E5">
        <v>5</v>
      </c>
      <c r="I5">
        <v>840</v>
      </c>
      <c r="Q5">
        <v>216193</v>
      </c>
    </row>
    <row r="6" spans="1:19" x14ac:dyDescent="0.3">
      <c r="A6" s="281" t="s">
        <v>119</v>
      </c>
      <c r="B6" s="280">
        <v>3</v>
      </c>
      <c r="C6">
        <v>1</v>
      </c>
      <c r="D6">
        <v>526</v>
      </c>
      <c r="R6">
        <v>1500</v>
      </c>
      <c r="S6">
        <v>1041.6666666666667</v>
      </c>
    </row>
    <row r="7" spans="1:19" x14ac:dyDescent="0.3">
      <c r="A7" s="279" t="s">
        <v>120</v>
      </c>
      <c r="B7" s="278">
        <v>4</v>
      </c>
      <c r="C7">
        <v>1</v>
      </c>
      <c r="D7" t="s">
        <v>346</v>
      </c>
      <c r="Q7">
        <v>3528</v>
      </c>
    </row>
    <row r="8" spans="1:19" x14ac:dyDescent="0.3">
      <c r="A8" s="281" t="s">
        <v>121</v>
      </c>
      <c r="B8" s="280">
        <v>5</v>
      </c>
      <c r="C8">
        <v>1</v>
      </c>
      <c r="D8">
        <v>30</v>
      </c>
      <c r="Q8">
        <v>3528</v>
      </c>
    </row>
    <row r="9" spans="1:19" x14ac:dyDescent="0.3">
      <c r="A9" s="279" t="s">
        <v>122</v>
      </c>
      <c r="B9" s="278">
        <v>6</v>
      </c>
      <c r="C9" t="s">
        <v>347</v>
      </c>
      <c r="E9">
        <v>5</v>
      </c>
      <c r="I9">
        <v>840</v>
      </c>
      <c r="Q9">
        <v>219721</v>
      </c>
      <c r="R9">
        <v>1500</v>
      </c>
      <c r="S9">
        <v>1041.6666666666667</v>
      </c>
    </row>
    <row r="10" spans="1:19" x14ac:dyDescent="0.3">
      <c r="A10" s="281" t="s">
        <v>123</v>
      </c>
      <c r="B10" s="280">
        <v>7</v>
      </c>
      <c r="C10">
        <v>2</v>
      </c>
      <c r="D10" t="s">
        <v>345</v>
      </c>
      <c r="E10">
        <v>5</v>
      </c>
      <c r="I10">
        <v>768</v>
      </c>
      <c r="Q10">
        <v>213355</v>
      </c>
      <c r="S10">
        <v>1041.6666666666667</v>
      </c>
    </row>
    <row r="11" spans="1:19" x14ac:dyDescent="0.3">
      <c r="A11" s="279" t="s">
        <v>124</v>
      </c>
      <c r="B11" s="278">
        <v>8</v>
      </c>
      <c r="C11">
        <v>2</v>
      </c>
      <c r="D11">
        <v>523</v>
      </c>
      <c r="E11">
        <v>5</v>
      </c>
      <c r="I11">
        <v>768</v>
      </c>
      <c r="Q11">
        <v>213355</v>
      </c>
    </row>
    <row r="12" spans="1:19" x14ac:dyDescent="0.3">
      <c r="A12" s="281" t="s">
        <v>125</v>
      </c>
      <c r="B12" s="280">
        <v>9</v>
      </c>
      <c r="C12">
        <v>2</v>
      </c>
      <c r="D12">
        <v>526</v>
      </c>
      <c r="S12">
        <v>1041.6666666666667</v>
      </c>
    </row>
    <row r="13" spans="1:19" x14ac:dyDescent="0.3">
      <c r="A13" s="279" t="s">
        <v>126</v>
      </c>
      <c r="B13" s="278">
        <v>10</v>
      </c>
      <c r="C13">
        <v>2</v>
      </c>
      <c r="D13" t="s">
        <v>346</v>
      </c>
      <c r="Q13">
        <v>3327</v>
      </c>
    </row>
    <row r="14" spans="1:19" x14ac:dyDescent="0.3">
      <c r="A14" s="281" t="s">
        <v>127</v>
      </c>
      <c r="B14" s="280">
        <v>11</v>
      </c>
      <c r="C14">
        <v>2</v>
      </c>
      <c r="D14">
        <v>30</v>
      </c>
      <c r="Q14">
        <v>3327</v>
      </c>
    </row>
    <row r="15" spans="1:19" x14ac:dyDescent="0.3">
      <c r="A15" s="279" t="s">
        <v>128</v>
      </c>
      <c r="B15" s="278">
        <v>12</v>
      </c>
      <c r="C15" t="s">
        <v>348</v>
      </c>
      <c r="E15">
        <v>5</v>
      </c>
      <c r="I15">
        <v>768</v>
      </c>
      <c r="Q15">
        <v>216682</v>
      </c>
      <c r="S15">
        <v>1041.6666666666667</v>
      </c>
    </row>
    <row r="16" spans="1:19" x14ac:dyDescent="0.3">
      <c r="A16" s="277" t="s">
        <v>116</v>
      </c>
      <c r="B16" s="276">
        <v>2017</v>
      </c>
      <c r="C16">
        <v>3</v>
      </c>
      <c r="D16" t="s">
        <v>345</v>
      </c>
      <c r="E16">
        <v>5</v>
      </c>
      <c r="I16">
        <v>872</v>
      </c>
      <c r="Q16">
        <v>214484</v>
      </c>
      <c r="S16">
        <v>1041.6666666666667</v>
      </c>
    </row>
    <row r="17" spans="3:19" x14ac:dyDescent="0.3">
      <c r="C17">
        <v>3</v>
      </c>
      <c r="D17">
        <v>523</v>
      </c>
      <c r="E17">
        <v>5</v>
      </c>
      <c r="I17">
        <v>872</v>
      </c>
      <c r="Q17">
        <v>214484</v>
      </c>
    </row>
    <row r="18" spans="3:19" x14ac:dyDescent="0.3">
      <c r="C18">
        <v>3</v>
      </c>
      <c r="D18">
        <v>526</v>
      </c>
      <c r="S18">
        <v>1041.6666666666667</v>
      </c>
    </row>
    <row r="19" spans="3:19" x14ac:dyDescent="0.3">
      <c r="C19">
        <v>3</v>
      </c>
      <c r="D19" t="s">
        <v>346</v>
      </c>
      <c r="Q19">
        <v>3374</v>
      </c>
    </row>
    <row r="20" spans="3:19" x14ac:dyDescent="0.3">
      <c r="C20">
        <v>3</v>
      </c>
      <c r="D20">
        <v>30</v>
      </c>
      <c r="Q20">
        <v>3374</v>
      </c>
    </row>
    <row r="21" spans="3:19" x14ac:dyDescent="0.3">
      <c r="C21" t="s">
        <v>349</v>
      </c>
      <c r="E21">
        <v>5</v>
      </c>
      <c r="I21">
        <v>872</v>
      </c>
      <c r="Q21">
        <v>217858</v>
      </c>
      <c r="S21">
        <v>1041.6666666666667</v>
      </c>
    </row>
    <row r="22" spans="3:19" x14ac:dyDescent="0.3">
      <c r="C22">
        <v>4</v>
      </c>
      <c r="D22" t="s">
        <v>345</v>
      </c>
      <c r="E22">
        <v>5</v>
      </c>
      <c r="I22">
        <v>752</v>
      </c>
      <c r="Q22">
        <v>214104</v>
      </c>
      <c r="S22">
        <v>1041.6666666666667</v>
      </c>
    </row>
    <row r="23" spans="3:19" x14ac:dyDescent="0.3">
      <c r="C23">
        <v>4</v>
      </c>
      <c r="D23">
        <v>523</v>
      </c>
      <c r="E23">
        <v>5</v>
      </c>
      <c r="I23">
        <v>752</v>
      </c>
      <c r="Q23">
        <v>214104</v>
      </c>
    </row>
    <row r="24" spans="3:19" x14ac:dyDescent="0.3">
      <c r="C24">
        <v>4</v>
      </c>
      <c r="D24">
        <v>526</v>
      </c>
      <c r="S24">
        <v>1041.6666666666667</v>
      </c>
    </row>
    <row r="25" spans="3:19" x14ac:dyDescent="0.3">
      <c r="C25">
        <v>4</v>
      </c>
      <c r="D25" t="s">
        <v>346</v>
      </c>
      <c r="Q25">
        <v>3696</v>
      </c>
    </row>
    <row r="26" spans="3:19" x14ac:dyDescent="0.3">
      <c r="C26">
        <v>4</v>
      </c>
      <c r="D26">
        <v>30</v>
      </c>
      <c r="Q26">
        <v>3696</v>
      </c>
    </row>
    <row r="27" spans="3:19" x14ac:dyDescent="0.3">
      <c r="C27" t="s">
        <v>350</v>
      </c>
      <c r="E27">
        <v>5</v>
      </c>
      <c r="I27">
        <v>752</v>
      </c>
      <c r="Q27">
        <v>217800</v>
      </c>
      <c r="S27">
        <v>1041.6666666666667</v>
      </c>
    </row>
    <row r="28" spans="3:19" x14ac:dyDescent="0.3">
      <c r="C28">
        <v>5</v>
      </c>
      <c r="D28" t="s">
        <v>345</v>
      </c>
      <c r="E28">
        <v>5</v>
      </c>
      <c r="I28">
        <v>880</v>
      </c>
      <c r="Q28">
        <v>215292</v>
      </c>
      <c r="S28">
        <v>1041.6666666666667</v>
      </c>
    </row>
    <row r="29" spans="3:19" x14ac:dyDescent="0.3">
      <c r="C29">
        <v>5</v>
      </c>
      <c r="D29">
        <v>523</v>
      </c>
      <c r="E29">
        <v>5</v>
      </c>
      <c r="I29">
        <v>880</v>
      </c>
      <c r="Q29">
        <v>215292</v>
      </c>
    </row>
    <row r="30" spans="3:19" x14ac:dyDescent="0.3">
      <c r="C30">
        <v>5</v>
      </c>
      <c r="D30">
        <v>526</v>
      </c>
      <c r="S30">
        <v>1041.6666666666667</v>
      </c>
    </row>
    <row r="31" spans="3:19" x14ac:dyDescent="0.3">
      <c r="C31">
        <v>5</v>
      </c>
      <c r="D31" t="s">
        <v>346</v>
      </c>
      <c r="Q31">
        <v>3615</v>
      </c>
    </row>
    <row r="32" spans="3:19" x14ac:dyDescent="0.3">
      <c r="C32">
        <v>5</v>
      </c>
      <c r="D32">
        <v>30</v>
      </c>
      <c r="Q32">
        <v>3615</v>
      </c>
    </row>
    <row r="33" spans="3:19" x14ac:dyDescent="0.3">
      <c r="C33" t="s">
        <v>351</v>
      </c>
      <c r="E33">
        <v>5</v>
      </c>
      <c r="I33">
        <v>880</v>
      </c>
      <c r="Q33">
        <v>218907</v>
      </c>
      <c r="S33">
        <v>1041.6666666666667</v>
      </c>
    </row>
    <row r="34" spans="3:19" x14ac:dyDescent="0.3">
      <c r="C34">
        <v>6</v>
      </c>
      <c r="D34" t="s">
        <v>345</v>
      </c>
      <c r="E34">
        <v>5</v>
      </c>
      <c r="I34">
        <v>880</v>
      </c>
      <c r="Q34">
        <v>214320</v>
      </c>
      <c r="S34">
        <v>1041.6666666666667</v>
      </c>
    </row>
    <row r="35" spans="3:19" x14ac:dyDescent="0.3">
      <c r="C35">
        <v>6</v>
      </c>
      <c r="D35">
        <v>523</v>
      </c>
      <c r="E35">
        <v>5</v>
      </c>
      <c r="I35">
        <v>880</v>
      </c>
      <c r="Q35">
        <v>214320</v>
      </c>
    </row>
    <row r="36" spans="3:19" x14ac:dyDescent="0.3">
      <c r="C36">
        <v>6</v>
      </c>
      <c r="D36">
        <v>526</v>
      </c>
      <c r="S36">
        <v>1041.6666666666667</v>
      </c>
    </row>
    <row r="37" spans="3:19" x14ac:dyDescent="0.3">
      <c r="C37">
        <v>6</v>
      </c>
      <c r="D37" t="s">
        <v>346</v>
      </c>
      <c r="Q37">
        <v>3024</v>
      </c>
    </row>
    <row r="38" spans="3:19" x14ac:dyDescent="0.3">
      <c r="C38">
        <v>6</v>
      </c>
      <c r="D38">
        <v>30</v>
      </c>
      <c r="Q38">
        <v>3024</v>
      </c>
    </row>
    <row r="39" spans="3:19" x14ac:dyDescent="0.3">
      <c r="C39" t="s">
        <v>352</v>
      </c>
      <c r="E39">
        <v>5</v>
      </c>
      <c r="I39">
        <v>880</v>
      </c>
      <c r="Q39">
        <v>217344</v>
      </c>
      <c r="S39">
        <v>1041.6666666666667</v>
      </c>
    </row>
    <row r="40" spans="3:19" x14ac:dyDescent="0.3">
      <c r="C40">
        <v>7</v>
      </c>
      <c r="D40" t="s">
        <v>345</v>
      </c>
      <c r="E40">
        <v>5</v>
      </c>
      <c r="I40">
        <v>600</v>
      </c>
      <c r="O40">
        <v>83848</v>
      </c>
      <c r="P40">
        <v>83848</v>
      </c>
      <c r="Q40">
        <v>296993</v>
      </c>
      <c r="S40">
        <v>1041.6666666666667</v>
      </c>
    </row>
    <row r="41" spans="3:19" x14ac:dyDescent="0.3">
      <c r="C41">
        <v>7</v>
      </c>
      <c r="D41">
        <v>523</v>
      </c>
      <c r="E41">
        <v>5</v>
      </c>
      <c r="I41">
        <v>600</v>
      </c>
      <c r="O41">
        <v>83848</v>
      </c>
      <c r="P41">
        <v>83848</v>
      </c>
      <c r="Q41">
        <v>296993</v>
      </c>
    </row>
    <row r="42" spans="3:19" x14ac:dyDescent="0.3">
      <c r="C42">
        <v>7</v>
      </c>
      <c r="D42">
        <v>526</v>
      </c>
      <c r="S42">
        <v>1041.6666666666667</v>
      </c>
    </row>
    <row r="43" spans="3:19" x14ac:dyDescent="0.3">
      <c r="C43">
        <v>7</v>
      </c>
      <c r="D43" t="s">
        <v>346</v>
      </c>
      <c r="Q43">
        <v>1760</v>
      </c>
    </row>
    <row r="44" spans="3:19" x14ac:dyDescent="0.3">
      <c r="C44">
        <v>7</v>
      </c>
      <c r="D44">
        <v>30</v>
      </c>
      <c r="Q44">
        <v>1760</v>
      </c>
    </row>
    <row r="45" spans="3:19" x14ac:dyDescent="0.3">
      <c r="C45" t="s">
        <v>353</v>
      </c>
      <c r="E45">
        <v>5</v>
      </c>
      <c r="I45">
        <v>600</v>
      </c>
      <c r="O45">
        <v>83848</v>
      </c>
      <c r="P45">
        <v>83848</v>
      </c>
      <c r="Q45">
        <v>298753</v>
      </c>
      <c r="S45">
        <v>1041.6666666666667</v>
      </c>
    </row>
    <row r="46" spans="3:19" x14ac:dyDescent="0.3">
      <c r="C46">
        <v>8</v>
      </c>
      <c r="D46" t="s">
        <v>345</v>
      </c>
      <c r="E46">
        <v>5</v>
      </c>
      <c r="I46">
        <v>664</v>
      </c>
      <c r="Q46">
        <v>218308</v>
      </c>
      <c r="S46">
        <v>1041.6666666666667</v>
      </c>
    </row>
    <row r="47" spans="3:19" x14ac:dyDescent="0.3">
      <c r="C47">
        <v>8</v>
      </c>
      <c r="D47">
        <v>523</v>
      </c>
      <c r="E47">
        <v>5</v>
      </c>
      <c r="I47">
        <v>664</v>
      </c>
      <c r="Q47">
        <v>218308</v>
      </c>
    </row>
    <row r="48" spans="3:19" x14ac:dyDescent="0.3">
      <c r="C48">
        <v>8</v>
      </c>
      <c r="D48">
        <v>526</v>
      </c>
      <c r="S48">
        <v>1041.6666666666667</v>
      </c>
    </row>
    <row r="49" spans="3:19" x14ac:dyDescent="0.3">
      <c r="C49">
        <v>8</v>
      </c>
      <c r="D49" t="s">
        <v>346</v>
      </c>
      <c r="Q49">
        <v>3454</v>
      </c>
    </row>
    <row r="50" spans="3:19" x14ac:dyDescent="0.3">
      <c r="C50">
        <v>8</v>
      </c>
      <c r="D50">
        <v>30</v>
      </c>
      <c r="Q50">
        <v>3454</v>
      </c>
    </row>
    <row r="51" spans="3:19" x14ac:dyDescent="0.3">
      <c r="C51" t="s">
        <v>354</v>
      </c>
      <c r="E51">
        <v>5</v>
      </c>
      <c r="I51">
        <v>664</v>
      </c>
      <c r="Q51">
        <v>221762</v>
      </c>
      <c r="S51">
        <v>1041.6666666666667</v>
      </c>
    </row>
    <row r="52" spans="3:19" x14ac:dyDescent="0.3">
      <c r="C52">
        <v>9</v>
      </c>
      <c r="D52" t="s">
        <v>345</v>
      </c>
      <c r="E52">
        <v>5</v>
      </c>
      <c r="I52">
        <v>816</v>
      </c>
      <c r="Q52">
        <v>214180</v>
      </c>
      <c r="S52">
        <v>1041.6666666666667</v>
      </c>
    </row>
    <row r="53" spans="3:19" x14ac:dyDescent="0.3">
      <c r="C53">
        <v>9</v>
      </c>
      <c r="D53">
        <v>523</v>
      </c>
      <c r="E53">
        <v>5</v>
      </c>
      <c r="I53">
        <v>816</v>
      </c>
      <c r="Q53">
        <v>214180</v>
      </c>
    </row>
    <row r="54" spans="3:19" x14ac:dyDescent="0.3">
      <c r="C54">
        <v>9</v>
      </c>
      <c r="D54">
        <v>526</v>
      </c>
      <c r="S54">
        <v>1041.6666666666667</v>
      </c>
    </row>
    <row r="55" spans="3:19" x14ac:dyDescent="0.3">
      <c r="C55">
        <v>9</v>
      </c>
      <c r="D55" t="s">
        <v>346</v>
      </c>
      <c r="Q55">
        <v>3344</v>
      </c>
    </row>
    <row r="56" spans="3:19" x14ac:dyDescent="0.3">
      <c r="C56">
        <v>9</v>
      </c>
      <c r="D56">
        <v>30</v>
      </c>
      <c r="Q56">
        <v>3344</v>
      </c>
    </row>
    <row r="57" spans="3:19" x14ac:dyDescent="0.3">
      <c r="C57" t="s">
        <v>355</v>
      </c>
      <c r="E57">
        <v>5</v>
      </c>
      <c r="I57">
        <v>816</v>
      </c>
      <c r="Q57">
        <v>217524</v>
      </c>
      <c r="S57">
        <v>1041.6666666666667</v>
      </c>
    </row>
    <row r="58" spans="3:19" x14ac:dyDescent="0.3">
      <c r="C58">
        <v>10</v>
      </c>
      <c r="D58" t="s">
        <v>345</v>
      </c>
      <c r="E58">
        <v>5</v>
      </c>
      <c r="I58">
        <v>640</v>
      </c>
      <c r="Q58">
        <v>172862</v>
      </c>
      <c r="S58">
        <v>1041.6666666666667</v>
      </c>
    </row>
    <row r="59" spans="3:19" x14ac:dyDescent="0.3">
      <c r="C59">
        <v>10</v>
      </c>
      <c r="D59">
        <v>523</v>
      </c>
      <c r="E59">
        <v>5</v>
      </c>
      <c r="I59">
        <v>640</v>
      </c>
      <c r="Q59">
        <v>172862</v>
      </c>
    </row>
    <row r="60" spans="3:19" x14ac:dyDescent="0.3">
      <c r="C60">
        <v>10</v>
      </c>
      <c r="D60">
        <v>526</v>
      </c>
      <c r="S60">
        <v>1041.6666666666667</v>
      </c>
    </row>
    <row r="61" spans="3:19" x14ac:dyDescent="0.3">
      <c r="C61">
        <v>10</v>
      </c>
      <c r="D61" t="s">
        <v>346</v>
      </c>
      <c r="Q61">
        <v>3528</v>
      </c>
    </row>
    <row r="62" spans="3:19" x14ac:dyDescent="0.3">
      <c r="C62">
        <v>10</v>
      </c>
      <c r="D62">
        <v>30</v>
      </c>
      <c r="Q62">
        <v>3528</v>
      </c>
    </row>
    <row r="63" spans="3:19" x14ac:dyDescent="0.3">
      <c r="C63" t="s">
        <v>356</v>
      </c>
      <c r="E63">
        <v>5</v>
      </c>
      <c r="I63">
        <v>640</v>
      </c>
      <c r="Q63">
        <v>176390</v>
      </c>
      <c r="S63">
        <v>1041.6666666666667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1" customWidth="1" collapsed="1"/>
    <col min="2" max="2" width="7.77734375" style="78" hidden="1" customWidth="1" outlineLevel="1"/>
    <col min="3" max="4" width="5.44140625" style="101" hidden="1" customWidth="1"/>
    <col min="5" max="5" width="7.77734375" style="78" customWidth="1"/>
    <col min="6" max="6" width="7.77734375" style="78" hidden="1" customWidth="1"/>
    <col min="7" max="7" width="5.44140625" style="101" hidden="1" customWidth="1"/>
    <col min="8" max="8" width="7.77734375" style="78" customWidth="1" collapsed="1"/>
    <col min="9" max="9" width="7.77734375" style="179" hidden="1" customWidth="1" outlineLevel="1"/>
    <col min="10" max="10" width="7.77734375" style="179" customWidth="1" collapsed="1"/>
    <col min="11" max="12" width="7.77734375" style="78" hidden="1" customWidth="1"/>
    <col min="13" max="13" width="5.44140625" style="101" hidden="1" customWidth="1"/>
    <col min="14" max="14" width="7.77734375" style="78" customWidth="1"/>
    <col min="15" max="15" width="7.77734375" style="78" hidden="1" customWidth="1"/>
    <col min="16" max="16" width="5.44140625" style="101" hidden="1" customWidth="1"/>
    <col min="17" max="17" width="7.77734375" style="78" customWidth="1" collapsed="1"/>
    <col min="18" max="18" width="7.77734375" style="179" hidden="1" customWidth="1" outlineLevel="1"/>
    <col min="19" max="19" width="7.77734375" style="179" customWidth="1" collapsed="1"/>
    <col min="20" max="21" width="7.77734375" style="78" hidden="1" customWidth="1"/>
    <col min="22" max="22" width="5" style="101" hidden="1" customWidth="1"/>
    <col min="23" max="23" width="7.77734375" style="78" customWidth="1"/>
    <col min="24" max="24" width="7.77734375" style="78" hidden="1" customWidth="1"/>
    <col min="25" max="25" width="5" style="101" hidden="1" customWidth="1"/>
    <col min="26" max="26" width="7.77734375" style="78" customWidth="1" collapsed="1"/>
    <col min="27" max="27" width="7.77734375" style="179" hidden="1" customWidth="1" outlineLevel="1"/>
    <col min="28" max="28" width="7.77734375" style="179" customWidth="1" collapsed="1"/>
    <col min="29" max="16384" width="8.88671875" style="101"/>
  </cols>
  <sheetData>
    <row r="1" spans="1:28" ht="18.600000000000001" customHeight="1" thickBot="1" x14ac:dyDescent="0.4">
      <c r="A1" s="367" t="s">
        <v>363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</row>
    <row r="2" spans="1:28" ht="14.4" customHeight="1" thickBot="1" x14ac:dyDescent="0.35">
      <c r="A2" s="193" t="s">
        <v>220</v>
      </c>
      <c r="B2" s="83"/>
      <c r="C2" s="83"/>
      <c r="D2" s="83"/>
      <c r="E2" s="83"/>
      <c r="F2" s="83"/>
      <c r="G2" s="83"/>
      <c r="H2" s="83"/>
      <c r="I2" s="188"/>
      <c r="J2" s="188"/>
      <c r="K2" s="83"/>
      <c r="L2" s="83"/>
      <c r="M2" s="83"/>
      <c r="N2" s="83"/>
      <c r="O2" s="83"/>
      <c r="P2" s="83"/>
      <c r="Q2" s="83"/>
      <c r="R2" s="188"/>
      <c r="S2" s="188"/>
      <c r="T2" s="83"/>
      <c r="U2" s="83"/>
      <c r="V2" s="83"/>
      <c r="W2" s="83"/>
      <c r="X2" s="83"/>
      <c r="Y2" s="83"/>
      <c r="Z2" s="83"/>
      <c r="AA2" s="188"/>
      <c r="AB2" s="188"/>
    </row>
    <row r="3" spans="1:28" ht="14.4" customHeight="1" thickBot="1" x14ac:dyDescent="0.35">
      <c r="A3" s="181" t="s">
        <v>99</v>
      </c>
      <c r="B3" s="182">
        <f>SUBTOTAL(9,B6:B1048576)/4</f>
        <v>657562</v>
      </c>
      <c r="C3" s="183">
        <f t="shared" ref="C3:Z3" si="0">SUBTOTAL(9,C6:C1048576)</f>
        <v>4</v>
      </c>
      <c r="D3" s="183"/>
      <c r="E3" s="183">
        <f>SUBTOTAL(9,E6:E1048576)/4</f>
        <v>569207.67000000004</v>
      </c>
      <c r="F3" s="183"/>
      <c r="G3" s="183">
        <f t="shared" si="0"/>
        <v>4</v>
      </c>
      <c r="H3" s="183">
        <f>SUBTOTAL(9,H6:H1048576)/4</f>
        <v>665689</v>
      </c>
      <c r="I3" s="186">
        <f>IF(B3&lt;&gt;0,H3/B3,"")</f>
        <v>1.0123592908349326</v>
      </c>
      <c r="J3" s="184">
        <f>IF(E3&lt;&gt;0,H3/E3,"")</f>
        <v>1.1695011066874765</v>
      </c>
      <c r="K3" s="185">
        <f t="shared" si="0"/>
        <v>0</v>
      </c>
      <c r="L3" s="185"/>
      <c r="M3" s="183">
        <f t="shared" si="0"/>
        <v>0</v>
      </c>
      <c r="N3" s="183">
        <f t="shared" si="0"/>
        <v>0</v>
      </c>
      <c r="O3" s="183"/>
      <c r="P3" s="183">
        <f t="shared" si="0"/>
        <v>0</v>
      </c>
      <c r="Q3" s="183">
        <f t="shared" si="0"/>
        <v>0</v>
      </c>
      <c r="R3" s="186" t="str">
        <f>IF(K3&lt;&gt;0,Q3/K3,"")</f>
        <v/>
      </c>
      <c r="S3" s="186" t="str">
        <f>IF(N3&lt;&gt;0,Q3/N3,"")</f>
        <v/>
      </c>
      <c r="T3" s="182">
        <f t="shared" si="0"/>
        <v>0</v>
      </c>
      <c r="U3" s="185"/>
      <c r="V3" s="183">
        <f t="shared" si="0"/>
        <v>0</v>
      </c>
      <c r="W3" s="183">
        <f t="shared" si="0"/>
        <v>0</v>
      </c>
      <c r="X3" s="183"/>
      <c r="Y3" s="183">
        <f t="shared" si="0"/>
        <v>0</v>
      </c>
      <c r="Z3" s="183">
        <f t="shared" si="0"/>
        <v>0</v>
      </c>
      <c r="AA3" s="186" t="str">
        <f>IF(T3&lt;&gt;0,Z3/T3,"")</f>
        <v/>
      </c>
      <c r="AB3" s="184" t="str">
        <f>IF(W3&lt;&gt;0,Z3/W3,"")</f>
        <v/>
      </c>
    </row>
    <row r="4" spans="1:28" ht="14.4" customHeight="1" x14ac:dyDescent="0.3">
      <c r="A4" s="368" t="s">
        <v>160</v>
      </c>
      <c r="B4" s="369" t="s">
        <v>74</v>
      </c>
      <c r="C4" s="370"/>
      <c r="D4" s="371"/>
      <c r="E4" s="370"/>
      <c r="F4" s="371"/>
      <c r="G4" s="370"/>
      <c r="H4" s="370"/>
      <c r="I4" s="371"/>
      <c r="J4" s="372"/>
      <c r="K4" s="369" t="s">
        <v>75</v>
      </c>
      <c r="L4" s="371"/>
      <c r="M4" s="370"/>
      <c r="N4" s="370"/>
      <c r="O4" s="371"/>
      <c r="P4" s="370"/>
      <c r="Q4" s="370"/>
      <c r="R4" s="371"/>
      <c r="S4" s="372"/>
      <c r="T4" s="369" t="s">
        <v>76</v>
      </c>
      <c r="U4" s="371"/>
      <c r="V4" s="370"/>
      <c r="W4" s="370"/>
      <c r="X4" s="371"/>
      <c r="Y4" s="370"/>
      <c r="Z4" s="370"/>
      <c r="AA4" s="371"/>
      <c r="AB4" s="372"/>
    </row>
    <row r="5" spans="1:28" ht="14.4" customHeight="1" thickBot="1" x14ac:dyDescent="0.35">
      <c r="A5" s="444"/>
      <c r="B5" s="445">
        <v>2015</v>
      </c>
      <c r="C5" s="446"/>
      <c r="D5" s="446"/>
      <c r="E5" s="446">
        <v>2016</v>
      </c>
      <c r="F5" s="446"/>
      <c r="G5" s="446"/>
      <c r="H5" s="446">
        <v>2017</v>
      </c>
      <c r="I5" s="447" t="s">
        <v>182</v>
      </c>
      <c r="J5" s="448" t="s">
        <v>2</v>
      </c>
      <c r="K5" s="445">
        <v>2015</v>
      </c>
      <c r="L5" s="446"/>
      <c r="M5" s="446"/>
      <c r="N5" s="446">
        <v>2016</v>
      </c>
      <c r="O5" s="446"/>
      <c r="P5" s="446"/>
      <c r="Q5" s="446">
        <v>2017</v>
      </c>
      <c r="R5" s="447" t="s">
        <v>182</v>
      </c>
      <c r="S5" s="448" t="s">
        <v>2</v>
      </c>
      <c r="T5" s="445">
        <v>2015</v>
      </c>
      <c r="U5" s="446"/>
      <c r="V5" s="446"/>
      <c r="W5" s="446">
        <v>2016</v>
      </c>
      <c r="X5" s="446"/>
      <c r="Y5" s="446"/>
      <c r="Z5" s="446">
        <v>2017</v>
      </c>
      <c r="AA5" s="447" t="s">
        <v>182</v>
      </c>
      <c r="AB5" s="448" t="s">
        <v>2</v>
      </c>
    </row>
    <row r="6" spans="1:28" ht="14.4" customHeight="1" x14ac:dyDescent="0.3">
      <c r="A6" s="449" t="s">
        <v>361</v>
      </c>
      <c r="B6" s="450">
        <v>657562</v>
      </c>
      <c r="C6" s="451">
        <v>1</v>
      </c>
      <c r="D6" s="451">
        <v>1.1552233651384212</v>
      </c>
      <c r="E6" s="450">
        <v>569207.67000000004</v>
      </c>
      <c r="F6" s="451">
        <v>0.86563346117932616</v>
      </c>
      <c r="G6" s="451">
        <v>1</v>
      </c>
      <c r="H6" s="450">
        <v>665689.00000000012</v>
      </c>
      <c r="I6" s="451">
        <v>1.0123592908349328</v>
      </c>
      <c r="J6" s="451">
        <v>1.1695011066874768</v>
      </c>
      <c r="K6" s="450"/>
      <c r="L6" s="451"/>
      <c r="M6" s="451"/>
      <c r="N6" s="450"/>
      <c r="O6" s="451"/>
      <c r="P6" s="451"/>
      <c r="Q6" s="450"/>
      <c r="R6" s="451"/>
      <c r="S6" s="451"/>
      <c r="T6" s="450"/>
      <c r="U6" s="451"/>
      <c r="V6" s="451"/>
      <c r="W6" s="450"/>
      <c r="X6" s="451"/>
      <c r="Y6" s="451"/>
      <c r="Z6" s="450"/>
      <c r="AA6" s="451"/>
      <c r="AB6" s="452"/>
    </row>
    <row r="7" spans="1:28" ht="14.4" customHeight="1" thickBot="1" x14ac:dyDescent="0.35">
      <c r="A7" s="456" t="s">
        <v>362</v>
      </c>
      <c r="B7" s="453">
        <v>657562</v>
      </c>
      <c r="C7" s="454">
        <v>1</v>
      </c>
      <c r="D7" s="454">
        <v>1.1552233651384212</v>
      </c>
      <c r="E7" s="453">
        <v>569207.67000000004</v>
      </c>
      <c r="F7" s="454">
        <v>0.86563346117932616</v>
      </c>
      <c r="G7" s="454">
        <v>1</v>
      </c>
      <c r="H7" s="453">
        <v>665689.00000000012</v>
      </c>
      <c r="I7" s="454">
        <v>1.0123592908349328</v>
      </c>
      <c r="J7" s="454">
        <v>1.1695011066874768</v>
      </c>
      <c r="K7" s="453"/>
      <c r="L7" s="454"/>
      <c r="M7" s="454"/>
      <c r="N7" s="453"/>
      <c r="O7" s="454"/>
      <c r="P7" s="454"/>
      <c r="Q7" s="453"/>
      <c r="R7" s="454"/>
      <c r="S7" s="454"/>
      <c r="T7" s="453"/>
      <c r="U7" s="454"/>
      <c r="V7" s="454"/>
      <c r="W7" s="453"/>
      <c r="X7" s="454"/>
      <c r="Y7" s="454"/>
      <c r="Z7" s="453"/>
      <c r="AA7" s="454"/>
      <c r="AB7" s="455"/>
    </row>
    <row r="8" spans="1:28" ht="14.4" customHeight="1" thickBot="1" x14ac:dyDescent="0.35"/>
    <row r="9" spans="1:28" ht="14.4" customHeight="1" x14ac:dyDescent="0.3">
      <c r="A9" s="449" t="s">
        <v>335</v>
      </c>
      <c r="B9" s="450">
        <v>657562</v>
      </c>
      <c r="C9" s="451">
        <v>1</v>
      </c>
      <c r="D9" s="451">
        <v>1.1552233651384212</v>
      </c>
      <c r="E9" s="450">
        <v>569207.67000000004</v>
      </c>
      <c r="F9" s="451">
        <v>0.86563346117932616</v>
      </c>
      <c r="G9" s="451">
        <v>1</v>
      </c>
      <c r="H9" s="450">
        <v>665689</v>
      </c>
      <c r="I9" s="451">
        <v>1.0123592908349326</v>
      </c>
      <c r="J9" s="452">
        <v>1.1695011066874765</v>
      </c>
    </row>
    <row r="10" spans="1:28" ht="14.4" customHeight="1" thickBot="1" x14ac:dyDescent="0.35">
      <c r="A10" s="456" t="s">
        <v>364</v>
      </c>
      <c r="B10" s="453">
        <v>657562</v>
      </c>
      <c r="C10" s="454">
        <v>1</v>
      </c>
      <c r="D10" s="454">
        <v>1.1552233651384212</v>
      </c>
      <c r="E10" s="453">
        <v>569207.67000000004</v>
      </c>
      <c r="F10" s="454">
        <v>0.86563346117932616</v>
      </c>
      <c r="G10" s="454">
        <v>1</v>
      </c>
      <c r="H10" s="453">
        <v>665689</v>
      </c>
      <c r="I10" s="454">
        <v>1.0123592908349326</v>
      </c>
      <c r="J10" s="455">
        <v>1.1695011066874765</v>
      </c>
    </row>
    <row r="11" spans="1:28" ht="14.4" customHeight="1" x14ac:dyDescent="0.3">
      <c r="A11" s="457" t="s">
        <v>219</v>
      </c>
    </row>
    <row r="12" spans="1:28" ht="14.4" customHeight="1" x14ac:dyDescent="0.3">
      <c r="A12" s="458" t="s">
        <v>365</v>
      </c>
    </row>
    <row r="13" spans="1:28" ht="14.4" customHeight="1" x14ac:dyDescent="0.3">
      <c r="A13" s="457" t="s">
        <v>366</v>
      </c>
    </row>
    <row r="14" spans="1:28" ht="14.4" customHeight="1" x14ac:dyDescent="0.3">
      <c r="A14" s="457" t="s">
        <v>367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1" bestFit="1" customWidth="1"/>
    <col min="2" max="2" width="7.77734375" style="176" hidden="1" customWidth="1" outlineLevel="1"/>
    <col min="3" max="3" width="7.77734375" style="176" customWidth="1" collapsed="1"/>
    <col min="4" max="4" width="7.77734375" style="176" customWidth="1"/>
    <col min="5" max="5" width="7.77734375" style="78" hidden="1" customWidth="1" outlineLevel="1"/>
    <col min="6" max="6" width="7.77734375" style="78" customWidth="1" collapsed="1"/>
    <col min="7" max="7" width="7.77734375" style="78" customWidth="1"/>
    <col min="8" max="16384" width="8.88671875" style="101"/>
  </cols>
  <sheetData>
    <row r="1" spans="1:7" ht="18.600000000000001" customHeight="1" thickBot="1" x14ac:dyDescent="0.4">
      <c r="A1" s="367" t="s">
        <v>368</v>
      </c>
      <c r="B1" s="288"/>
      <c r="C1" s="288"/>
      <c r="D1" s="288"/>
      <c r="E1" s="288"/>
      <c r="F1" s="288"/>
      <c r="G1" s="288"/>
    </row>
    <row r="2" spans="1:7" ht="14.4" customHeight="1" thickBot="1" x14ac:dyDescent="0.35">
      <c r="A2" s="193" t="s">
        <v>220</v>
      </c>
      <c r="B2" s="83"/>
      <c r="C2" s="83"/>
      <c r="D2" s="83"/>
      <c r="E2" s="83"/>
      <c r="F2" s="83"/>
      <c r="G2" s="83"/>
    </row>
    <row r="3" spans="1:7" ht="14.4" customHeight="1" thickBot="1" x14ac:dyDescent="0.35">
      <c r="A3" s="234" t="s">
        <v>99</v>
      </c>
      <c r="B3" s="220">
        <f t="shared" ref="B3:G3" si="0">SUBTOTAL(9,B6:B1048576)</f>
        <v>1488</v>
      </c>
      <c r="C3" s="221">
        <f t="shared" si="0"/>
        <v>1244</v>
      </c>
      <c r="D3" s="233">
        <f t="shared" si="0"/>
        <v>1454</v>
      </c>
      <c r="E3" s="185">
        <f t="shared" si="0"/>
        <v>657562</v>
      </c>
      <c r="F3" s="183">
        <f t="shared" si="0"/>
        <v>569207.67000000004</v>
      </c>
      <c r="G3" s="222">
        <f t="shared" si="0"/>
        <v>665689</v>
      </c>
    </row>
    <row r="4" spans="1:7" ht="14.4" customHeight="1" x14ac:dyDescent="0.3">
      <c r="A4" s="368" t="s">
        <v>100</v>
      </c>
      <c r="B4" s="373" t="s">
        <v>158</v>
      </c>
      <c r="C4" s="371"/>
      <c r="D4" s="374"/>
      <c r="E4" s="373" t="s">
        <v>74</v>
      </c>
      <c r="F4" s="371"/>
      <c r="G4" s="374"/>
    </row>
    <row r="5" spans="1:7" ht="14.4" customHeight="1" thickBot="1" x14ac:dyDescent="0.35">
      <c r="A5" s="444"/>
      <c r="B5" s="445">
        <v>2015</v>
      </c>
      <c r="C5" s="446">
        <v>2016</v>
      </c>
      <c r="D5" s="459">
        <v>2017</v>
      </c>
      <c r="E5" s="445">
        <v>2015</v>
      </c>
      <c r="F5" s="446">
        <v>2016</v>
      </c>
      <c r="G5" s="459">
        <v>2017</v>
      </c>
    </row>
    <row r="6" spans="1:7" ht="14.4" customHeight="1" thickBot="1" x14ac:dyDescent="0.35">
      <c r="A6" s="463" t="s">
        <v>364</v>
      </c>
      <c r="B6" s="460">
        <v>1488</v>
      </c>
      <c r="C6" s="460">
        <v>1244</v>
      </c>
      <c r="D6" s="460">
        <v>1454</v>
      </c>
      <c r="E6" s="461">
        <v>657562</v>
      </c>
      <c r="F6" s="461">
        <v>569207.67000000004</v>
      </c>
      <c r="G6" s="462">
        <v>665689</v>
      </c>
    </row>
    <row r="7" spans="1:7" ht="14.4" customHeight="1" x14ac:dyDescent="0.3">
      <c r="A7" s="457" t="s">
        <v>219</v>
      </c>
    </row>
    <row r="8" spans="1:7" ht="14.4" customHeight="1" x14ac:dyDescent="0.3">
      <c r="A8" s="458" t="s">
        <v>365</v>
      </c>
    </row>
    <row r="9" spans="1:7" ht="14.4" customHeight="1" x14ac:dyDescent="0.3">
      <c r="A9" s="457" t="s">
        <v>366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16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1" customWidth="1"/>
    <col min="2" max="2" width="8.6640625" style="101" bestFit="1" customWidth="1"/>
    <col min="3" max="3" width="6.109375" style="101" customWidth="1"/>
    <col min="4" max="4" width="2.109375" style="101" bestFit="1" customWidth="1"/>
    <col min="5" max="5" width="8" style="101" customWidth="1"/>
    <col min="6" max="6" width="50.88671875" style="101" bestFit="1" customWidth="1" collapsed="1"/>
    <col min="7" max="8" width="11.109375" style="176" hidden="1" customWidth="1" outlineLevel="1"/>
    <col min="9" max="10" width="9.33203125" style="101" hidden="1" customWidth="1"/>
    <col min="11" max="12" width="11.109375" style="176" customWidth="1"/>
    <col min="13" max="14" width="9.33203125" style="101" hidden="1" customWidth="1"/>
    <col min="15" max="16" width="11.109375" style="176" customWidth="1"/>
    <col min="17" max="17" width="11.109375" style="179" customWidth="1"/>
    <col min="18" max="18" width="11.109375" style="176" customWidth="1"/>
    <col min="19" max="16384" width="8.88671875" style="101"/>
  </cols>
  <sheetData>
    <row r="1" spans="1:18" ht="18.600000000000001" customHeight="1" thickBot="1" x14ac:dyDescent="0.4">
      <c r="A1" s="288" t="s">
        <v>391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</row>
    <row r="2" spans="1:18" ht="14.4" customHeight="1" thickBot="1" x14ac:dyDescent="0.35">
      <c r="A2" s="193" t="s">
        <v>220</v>
      </c>
      <c r="B2" s="166"/>
      <c r="C2" s="166"/>
      <c r="D2" s="83"/>
      <c r="E2" s="83"/>
      <c r="F2" s="83"/>
      <c r="G2" s="191"/>
      <c r="H2" s="191"/>
      <c r="I2" s="83"/>
      <c r="J2" s="83"/>
      <c r="K2" s="191"/>
      <c r="L2" s="191"/>
      <c r="M2" s="83"/>
      <c r="N2" s="83"/>
      <c r="O2" s="191"/>
      <c r="P2" s="191"/>
      <c r="Q2" s="188"/>
      <c r="R2" s="191"/>
    </row>
    <row r="3" spans="1:18" ht="14.4" customHeight="1" thickBot="1" x14ac:dyDescent="0.35">
      <c r="F3" s="62" t="s">
        <v>99</v>
      </c>
      <c r="G3" s="74">
        <f t="shared" ref="G3:P3" si="0">SUBTOTAL(9,G6:G1048576)</f>
        <v>1488</v>
      </c>
      <c r="H3" s="75">
        <f t="shared" si="0"/>
        <v>657562</v>
      </c>
      <c r="I3" s="57"/>
      <c r="J3" s="57"/>
      <c r="K3" s="75">
        <f t="shared" si="0"/>
        <v>1244</v>
      </c>
      <c r="L3" s="75">
        <f t="shared" si="0"/>
        <v>569207.66999999993</v>
      </c>
      <c r="M3" s="57"/>
      <c r="N3" s="57"/>
      <c r="O3" s="75">
        <f t="shared" si="0"/>
        <v>1454</v>
      </c>
      <c r="P3" s="75">
        <f t="shared" si="0"/>
        <v>665689</v>
      </c>
      <c r="Q3" s="58">
        <f>IF(L3=0,0,P3/L3)</f>
        <v>1.1695011066874768</v>
      </c>
      <c r="R3" s="76">
        <f>IF(O3=0,0,P3/O3)</f>
        <v>457.83287482806054</v>
      </c>
    </row>
    <row r="4" spans="1:18" ht="14.4" customHeight="1" x14ac:dyDescent="0.3">
      <c r="A4" s="375" t="s">
        <v>183</v>
      </c>
      <c r="B4" s="375" t="s">
        <v>70</v>
      </c>
      <c r="C4" s="383" t="s">
        <v>0</v>
      </c>
      <c r="D4" s="377" t="s">
        <v>71</v>
      </c>
      <c r="E4" s="382" t="s">
        <v>46</v>
      </c>
      <c r="F4" s="378" t="s">
        <v>45</v>
      </c>
      <c r="G4" s="379">
        <v>2015</v>
      </c>
      <c r="H4" s="380"/>
      <c r="I4" s="73"/>
      <c r="J4" s="73"/>
      <c r="K4" s="379">
        <v>2016</v>
      </c>
      <c r="L4" s="380"/>
      <c r="M4" s="73"/>
      <c r="N4" s="73"/>
      <c r="O4" s="379">
        <v>2017</v>
      </c>
      <c r="P4" s="380"/>
      <c r="Q4" s="381" t="s">
        <v>2</v>
      </c>
      <c r="R4" s="376" t="s">
        <v>73</v>
      </c>
    </row>
    <row r="5" spans="1:18" ht="14.4" customHeight="1" thickBot="1" x14ac:dyDescent="0.35">
      <c r="A5" s="464"/>
      <c r="B5" s="464"/>
      <c r="C5" s="465"/>
      <c r="D5" s="466"/>
      <c r="E5" s="467"/>
      <c r="F5" s="468"/>
      <c r="G5" s="469" t="s">
        <v>47</v>
      </c>
      <c r="H5" s="470" t="s">
        <v>4</v>
      </c>
      <c r="I5" s="471"/>
      <c r="J5" s="471"/>
      <c r="K5" s="469" t="s">
        <v>47</v>
      </c>
      <c r="L5" s="470" t="s">
        <v>4</v>
      </c>
      <c r="M5" s="471"/>
      <c r="N5" s="471"/>
      <c r="O5" s="469" t="s">
        <v>47</v>
      </c>
      <c r="P5" s="470" t="s">
        <v>4</v>
      </c>
      <c r="Q5" s="472"/>
      <c r="R5" s="473"/>
    </row>
    <row r="6" spans="1:18" ht="14.4" customHeight="1" x14ac:dyDescent="0.3">
      <c r="A6" s="474" t="s">
        <v>369</v>
      </c>
      <c r="B6" s="475" t="s">
        <v>370</v>
      </c>
      <c r="C6" s="475" t="s">
        <v>335</v>
      </c>
      <c r="D6" s="475" t="s">
        <v>371</v>
      </c>
      <c r="E6" s="475" t="s">
        <v>372</v>
      </c>
      <c r="F6" s="475" t="s">
        <v>373</v>
      </c>
      <c r="G6" s="428">
        <v>3</v>
      </c>
      <c r="H6" s="428">
        <v>105</v>
      </c>
      <c r="I6" s="475"/>
      <c r="J6" s="475">
        <v>35</v>
      </c>
      <c r="K6" s="428"/>
      <c r="L6" s="428"/>
      <c r="M6" s="475"/>
      <c r="N6" s="475"/>
      <c r="O6" s="428"/>
      <c r="P6" s="428"/>
      <c r="Q6" s="429"/>
      <c r="R6" s="440"/>
    </row>
    <row r="7" spans="1:18" ht="14.4" customHeight="1" x14ac:dyDescent="0.3">
      <c r="A7" s="476" t="s">
        <v>369</v>
      </c>
      <c r="B7" s="477" t="s">
        <v>370</v>
      </c>
      <c r="C7" s="477" t="s">
        <v>335</v>
      </c>
      <c r="D7" s="477" t="s">
        <v>371</v>
      </c>
      <c r="E7" s="477" t="s">
        <v>374</v>
      </c>
      <c r="F7" s="477" t="s">
        <v>375</v>
      </c>
      <c r="G7" s="478">
        <v>1</v>
      </c>
      <c r="H7" s="478">
        <v>133</v>
      </c>
      <c r="I7" s="477">
        <v>0.94326241134751776</v>
      </c>
      <c r="J7" s="477">
        <v>133</v>
      </c>
      <c r="K7" s="478">
        <v>1</v>
      </c>
      <c r="L7" s="478">
        <v>141</v>
      </c>
      <c r="M7" s="477">
        <v>1</v>
      </c>
      <c r="N7" s="477">
        <v>141</v>
      </c>
      <c r="O7" s="478">
        <v>7</v>
      </c>
      <c r="P7" s="478">
        <v>987</v>
      </c>
      <c r="Q7" s="479">
        <v>7</v>
      </c>
      <c r="R7" s="480">
        <v>141</v>
      </c>
    </row>
    <row r="8" spans="1:18" ht="14.4" customHeight="1" x14ac:dyDescent="0.3">
      <c r="A8" s="476" t="s">
        <v>369</v>
      </c>
      <c r="B8" s="477" t="s">
        <v>370</v>
      </c>
      <c r="C8" s="477" t="s">
        <v>335</v>
      </c>
      <c r="D8" s="477" t="s">
        <v>371</v>
      </c>
      <c r="E8" s="477" t="s">
        <v>376</v>
      </c>
      <c r="F8" s="477" t="s">
        <v>377</v>
      </c>
      <c r="G8" s="478">
        <v>94</v>
      </c>
      <c r="H8" s="478">
        <v>25192</v>
      </c>
      <c r="I8" s="477">
        <v>0.61384015594541907</v>
      </c>
      <c r="J8" s="477">
        <v>268</v>
      </c>
      <c r="K8" s="478">
        <v>144</v>
      </c>
      <c r="L8" s="478">
        <v>41040</v>
      </c>
      <c r="M8" s="477">
        <v>1</v>
      </c>
      <c r="N8" s="477">
        <v>285</v>
      </c>
      <c r="O8" s="478">
        <v>136</v>
      </c>
      <c r="P8" s="478">
        <v>37944</v>
      </c>
      <c r="Q8" s="479">
        <v>0.92456140350877192</v>
      </c>
      <c r="R8" s="480">
        <v>279</v>
      </c>
    </row>
    <row r="9" spans="1:18" ht="14.4" customHeight="1" x14ac:dyDescent="0.3">
      <c r="A9" s="476" t="s">
        <v>369</v>
      </c>
      <c r="B9" s="477" t="s">
        <v>370</v>
      </c>
      <c r="C9" s="477" t="s">
        <v>335</v>
      </c>
      <c r="D9" s="477" t="s">
        <v>371</v>
      </c>
      <c r="E9" s="477" t="s">
        <v>376</v>
      </c>
      <c r="F9" s="477" t="s">
        <v>378</v>
      </c>
      <c r="G9" s="478">
        <v>101</v>
      </c>
      <c r="H9" s="478">
        <v>27068</v>
      </c>
      <c r="I9" s="477">
        <v>2.9679824561403509</v>
      </c>
      <c r="J9" s="477">
        <v>268</v>
      </c>
      <c r="K9" s="478">
        <v>32</v>
      </c>
      <c r="L9" s="478">
        <v>9120</v>
      </c>
      <c r="M9" s="477">
        <v>1</v>
      </c>
      <c r="N9" s="477">
        <v>285</v>
      </c>
      <c r="O9" s="478">
        <v>64</v>
      </c>
      <c r="P9" s="478">
        <v>17856</v>
      </c>
      <c r="Q9" s="479">
        <v>1.9578947368421054</v>
      </c>
      <c r="R9" s="480">
        <v>279</v>
      </c>
    </row>
    <row r="10" spans="1:18" ht="14.4" customHeight="1" x14ac:dyDescent="0.3">
      <c r="A10" s="476" t="s">
        <v>369</v>
      </c>
      <c r="B10" s="477" t="s">
        <v>370</v>
      </c>
      <c r="C10" s="477" t="s">
        <v>335</v>
      </c>
      <c r="D10" s="477" t="s">
        <v>371</v>
      </c>
      <c r="E10" s="477" t="s">
        <v>379</v>
      </c>
      <c r="F10" s="477" t="s">
        <v>380</v>
      </c>
      <c r="G10" s="478">
        <v>520</v>
      </c>
      <c r="H10" s="478">
        <v>269360</v>
      </c>
      <c r="I10" s="477">
        <v>0.96836701311120621</v>
      </c>
      <c r="J10" s="477">
        <v>518</v>
      </c>
      <c r="K10" s="478">
        <v>503</v>
      </c>
      <c r="L10" s="478">
        <v>278159</v>
      </c>
      <c r="M10" s="477">
        <v>1</v>
      </c>
      <c r="N10" s="477">
        <v>553</v>
      </c>
      <c r="O10" s="478">
        <v>522</v>
      </c>
      <c r="P10" s="478">
        <v>289188</v>
      </c>
      <c r="Q10" s="479">
        <v>1.0396499843614624</v>
      </c>
      <c r="R10" s="480">
        <v>554</v>
      </c>
    </row>
    <row r="11" spans="1:18" ht="14.4" customHeight="1" x14ac:dyDescent="0.3">
      <c r="A11" s="476" t="s">
        <v>369</v>
      </c>
      <c r="B11" s="477" t="s">
        <v>370</v>
      </c>
      <c r="C11" s="477" t="s">
        <v>335</v>
      </c>
      <c r="D11" s="477" t="s">
        <v>371</v>
      </c>
      <c r="E11" s="477" t="s">
        <v>379</v>
      </c>
      <c r="F11" s="477" t="s">
        <v>381</v>
      </c>
      <c r="G11" s="478">
        <v>324</v>
      </c>
      <c r="H11" s="478">
        <v>167832</v>
      </c>
      <c r="I11" s="477">
        <v>2.1075949367088609</v>
      </c>
      <c r="J11" s="477">
        <v>518</v>
      </c>
      <c r="K11" s="478">
        <v>144</v>
      </c>
      <c r="L11" s="478">
        <v>79632</v>
      </c>
      <c r="M11" s="477">
        <v>1</v>
      </c>
      <c r="N11" s="477">
        <v>553</v>
      </c>
      <c r="O11" s="478">
        <v>219</v>
      </c>
      <c r="P11" s="478">
        <v>121326</v>
      </c>
      <c r="Q11" s="479">
        <v>1.5235834840265221</v>
      </c>
      <c r="R11" s="480">
        <v>554</v>
      </c>
    </row>
    <row r="12" spans="1:18" ht="14.4" customHeight="1" x14ac:dyDescent="0.3">
      <c r="A12" s="476" t="s">
        <v>369</v>
      </c>
      <c r="B12" s="477" t="s">
        <v>370</v>
      </c>
      <c r="C12" s="477" t="s">
        <v>335</v>
      </c>
      <c r="D12" s="477" t="s">
        <v>371</v>
      </c>
      <c r="E12" s="477" t="s">
        <v>382</v>
      </c>
      <c r="F12" s="477" t="s">
        <v>383</v>
      </c>
      <c r="G12" s="478">
        <v>12</v>
      </c>
      <c r="H12" s="478">
        <v>100</v>
      </c>
      <c r="I12" s="477">
        <v>7.8947160665366667E-2</v>
      </c>
      <c r="J12" s="477">
        <v>8.3333333333333339</v>
      </c>
      <c r="K12" s="478">
        <v>38</v>
      </c>
      <c r="L12" s="478">
        <v>1266.67</v>
      </c>
      <c r="M12" s="477">
        <v>1</v>
      </c>
      <c r="N12" s="477">
        <v>33.333421052631579</v>
      </c>
      <c r="O12" s="478">
        <v>42</v>
      </c>
      <c r="P12" s="478">
        <v>1400</v>
      </c>
      <c r="Q12" s="479">
        <v>1.1052602493151333</v>
      </c>
      <c r="R12" s="480">
        <v>33.333333333333336</v>
      </c>
    </row>
    <row r="13" spans="1:18" ht="14.4" customHeight="1" x14ac:dyDescent="0.3">
      <c r="A13" s="476" t="s">
        <v>369</v>
      </c>
      <c r="B13" s="477" t="s">
        <v>370</v>
      </c>
      <c r="C13" s="477" t="s">
        <v>335</v>
      </c>
      <c r="D13" s="477" t="s">
        <v>371</v>
      </c>
      <c r="E13" s="477" t="s">
        <v>384</v>
      </c>
      <c r="F13" s="477" t="s">
        <v>385</v>
      </c>
      <c r="G13" s="478">
        <v>42</v>
      </c>
      <c r="H13" s="478">
        <v>14700</v>
      </c>
      <c r="I13" s="477">
        <v>0.8407687028140014</v>
      </c>
      <c r="J13" s="477">
        <v>350</v>
      </c>
      <c r="K13" s="478">
        <v>47</v>
      </c>
      <c r="L13" s="478">
        <v>17484</v>
      </c>
      <c r="M13" s="477">
        <v>1</v>
      </c>
      <c r="N13" s="477">
        <v>372</v>
      </c>
      <c r="O13" s="478">
        <v>44</v>
      </c>
      <c r="P13" s="478">
        <v>16412</v>
      </c>
      <c r="Q13" s="479">
        <v>0.93868679935941435</v>
      </c>
      <c r="R13" s="480">
        <v>373</v>
      </c>
    </row>
    <row r="14" spans="1:18" ht="14.4" customHeight="1" x14ac:dyDescent="0.3">
      <c r="A14" s="476" t="s">
        <v>369</v>
      </c>
      <c r="B14" s="477" t="s">
        <v>370</v>
      </c>
      <c r="C14" s="477" t="s">
        <v>335</v>
      </c>
      <c r="D14" s="477" t="s">
        <v>371</v>
      </c>
      <c r="E14" s="477" t="s">
        <v>386</v>
      </c>
      <c r="F14" s="477" t="s">
        <v>387</v>
      </c>
      <c r="G14" s="478">
        <v>214</v>
      </c>
      <c r="H14" s="478">
        <v>86028</v>
      </c>
      <c r="I14" s="477">
        <v>0.77504099172958074</v>
      </c>
      <c r="J14" s="477">
        <v>402</v>
      </c>
      <c r="K14" s="478">
        <v>254</v>
      </c>
      <c r="L14" s="478">
        <v>110998</v>
      </c>
      <c r="M14" s="477">
        <v>1</v>
      </c>
      <c r="N14" s="477">
        <v>437</v>
      </c>
      <c r="O14" s="478">
        <v>275</v>
      </c>
      <c r="P14" s="478">
        <v>118525</v>
      </c>
      <c r="Q14" s="479">
        <v>1.0678120326492369</v>
      </c>
      <c r="R14" s="480">
        <v>431</v>
      </c>
    </row>
    <row r="15" spans="1:18" ht="14.4" customHeight="1" x14ac:dyDescent="0.3">
      <c r="A15" s="476" t="s">
        <v>369</v>
      </c>
      <c r="B15" s="477" t="s">
        <v>370</v>
      </c>
      <c r="C15" s="477" t="s">
        <v>335</v>
      </c>
      <c r="D15" s="477" t="s">
        <v>371</v>
      </c>
      <c r="E15" s="477" t="s">
        <v>386</v>
      </c>
      <c r="F15" s="477" t="s">
        <v>388</v>
      </c>
      <c r="G15" s="478">
        <v>147</v>
      </c>
      <c r="H15" s="478">
        <v>59094</v>
      </c>
      <c r="I15" s="477">
        <v>2.4586644476804658</v>
      </c>
      <c r="J15" s="477">
        <v>402</v>
      </c>
      <c r="K15" s="478">
        <v>55</v>
      </c>
      <c r="L15" s="478">
        <v>24035</v>
      </c>
      <c r="M15" s="477">
        <v>1</v>
      </c>
      <c r="N15" s="477">
        <v>437</v>
      </c>
      <c r="O15" s="478">
        <v>142</v>
      </c>
      <c r="P15" s="478">
        <v>61202</v>
      </c>
      <c r="Q15" s="479">
        <v>2.5463698772623258</v>
      </c>
      <c r="R15" s="480">
        <v>431</v>
      </c>
    </row>
    <row r="16" spans="1:18" ht="14.4" customHeight="1" thickBot="1" x14ac:dyDescent="0.35">
      <c r="A16" s="481" t="s">
        <v>369</v>
      </c>
      <c r="B16" s="482" t="s">
        <v>370</v>
      </c>
      <c r="C16" s="482" t="s">
        <v>335</v>
      </c>
      <c r="D16" s="482" t="s">
        <v>371</v>
      </c>
      <c r="E16" s="482" t="s">
        <v>389</v>
      </c>
      <c r="F16" s="482" t="s">
        <v>390</v>
      </c>
      <c r="G16" s="431">
        <v>30</v>
      </c>
      <c r="H16" s="431">
        <v>7950</v>
      </c>
      <c r="I16" s="482">
        <v>1.0842880523731588</v>
      </c>
      <c r="J16" s="482">
        <v>265</v>
      </c>
      <c r="K16" s="431">
        <v>26</v>
      </c>
      <c r="L16" s="431">
        <v>7332</v>
      </c>
      <c r="M16" s="482">
        <v>1</v>
      </c>
      <c r="N16" s="482">
        <v>282</v>
      </c>
      <c r="O16" s="431">
        <v>3</v>
      </c>
      <c r="P16" s="431">
        <v>849</v>
      </c>
      <c r="Q16" s="432">
        <v>0.11579378068739771</v>
      </c>
      <c r="R16" s="441">
        <v>283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16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1" customWidth="1"/>
    <col min="2" max="2" width="8.6640625" style="101" bestFit="1" customWidth="1"/>
    <col min="3" max="3" width="6.109375" style="101" customWidth="1"/>
    <col min="4" max="4" width="27.77734375" style="101" customWidth="1"/>
    <col min="5" max="5" width="2.109375" style="101" bestFit="1" customWidth="1"/>
    <col min="6" max="6" width="8" style="101" customWidth="1"/>
    <col min="7" max="7" width="50.88671875" style="101" bestFit="1" customWidth="1" collapsed="1"/>
    <col min="8" max="9" width="11.109375" style="176" hidden="1" customWidth="1" outlineLevel="1"/>
    <col min="10" max="11" width="9.33203125" style="101" hidden="1" customWidth="1"/>
    <col min="12" max="13" width="11.109375" style="176" customWidth="1"/>
    <col min="14" max="15" width="9.33203125" style="101" hidden="1" customWidth="1"/>
    <col min="16" max="17" width="11.109375" style="176" customWidth="1"/>
    <col min="18" max="18" width="11.109375" style="179" customWidth="1"/>
    <col min="19" max="19" width="11.109375" style="176" customWidth="1"/>
    <col min="20" max="16384" width="8.88671875" style="101"/>
  </cols>
  <sheetData>
    <row r="1" spans="1:19" ht="18.600000000000001" customHeight="1" thickBot="1" x14ac:dyDescent="0.4">
      <c r="A1" s="288" t="s">
        <v>392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</row>
    <row r="2" spans="1:19" ht="14.4" customHeight="1" thickBot="1" x14ac:dyDescent="0.35">
      <c r="A2" s="193" t="s">
        <v>220</v>
      </c>
      <c r="B2" s="166"/>
      <c r="C2" s="166"/>
      <c r="D2" s="166"/>
      <c r="E2" s="83"/>
      <c r="F2" s="83"/>
      <c r="G2" s="83"/>
      <c r="H2" s="191"/>
      <c r="I2" s="191"/>
      <c r="J2" s="83"/>
      <c r="K2" s="83"/>
      <c r="L2" s="191"/>
      <c r="M2" s="191"/>
      <c r="N2" s="83"/>
      <c r="O2" s="83"/>
      <c r="P2" s="191"/>
      <c r="Q2" s="191"/>
      <c r="R2" s="188"/>
      <c r="S2" s="191"/>
    </row>
    <row r="3" spans="1:19" ht="14.4" customHeight="1" thickBot="1" x14ac:dyDescent="0.35">
      <c r="G3" s="62" t="s">
        <v>99</v>
      </c>
      <c r="H3" s="74">
        <f t="shared" ref="H3:Q3" si="0">SUBTOTAL(9,H6:H1048576)</f>
        <v>1488</v>
      </c>
      <c r="I3" s="75">
        <f t="shared" si="0"/>
        <v>657562</v>
      </c>
      <c r="J3" s="57"/>
      <c r="K3" s="57"/>
      <c r="L3" s="75">
        <f t="shared" si="0"/>
        <v>1244</v>
      </c>
      <c r="M3" s="75">
        <f t="shared" si="0"/>
        <v>569207.66999999993</v>
      </c>
      <c r="N3" s="57"/>
      <c r="O3" s="57"/>
      <c r="P3" s="75">
        <f t="shared" si="0"/>
        <v>1454</v>
      </c>
      <c r="Q3" s="75">
        <f t="shared" si="0"/>
        <v>665689</v>
      </c>
      <c r="R3" s="58">
        <f>IF(M3=0,0,Q3/M3)</f>
        <v>1.1695011066874768</v>
      </c>
      <c r="S3" s="76">
        <f>IF(P3=0,0,Q3/P3)</f>
        <v>457.83287482806054</v>
      </c>
    </row>
    <row r="4" spans="1:19" ht="14.4" customHeight="1" x14ac:dyDescent="0.3">
      <c r="A4" s="375" t="s">
        <v>183</v>
      </c>
      <c r="B4" s="375" t="s">
        <v>70</v>
      </c>
      <c r="C4" s="383" t="s">
        <v>0</v>
      </c>
      <c r="D4" s="227" t="s">
        <v>100</v>
      </c>
      <c r="E4" s="377" t="s">
        <v>71</v>
      </c>
      <c r="F4" s="382" t="s">
        <v>46</v>
      </c>
      <c r="G4" s="378" t="s">
        <v>45</v>
      </c>
      <c r="H4" s="379">
        <v>2015</v>
      </c>
      <c r="I4" s="380"/>
      <c r="J4" s="73"/>
      <c r="K4" s="73"/>
      <c r="L4" s="379">
        <v>2016</v>
      </c>
      <c r="M4" s="380"/>
      <c r="N4" s="73"/>
      <c r="O4" s="73"/>
      <c r="P4" s="379">
        <v>2017</v>
      </c>
      <c r="Q4" s="380"/>
      <c r="R4" s="381" t="s">
        <v>2</v>
      </c>
      <c r="S4" s="376" t="s">
        <v>73</v>
      </c>
    </row>
    <row r="5" spans="1:19" ht="14.4" customHeight="1" thickBot="1" x14ac:dyDescent="0.35">
      <c r="A5" s="464"/>
      <c r="B5" s="464"/>
      <c r="C5" s="465"/>
      <c r="D5" s="483"/>
      <c r="E5" s="466"/>
      <c r="F5" s="467"/>
      <c r="G5" s="468"/>
      <c r="H5" s="469" t="s">
        <v>47</v>
      </c>
      <c r="I5" s="470" t="s">
        <v>4</v>
      </c>
      <c r="J5" s="471"/>
      <c r="K5" s="471"/>
      <c r="L5" s="469" t="s">
        <v>47</v>
      </c>
      <c r="M5" s="470" t="s">
        <v>4</v>
      </c>
      <c r="N5" s="471"/>
      <c r="O5" s="471"/>
      <c r="P5" s="469" t="s">
        <v>47</v>
      </c>
      <c r="Q5" s="470" t="s">
        <v>4</v>
      </c>
      <c r="R5" s="472"/>
      <c r="S5" s="473"/>
    </row>
    <row r="6" spans="1:19" ht="14.4" customHeight="1" x14ac:dyDescent="0.3">
      <c r="A6" s="474" t="s">
        <v>369</v>
      </c>
      <c r="B6" s="475" t="s">
        <v>370</v>
      </c>
      <c r="C6" s="475" t="s">
        <v>335</v>
      </c>
      <c r="D6" s="475" t="s">
        <v>364</v>
      </c>
      <c r="E6" s="475" t="s">
        <v>371</v>
      </c>
      <c r="F6" s="475" t="s">
        <v>372</v>
      </c>
      <c r="G6" s="475" t="s">
        <v>373</v>
      </c>
      <c r="H6" s="428">
        <v>3</v>
      </c>
      <c r="I6" s="428">
        <v>105</v>
      </c>
      <c r="J6" s="475"/>
      <c r="K6" s="475">
        <v>35</v>
      </c>
      <c r="L6" s="428"/>
      <c r="M6" s="428"/>
      <c r="N6" s="475"/>
      <c r="O6" s="475"/>
      <c r="P6" s="428"/>
      <c r="Q6" s="428"/>
      <c r="R6" s="429"/>
      <c r="S6" s="440"/>
    </row>
    <row r="7" spans="1:19" ht="14.4" customHeight="1" x14ac:dyDescent="0.3">
      <c r="A7" s="476" t="s">
        <v>369</v>
      </c>
      <c r="B7" s="477" t="s">
        <v>370</v>
      </c>
      <c r="C7" s="477" t="s">
        <v>335</v>
      </c>
      <c r="D7" s="477" t="s">
        <v>364</v>
      </c>
      <c r="E7" s="477" t="s">
        <v>371</v>
      </c>
      <c r="F7" s="477" t="s">
        <v>374</v>
      </c>
      <c r="G7" s="477" t="s">
        <v>375</v>
      </c>
      <c r="H7" s="478">
        <v>1</v>
      </c>
      <c r="I7" s="478">
        <v>133</v>
      </c>
      <c r="J7" s="477">
        <v>0.94326241134751776</v>
      </c>
      <c r="K7" s="477">
        <v>133</v>
      </c>
      <c r="L7" s="478">
        <v>1</v>
      </c>
      <c r="M7" s="478">
        <v>141</v>
      </c>
      <c r="N7" s="477">
        <v>1</v>
      </c>
      <c r="O7" s="477">
        <v>141</v>
      </c>
      <c r="P7" s="478">
        <v>7</v>
      </c>
      <c r="Q7" s="478">
        <v>987</v>
      </c>
      <c r="R7" s="479">
        <v>7</v>
      </c>
      <c r="S7" s="480">
        <v>141</v>
      </c>
    </row>
    <row r="8" spans="1:19" ht="14.4" customHeight="1" x14ac:dyDescent="0.3">
      <c r="A8" s="476" t="s">
        <v>369</v>
      </c>
      <c r="B8" s="477" t="s">
        <v>370</v>
      </c>
      <c r="C8" s="477" t="s">
        <v>335</v>
      </c>
      <c r="D8" s="477" t="s">
        <v>364</v>
      </c>
      <c r="E8" s="477" t="s">
        <v>371</v>
      </c>
      <c r="F8" s="477" t="s">
        <v>376</v>
      </c>
      <c r="G8" s="477" t="s">
        <v>377</v>
      </c>
      <c r="H8" s="478">
        <v>94</v>
      </c>
      <c r="I8" s="478">
        <v>25192</v>
      </c>
      <c r="J8" s="477">
        <v>0.61384015594541907</v>
      </c>
      <c r="K8" s="477">
        <v>268</v>
      </c>
      <c r="L8" s="478">
        <v>144</v>
      </c>
      <c r="M8" s="478">
        <v>41040</v>
      </c>
      <c r="N8" s="477">
        <v>1</v>
      </c>
      <c r="O8" s="477">
        <v>285</v>
      </c>
      <c r="P8" s="478">
        <v>136</v>
      </c>
      <c r="Q8" s="478">
        <v>37944</v>
      </c>
      <c r="R8" s="479">
        <v>0.92456140350877192</v>
      </c>
      <c r="S8" s="480">
        <v>279</v>
      </c>
    </row>
    <row r="9" spans="1:19" ht="14.4" customHeight="1" x14ac:dyDescent="0.3">
      <c r="A9" s="476" t="s">
        <v>369</v>
      </c>
      <c r="B9" s="477" t="s">
        <v>370</v>
      </c>
      <c r="C9" s="477" t="s">
        <v>335</v>
      </c>
      <c r="D9" s="477" t="s">
        <v>364</v>
      </c>
      <c r="E9" s="477" t="s">
        <v>371</v>
      </c>
      <c r="F9" s="477" t="s">
        <v>376</v>
      </c>
      <c r="G9" s="477" t="s">
        <v>378</v>
      </c>
      <c r="H9" s="478">
        <v>101</v>
      </c>
      <c r="I9" s="478">
        <v>27068</v>
      </c>
      <c r="J9" s="477">
        <v>2.9679824561403509</v>
      </c>
      <c r="K9" s="477">
        <v>268</v>
      </c>
      <c r="L9" s="478">
        <v>32</v>
      </c>
      <c r="M9" s="478">
        <v>9120</v>
      </c>
      <c r="N9" s="477">
        <v>1</v>
      </c>
      <c r="O9" s="477">
        <v>285</v>
      </c>
      <c r="P9" s="478">
        <v>64</v>
      </c>
      <c r="Q9" s="478">
        <v>17856</v>
      </c>
      <c r="R9" s="479">
        <v>1.9578947368421054</v>
      </c>
      <c r="S9" s="480">
        <v>279</v>
      </c>
    </row>
    <row r="10" spans="1:19" ht="14.4" customHeight="1" x14ac:dyDescent="0.3">
      <c r="A10" s="476" t="s">
        <v>369</v>
      </c>
      <c r="B10" s="477" t="s">
        <v>370</v>
      </c>
      <c r="C10" s="477" t="s">
        <v>335</v>
      </c>
      <c r="D10" s="477" t="s">
        <v>364</v>
      </c>
      <c r="E10" s="477" t="s">
        <v>371</v>
      </c>
      <c r="F10" s="477" t="s">
        <v>379</v>
      </c>
      <c r="G10" s="477" t="s">
        <v>380</v>
      </c>
      <c r="H10" s="478">
        <v>520</v>
      </c>
      <c r="I10" s="478">
        <v>269360</v>
      </c>
      <c r="J10" s="477">
        <v>0.96836701311120621</v>
      </c>
      <c r="K10" s="477">
        <v>518</v>
      </c>
      <c r="L10" s="478">
        <v>503</v>
      </c>
      <c r="M10" s="478">
        <v>278159</v>
      </c>
      <c r="N10" s="477">
        <v>1</v>
      </c>
      <c r="O10" s="477">
        <v>553</v>
      </c>
      <c r="P10" s="478">
        <v>522</v>
      </c>
      <c r="Q10" s="478">
        <v>289188</v>
      </c>
      <c r="R10" s="479">
        <v>1.0396499843614624</v>
      </c>
      <c r="S10" s="480">
        <v>554</v>
      </c>
    </row>
    <row r="11" spans="1:19" ht="14.4" customHeight="1" x14ac:dyDescent="0.3">
      <c r="A11" s="476" t="s">
        <v>369</v>
      </c>
      <c r="B11" s="477" t="s">
        <v>370</v>
      </c>
      <c r="C11" s="477" t="s">
        <v>335</v>
      </c>
      <c r="D11" s="477" t="s">
        <v>364</v>
      </c>
      <c r="E11" s="477" t="s">
        <v>371</v>
      </c>
      <c r="F11" s="477" t="s">
        <v>379</v>
      </c>
      <c r="G11" s="477" t="s">
        <v>381</v>
      </c>
      <c r="H11" s="478">
        <v>324</v>
      </c>
      <c r="I11" s="478">
        <v>167832</v>
      </c>
      <c r="J11" s="477">
        <v>2.1075949367088609</v>
      </c>
      <c r="K11" s="477">
        <v>518</v>
      </c>
      <c r="L11" s="478">
        <v>144</v>
      </c>
      <c r="M11" s="478">
        <v>79632</v>
      </c>
      <c r="N11" s="477">
        <v>1</v>
      </c>
      <c r="O11" s="477">
        <v>553</v>
      </c>
      <c r="P11" s="478">
        <v>219</v>
      </c>
      <c r="Q11" s="478">
        <v>121326</v>
      </c>
      <c r="R11" s="479">
        <v>1.5235834840265221</v>
      </c>
      <c r="S11" s="480">
        <v>554</v>
      </c>
    </row>
    <row r="12" spans="1:19" ht="14.4" customHeight="1" x14ac:dyDescent="0.3">
      <c r="A12" s="476" t="s">
        <v>369</v>
      </c>
      <c r="B12" s="477" t="s">
        <v>370</v>
      </c>
      <c r="C12" s="477" t="s">
        <v>335</v>
      </c>
      <c r="D12" s="477" t="s">
        <v>364</v>
      </c>
      <c r="E12" s="477" t="s">
        <v>371</v>
      </c>
      <c r="F12" s="477" t="s">
        <v>382</v>
      </c>
      <c r="G12" s="477" t="s">
        <v>383</v>
      </c>
      <c r="H12" s="478">
        <v>12</v>
      </c>
      <c r="I12" s="478">
        <v>100</v>
      </c>
      <c r="J12" s="477">
        <v>7.8947160665366667E-2</v>
      </c>
      <c r="K12" s="477">
        <v>8.3333333333333339</v>
      </c>
      <c r="L12" s="478">
        <v>38</v>
      </c>
      <c r="M12" s="478">
        <v>1266.67</v>
      </c>
      <c r="N12" s="477">
        <v>1</v>
      </c>
      <c r="O12" s="477">
        <v>33.333421052631579</v>
      </c>
      <c r="P12" s="478">
        <v>42</v>
      </c>
      <c r="Q12" s="478">
        <v>1400</v>
      </c>
      <c r="R12" s="479">
        <v>1.1052602493151333</v>
      </c>
      <c r="S12" s="480">
        <v>33.333333333333336</v>
      </c>
    </row>
    <row r="13" spans="1:19" ht="14.4" customHeight="1" x14ac:dyDescent="0.3">
      <c r="A13" s="476" t="s">
        <v>369</v>
      </c>
      <c r="B13" s="477" t="s">
        <v>370</v>
      </c>
      <c r="C13" s="477" t="s">
        <v>335</v>
      </c>
      <c r="D13" s="477" t="s">
        <v>364</v>
      </c>
      <c r="E13" s="477" t="s">
        <v>371</v>
      </c>
      <c r="F13" s="477" t="s">
        <v>384</v>
      </c>
      <c r="G13" s="477" t="s">
        <v>385</v>
      </c>
      <c r="H13" s="478">
        <v>42</v>
      </c>
      <c r="I13" s="478">
        <v>14700</v>
      </c>
      <c r="J13" s="477">
        <v>0.8407687028140014</v>
      </c>
      <c r="K13" s="477">
        <v>350</v>
      </c>
      <c r="L13" s="478">
        <v>47</v>
      </c>
      <c r="M13" s="478">
        <v>17484</v>
      </c>
      <c r="N13" s="477">
        <v>1</v>
      </c>
      <c r="O13" s="477">
        <v>372</v>
      </c>
      <c r="P13" s="478">
        <v>44</v>
      </c>
      <c r="Q13" s="478">
        <v>16412</v>
      </c>
      <c r="R13" s="479">
        <v>0.93868679935941435</v>
      </c>
      <c r="S13" s="480">
        <v>373</v>
      </c>
    </row>
    <row r="14" spans="1:19" ht="14.4" customHeight="1" x14ac:dyDescent="0.3">
      <c r="A14" s="476" t="s">
        <v>369</v>
      </c>
      <c r="B14" s="477" t="s">
        <v>370</v>
      </c>
      <c r="C14" s="477" t="s">
        <v>335</v>
      </c>
      <c r="D14" s="477" t="s">
        <v>364</v>
      </c>
      <c r="E14" s="477" t="s">
        <v>371</v>
      </c>
      <c r="F14" s="477" t="s">
        <v>386</v>
      </c>
      <c r="G14" s="477" t="s">
        <v>387</v>
      </c>
      <c r="H14" s="478">
        <v>214</v>
      </c>
      <c r="I14" s="478">
        <v>86028</v>
      </c>
      <c r="J14" s="477">
        <v>0.77504099172958074</v>
      </c>
      <c r="K14" s="477">
        <v>402</v>
      </c>
      <c r="L14" s="478">
        <v>254</v>
      </c>
      <c r="M14" s="478">
        <v>110998</v>
      </c>
      <c r="N14" s="477">
        <v>1</v>
      </c>
      <c r="O14" s="477">
        <v>437</v>
      </c>
      <c r="P14" s="478">
        <v>275</v>
      </c>
      <c r="Q14" s="478">
        <v>118525</v>
      </c>
      <c r="R14" s="479">
        <v>1.0678120326492369</v>
      </c>
      <c r="S14" s="480">
        <v>431</v>
      </c>
    </row>
    <row r="15" spans="1:19" ht="14.4" customHeight="1" x14ac:dyDescent="0.3">
      <c r="A15" s="476" t="s">
        <v>369</v>
      </c>
      <c r="B15" s="477" t="s">
        <v>370</v>
      </c>
      <c r="C15" s="477" t="s">
        <v>335</v>
      </c>
      <c r="D15" s="477" t="s">
        <v>364</v>
      </c>
      <c r="E15" s="477" t="s">
        <v>371</v>
      </c>
      <c r="F15" s="477" t="s">
        <v>386</v>
      </c>
      <c r="G15" s="477" t="s">
        <v>388</v>
      </c>
      <c r="H15" s="478">
        <v>147</v>
      </c>
      <c r="I15" s="478">
        <v>59094</v>
      </c>
      <c r="J15" s="477">
        <v>2.4586644476804658</v>
      </c>
      <c r="K15" s="477">
        <v>402</v>
      </c>
      <c r="L15" s="478">
        <v>55</v>
      </c>
      <c r="M15" s="478">
        <v>24035</v>
      </c>
      <c r="N15" s="477">
        <v>1</v>
      </c>
      <c r="O15" s="477">
        <v>437</v>
      </c>
      <c r="P15" s="478">
        <v>142</v>
      </c>
      <c r="Q15" s="478">
        <v>61202</v>
      </c>
      <c r="R15" s="479">
        <v>2.5463698772623258</v>
      </c>
      <c r="S15" s="480">
        <v>431</v>
      </c>
    </row>
    <row r="16" spans="1:19" ht="14.4" customHeight="1" thickBot="1" x14ac:dyDescent="0.35">
      <c r="A16" s="481" t="s">
        <v>369</v>
      </c>
      <c r="B16" s="482" t="s">
        <v>370</v>
      </c>
      <c r="C16" s="482" t="s">
        <v>335</v>
      </c>
      <c r="D16" s="482" t="s">
        <v>364</v>
      </c>
      <c r="E16" s="482" t="s">
        <v>371</v>
      </c>
      <c r="F16" s="482" t="s">
        <v>389</v>
      </c>
      <c r="G16" s="482" t="s">
        <v>390</v>
      </c>
      <c r="H16" s="431">
        <v>30</v>
      </c>
      <c r="I16" s="431">
        <v>7950</v>
      </c>
      <c r="J16" s="482">
        <v>1.0842880523731588</v>
      </c>
      <c r="K16" s="482">
        <v>265</v>
      </c>
      <c r="L16" s="431">
        <v>26</v>
      </c>
      <c r="M16" s="431">
        <v>7332</v>
      </c>
      <c r="N16" s="482">
        <v>1</v>
      </c>
      <c r="O16" s="482">
        <v>282</v>
      </c>
      <c r="P16" s="431">
        <v>3</v>
      </c>
      <c r="Q16" s="431">
        <v>849</v>
      </c>
      <c r="R16" s="432">
        <v>0.11579378068739771</v>
      </c>
      <c r="S16" s="441">
        <v>283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1" bestFit="1" customWidth="1" collapsed="1"/>
    <col min="2" max="2" width="7.77734375" style="78" hidden="1" customWidth="1" outlineLevel="1"/>
    <col min="3" max="3" width="0.109375" style="101" hidden="1" customWidth="1"/>
    <col min="4" max="4" width="7.77734375" style="78" customWidth="1"/>
    <col min="5" max="5" width="5.44140625" style="101" hidden="1" customWidth="1"/>
    <col min="6" max="6" width="7.77734375" style="78" customWidth="1"/>
    <col min="7" max="7" width="7.77734375" style="179" customWidth="1" collapsed="1"/>
    <col min="8" max="8" width="7.77734375" style="78" hidden="1" customWidth="1" outlineLevel="1"/>
    <col min="9" max="9" width="5.44140625" style="101" hidden="1" customWidth="1"/>
    <col min="10" max="10" width="7.77734375" style="78" customWidth="1"/>
    <col min="11" max="11" width="5.44140625" style="101" hidden="1" customWidth="1"/>
    <col min="12" max="12" width="7.77734375" style="78" customWidth="1"/>
    <col min="13" max="13" width="7.77734375" style="179" customWidth="1" collapsed="1"/>
    <col min="14" max="14" width="7.77734375" style="78" hidden="1" customWidth="1" outlineLevel="1"/>
    <col min="15" max="15" width="5" style="101" hidden="1" customWidth="1"/>
    <col min="16" max="16" width="7.77734375" style="78" customWidth="1"/>
    <col min="17" max="17" width="5" style="101" hidden="1" customWidth="1"/>
    <col min="18" max="18" width="7.77734375" style="78" customWidth="1"/>
    <col min="19" max="19" width="7.77734375" style="179" customWidth="1"/>
    <col min="20" max="16384" width="8.88671875" style="101"/>
  </cols>
  <sheetData>
    <row r="1" spans="1:19" ht="18.600000000000001" customHeight="1" thickBot="1" x14ac:dyDescent="0.4">
      <c r="A1" s="300" t="s">
        <v>98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</row>
    <row r="2" spans="1:19" ht="14.4" customHeight="1" thickBot="1" x14ac:dyDescent="0.35">
      <c r="A2" s="193" t="s">
        <v>220</v>
      </c>
      <c r="B2" s="187"/>
      <c r="C2" s="83"/>
      <c r="D2" s="187"/>
      <c r="E2" s="83"/>
      <c r="F2" s="187"/>
      <c r="G2" s="188"/>
      <c r="H2" s="187"/>
      <c r="I2" s="83"/>
      <c r="J2" s="187"/>
      <c r="K2" s="83"/>
      <c r="L2" s="187"/>
      <c r="M2" s="188"/>
      <c r="N2" s="187"/>
      <c r="O2" s="83"/>
      <c r="P2" s="187"/>
      <c r="Q2" s="83"/>
      <c r="R2" s="187"/>
      <c r="S2" s="188"/>
    </row>
    <row r="3" spans="1:19" ht="14.4" customHeight="1" thickBot="1" x14ac:dyDescent="0.35">
      <c r="A3" s="181" t="s">
        <v>99</v>
      </c>
      <c r="B3" s="182">
        <f>SUBTOTAL(9,B6:B1048576)</f>
        <v>1113372.32</v>
      </c>
      <c r="C3" s="183">
        <f t="shared" ref="C3:R3" si="0">SUBTOTAL(9,C6:C1048576)</f>
        <v>15.553659012830405</v>
      </c>
      <c r="D3" s="183">
        <f t="shared" si="0"/>
        <v>1216270.99</v>
      </c>
      <c r="E3" s="183">
        <f t="shared" si="0"/>
        <v>13</v>
      </c>
      <c r="F3" s="183">
        <f t="shared" si="0"/>
        <v>561152.34</v>
      </c>
      <c r="G3" s="186">
        <f>IF(D3&lt;&gt;0,F3/D3,"")</f>
        <v>0.46137114558656039</v>
      </c>
      <c r="H3" s="182">
        <f t="shared" si="0"/>
        <v>0</v>
      </c>
      <c r="I3" s="183">
        <f t="shared" si="0"/>
        <v>0</v>
      </c>
      <c r="J3" s="183">
        <f t="shared" si="0"/>
        <v>0</v>
      </c>
      <c r="K3" s="183">
        <f t="shared" si="0"/>
        <v>0</v>
      </c>
      <c r="L3" s="183">
        <f t="shared" si="0"/>
        <v>0</v>
      </c>
      <c r="M3" s="184" t="str">
        <f>IF(J3&lt;&gt;0,L3/J3,"")</f>
        <v/>
      </c>
      <c r="N3" s="185">
        <f t="shared" si="0"/>
        <v>0</v>
      </c>
      <c r="O3" s="183">
        <f t="shared" si="0"/>
        <v>0</v>
      </c>
      <c r="P3" s="183">
        <f t="shared" si="0"/>
        <v>0</v>
      </c>
      <c r="Q3" s="183">
        <f t="shared" si="0"/>
        <v>0</v>
      </c>
      <c r="R3" s="183">
        <f t="shared" si="0"/>
        <v>0</v>
      </c>
      <c r="S3" s="184" t="str">
        <f>IF(P3&lt;&gt;0,R3/P3,"")</f>
        <v/>
      </c>
    </row>
    <row r="4" spans="1:19" ht="14.4" customHeight="1" x14ac:dyDescent="0.3">
      <c r="A4" s="368" t="s">
        <v>80</v>
      </c>
      <c r="B4" s="369" t="s">
        <v>74</v>
      </c>
      <c r="C4" s="370"/>
      <c r="D4" s="370"/>
      <c r="E4" s="370"/>
      <c r="F4" s="370"/>
      <c r="G4" s="372"/>
      <c r="H4" s="369" t="s">
        <v>75</v>
      </c>
      <c r="I4" s="370"/>
      <c r="J4" s="370"/>
      <c r="K4" s="370"/>
      <c r="L4" s="370"/>
      <c r="M4" s="372"/>
      <c r="N4" s="369" t="s">
        <v>76</v>
      </c>
      <c r="O4" s="370"/>
      <c r="P4" s="370"/>
      <c r="Q4" s="370"/>
      <c r="R4" s="370"/>
      <c r="S4" s="372"/>
    </row>
    <row r="5" spans="1:19" ht="14.4" customHeight="1" thickBot="1" x14ac:dyDescent="0.35">
      <c r="A5" s="444"/>
      <c r="B5" s="445">
        <v>2015</v>
      </c>
      <c r="C5" s="446"/>
      <c r="D5" s="446">
        <v>2016</v>
      </c>
      <c r="E5" s="446"/>
      <c r="F5" s="446">
        <v>2017</v>
      </c>
      <c r="G5" s="484" t="s">
        <v>2</v>
      </c>
      <c r="H5" s="445">
        <v>2015</v>
      </c>
      <c r="I5" s="446"/>
      <c r="J5" s="446">
        <v>2016</v>
      </c>
      <c r="K5" s="446"/>
      <c r="L5" s="446">
        <v>2017</v>
      </c>
      <c r="M5" s="484" t="s">
        <v>2</v>
      </c>
      <c r="N5" s="445">
        <v>2015</v>
      </c>
      <c r="O5" s="446"/>
      <c r="P5" s="446">
        <v>2016</v>
      </c>
      <c r="Q5" s="446"/>
      <c r="R5" s="446">
        <v>2017</v>
      </c>
      <c r="S5" s="484" t="s">
        <v>2</v>
      </c>
    </row>
    <row r="6" spans="1:19" ht="14.4" customHeight="1" x14ac:dyDescent="0.3">
      <c r="A6" s="427" t="s">
        <v>393</v>
      </c>
      <c r="B6" s="485">
        <v>6048</v>
      </c>
      <c r="C6" s="475">
        <v>0.75373878364905289</v>
      </c>
      <c r="D6" s="485">
        <v>8024</v>
      </c>
      <c r="E6" s="475">
        <v>1</v>
      </c>
      <c r="F6" s="485">
        <v>554</v>
      </c>
      <c r="G6" s="429">
        <v>6.9042871385842475E-2</v>
      </c>
      <c r="H6" s="485"/>
      <c r="I6" s="475"/>
      <c r="J6" s="485"/>
      <c r="K6" s="475"/>
      <c r="L6" s="485"/>
      <c r="M6" s="429"/>
      <c r="N6" s="485"/>
      <c r="O6" s="475"/>
      <c r="P6" s="485"/>
      <c r="Q6" s="475"/>
      <c r="R6" s="485"/>
      <c r="S6" s="430"/>
    </row>
    <row r="7" spans="1:19" ht="14.4" customHeight="1" x14ac:dyDescent="0.3">
      <c r="A7" s="489" t="s">
        <v>394</v>
      </c>
      <c r="B7" s="486">
        <v>2072</v>
      </c>
      <c r="C7" s="477">
        <v>7.3475177304964543</v>
      </c>
      <c r="D7" s="486">
        <v>282</v>
      </c>
      <c r="E7" s="477">
        <v>1</v>
      </c>
      <c r="F7" s="486">
        <v>1108</v>
      </c>
      <c r="G7" s="479">
        <v>3.9290780141843973</v>
      </c>
      <c r="H7" s="486"/>
      <c r="I7" s="477"/>
      <c r="J7" s="486"/>
      <c r="K7" s="477"/>
      <c r="L7" s="486"/>
      <c r="M7" s="479"/>
      <c r="N7" s="486"/>
      <c r="O7" s="477"/>
      <c r="P7" s="486"/>
      <c r="Q7" s="477"/>
      <c r="R7" s="486"/>
      <c r="S7" s="487"/>
    </row>
    <row r="8" spans="1:19" ht="14.4" customHeight="1" x14ac:dyDescent="0.3">
      <c r="A8" s="489" t="s">
        <v>395</v>
      </c>
      <c r="B8" s="486">
        <v>3108</v>
      </c>
      <c r="C8" s="477">
        <v>2.1028416779431662</v>
      </c>
      <c r="D8" s="486">
        <v>1478</v>
      </c>
      <c r="E8" s="477">
        <v>1</v>
      </c>
      <c r="F8" s="486">
        <v>4817</v>
      </c>
      <c r="G8" s="479">
        <v>3.2591339648173205</v>
      </c>
      <c r="H8" s="486"/>
      <c r="I8" s="477"/>
      <c r="J8" s="486"/>
      <c r="K8" s="477"/>
      <c r="L8" s="486"/>
      <c r="M8" s="479"/>
      <c r="N8" s="486"/>
      <c r="O8" s="477"/>
      <c r="P8" s="486"/>
      <c r="Q8" s="477"/>
      <c r="R8" s="486"/>
      <c r="S8" s="487"/>
    </row>
    <row r="9" spans="1:19" ht="14.4" customHeight="1" x14ac:dyDescent="0.3">
      <c r="A9" s="489" t="s">
        <v>396</v>
      </c>
      <c r="B9" s="486">
        <v>1554</v>
      </c>
      <c r="C9" s="477"/>
      <c r="D9" s="486"/>
      <c r="E9" s="477"/>
      <c r="F9" s="486"/>
      <c r="G9" s="479"/>
      <c r="H9" s="486"/>
      <c r="I9" s="477"/>
      <c r="J9" s="486"/>
      <c r="K9" s="477"/>
      <c r="L9" s="486"/>
      <c r="M9" s="479"/>
      <c r="N9" s="486"/>
      <c r="O9" s="477"/>
      <c r="P9" s="486"/>
      <c r="Q9" s="477"/>
      <c r="R9" s="486"/>
      <c r="S9" s="487"/>
    </row>
    <row r="10" spans="1:19" ht="14.4" customHeight="1" x14ac:dyDescent="0.3">
      <c r="A10" s="489" t="s">
        <v>397</v>
      </c>
      <c r="B10" s="486"/>
      <c r="C10" s="477"/>
      <c r="D10" s="486">
        <v>553</v>
      </c>
      <c r="E10" s="477">
        <v>1</v>
      </c>
      <c r="F10" s="486">
        <v>554</v>
      </c>
      <c r="G10" s="479">
        <v>1.0018083182640145</v>
      </c>
      <c r="H10" s="486"/>
      <c r="I10" s="477"/>
      <c r="J10" s="486"/>
      <c r="K10" s="477"/>
      <c r="L10" s="486"/>
      <c r="M10" s="479"/>
      <c r="N10" s="486"/>
      <c r="O10" s="477"/>
      <c r="P10" s="486"/>
      <c r="Q10" s="477"/>
      <c r="R10" s="486"/>
      <c r="S10" s="487"/>
    </row>
    <row r="11" spans="1:19" ht="14.4" customHeight="1" x14ac:dyDescent="0.3">
      <c r="A11" s="489" t="s">
        <v>398</v>
      </c>
      <c r="B11" s="486">
        <v>12728</v>
      </c>
      <c r="C11" s="477">
        <v>0.52031722671899272</v>
      </c>
      <c r="D11" s="486">
        <v>24462</v>
      </c>
      <c r="E11" s="477">
        <v>1</v>
      </c>
      <c r="F11" s="486">
        <v>14336</v>
      </c>
      <c r="G11" s="479">
        <v>0.5860518354999591</v>
      </c>
      <c r="H11" s="486"/>
      <c r="I11" s="477"/>
      <c r="J11" s="486"/>
      <c r="K11" s="477"/>
      <c r="L11" s="486"/>
      <c r="M11" s="479"/>
      <c r="N11" s="486"/>
      <c r="O11" s="477"/>
      <c r="P11" s="486"/>
      <c r="Q11" s="477"/>
      <c r="R11" s="486"/>
      <c r="S11" s="487"/>
    </row>
    <row r="12" spans="1:19" ht="14.4" customHeight="1" x14ac:dyDescent="0.3">
      <c r="A12" s="489" t="s">
        <v>399</v>
      </c>
      <c r="B12" s="486">
        <v>350</v>
      </c>
      <c r="C12" s="477"/>
      <c r="D12" s="486"/>
      <c r="E12" s="477"/>
      <c r="F12" s="486"/>
      <c r="G12" s="479"/>
      <c r="H12" s="486"/>
      <c r="I12" s="477"/>
      <c r="J12" s="486"/>
      <c r="K12" s="477"/>
      <c r="L12" s="486"/>
      <c r="M12" s="479"/>
      <c r="N12" s="486"/>
      <c r="O12" s="477"/>
      <c r="P12" s="486"/>
      <c r="Q12" s="477"/>
      <c r="R12" s="486"/>
      <c r="S12" s="487"/>
    </row>
    <row r="13" spans="1:19" ht="14.4" customHeight="1" x14ac:dyDescent="0.3">
      <c r="A13" s="489" t="s">
        <v>400</v>
      </c>
      <c r="B13" s="486">
        <v>4494</v>
      </c>
      <c r="C13" s="477"/>
      <c r="D13" s="486"/>
      <c r="E13" s="477"/>
      <c r="F13" s="486"/>
      <c r="G13" s="479"/>
      <c r="H13" s="486"/>
      <c r="I13" s="477"/>
      <c r="J13" s="486"/>
      <c r="K13" s="477"/>
      <c r="L13" s="486"/>
      <c r="M13" s="479"/>
      <c r="N13" s="486"/>
      <c r="O13" s="477"/>
      <c r="P13" s="486"/>
      <c r="Q13" s="477"/>
      <c r="R13" s="486"/>
      <c r="S13" s="487"/>
    </row>
    <row r="14" spans="1:19" ht="14.4" customHeight="1" x14ac:dyDescent="0.3">
      <c r="A14" s="489" t="s">
        <v>401</v>
      </c>
      <c r="B14" s="486"/>
      <c r="C14" s="477"/>
      <c r="D14" s="486">
        <v>2617.33</v>
      </c>
      <c r="E14" s="477">
        <v>1</v>
      </c>
      <c r="F14" s="486"/>
      <c r="G14" s="479"/>
      <c r="H14" s="486"/>
      <c r="I14" s="477"/>
      <c r="J14" s="486"/>
      <c r="K14" s="477"/>
      <c r="L14" s="486"/>
      <c r="M14" s="479"/>
      <c r="N14" s="486"/>
      <c r="O14" s="477"/>
      <c r="P14" s="486"/>
      <c r="Q14" s="477"/>
      <c r="R14" s="486"/>
      <c r="S14" s="487"/>
    </row>
    <row r="15" spans="1:19" ht="14.4" customHeight="1" x14ac:dyDescent="0.3">
      <c r="A15" s="489" t="s">
        <v>402</v>
      </c>
      <c r="B15" s="486"/>
      <c r="C15" s="477"/>
      <c r="D15" s="486">
        <v>2031</v>
      </c>
      <c r="E15" s="477">
        <v>1</v>
      </c>
      <c r="F15" s="486"/>
      <c r="G15" s="479"/>
      <c r="H15" s="486"/>
      <c r="I15" s="477"/>
      <c r="J15" s="486"/>
      <c r="K15" s="477"/>
      <c r="L15" s="486"/>
      <c r="M15" s="479"/>
      <c r="N15" s="486"/>
      <c r="O15" s="477"/>
      <c r="P15" s="486"/>
      <c r="Q15" s="477"/>
      <c r="R15" s="486"/>
      <c r="S15" s="487"/>
    </row>
    <row r="16" spans="1:19" ht="14.4" customHeight="1" x14ac:dyDescent="0.3">
      <c r="A16" s="489" t="s">
        <v>403</v>
      </c>
      <c r="B16" s="486">
        <v>557510</v>
      </c>
      <c r="C16" s="477">
        <v>1.1006252959666529</v>
      </c>
      <c r="D16" s="486">
        <v>506539.32999999996</v>
      </c>
      <c r="E16" s="477">
        <v>1</v>
      </c>
      <c r="F16" s="486">
        <v>299882.33999999997</v>
      </c>
      <c r="G16" s="479">
        <v>0.59202182780160428</v>
      </c>
      <c r="H16" s="486"/>
      <c r="I16" s="477"/>
      <c r="J16" s="486"/>
      <c r="K16" s="477"/>
      <c r="L16" s="486"/>
      <c r="M16" s="479"/>
      <c r="N16" s="486"/>
      <c r="O16" s="477"/>
      <c r="P16" s="486"/>
      <c r="Q16" s="477"/>
      <c r="R16" s="486"/>
      <c r="S16" s="487"/>
    </row>
    <row r="17" spans="1:19" ht="14.4" customHeight="1" x14ac:dyDescent="0.3">
      <c r="A17" s="489" t="s">
        <v>404</v>
      </c>
      <c r="B17" s="486">
        <v>1554</v>
      </c>
      <c r="C17" s="477"/>
      <c r="D17" s="486"/>
      <c r="E17" s="477"/>
      <c r="F17" s="486"/>
      <c r="G17" s="479"/>
      <c r="H17" s="486"/>
      <c r="I17" s="477"/>
      <c r="J17" s="486"/>
      <c r="K17" s="477"/>
      <c r="L17" s="486"/>
      <c r="M17" s="479"/>
      <c r="N17" s="486"/>
      <c r="O17" s="477"/>
      <c r="P17" s="486"/>
      <c r="Q17" s="477"/>
      <c r="R17" s="486"/>
      <c r="S17" s="487"/>
    </row>
    <row r="18" spans="1:19" ht="14.4" customHeight="1" x14ac:dyDescent="0.3">
      <c r="A18" s="489" t="s">
        <v>405</v>
      </c>
      <c r="B18" s="486">
        <v>3205</v>
      </c>
      <c r="C18" s="477">
        <v>1.2403250773993808</v>
      </c>
      <c r="D18" s="486">
        <v>2584</v>
      </c>
      <c r="E18" s="477">
        <v>1</v>
      </c>
      <c r="F18" s="486"/>
      <c r="G18" s="479"/>
      <c r="H18" s="486"/>
      <c r="I18" s="477"/>
      <c r="J18" s="486"/>
      <c r="K18" s="477"/>
      <c r="L18" s="486"/>
      <c r="M18" s="479"/>
      <c r="N18" s="486"/>
      <c r="O18" s="477"/>
      <c r="P18" s="486"/>
      <c r="Q18" s="477"/>
      <c r="R18" s="486"/>
      <c r="S18" s="487"/>
    </row>
    <row r="19" spans="1:19" ht="14.4" customHeight="1" x14ac:dyDescent="0.3">
      <c r="A19" s="489" t="s">
        <v>406</v>
      </c>
      <c r="B19" s="486">
        <v>292044.66000000003</v>
      </c>
      <c r="C19" s="477">
        <v>0.81306229833152832</v>
      </c>
      <c r="D19" s="486">
        <v>359191.00000000006</v>
      </c>
      <c r="E19" s="477">
        <v>1</v>
      </c>
      <c r="F19" s="486">
        <v>164722.67000000001</v>
      </c>
      <c r="G19" s="479">
        <v>0.45859353380235024</v>
      </c>
      <c r="H19" s="486"/>
      <c r="I19" s="477"/>
      <c r="J19" s="486"/>
      <c r="K19" s="477"/>
      <c r="L19" s="486"/>
      <c r="M19" s="479"/>
      <c r="N19" s="486"/>
      <c r="O19" s="477"/>
      <c r="P19" s="486"/>
      <c r="Q19" s="477"/>
      <c r="R19" s="486"/>
      <c r="S19" s="487"/>
    </row>
    <row r="20" spans="1:19" ht="14.4" customHeight="1" x14ac:dyDescent="0.3">
      <c r="A20" s="489" t="s">
        <v>407</v>
      </c>
      <c r="B20" s="486">
        <v>222791.33000000002</v>
      </c>
      <c r="C20" s="477">
        <v>0.76621154176840811</v>
      </c>
      <c r="D20" s="486">
        <v>290770</v>
      </c>
      <c r="E20" s="477">
        <v>1</v>
      </c>
      <c r="F20" s="486">
        <v>75178.33</v>
      </c>
      <c r="G20" s="479">
        <v>0.25854912817690962</v>
      </c>
      <c r="H20" s="486"/>
      <c r="I20" s="477"/>
      <c r="J20" s="486"/>
      <c r="K20" s="477"/>
      <c r="L20" s="486"/>
      <c r="M20" s="479"/>
      <c r="N20" s="486"/>
      <c r="O20" s="477"/>
      <c r="P20" s="486"/>
      <c r="Q20" s="477"/>
      <c r="R20" s="486"/>
      <c r="S20" s="487"/>
    </row>
    <row r="21" spans="1:19" ht="14.4" customHeight="1" x14ac:dyDescent="0.3">
      <c r="A21" s="489" t="s">
        <v>408</v>
      </c>
      <c r="B21" s="486"/>
      <c r="C21" s="477"/>
      <c r="D21" s="486">
        <v>11804</v>
      </c>
      <c r="E21" s="477">
        <v>1</v>
      </c>
      <c r="F21" s="486"/>
      <c r="G21" s="479"/>
      <c r="H21" s="486"/>
      <c r="I21" s="477"/>
      <c r="J21" s="486"/>
      <c r="K21" s="477"/>
      <c r="L21" s="486"/>
      <c r="M21" s="479"/>
      <c r="N21" s="486"/>
      <c r="O21" s="477"/>
      <c r="P21" s="486"/>
      <c r="Q21" s="477"/>
      <c r="R21" s="486"/>
      <c r="S21" s="487"/>
    </row>
    <row r="22" spans="1:19" ht="14.4" customHeight="1" x14ac:dyDescent="0.3">
      <c r="A22" s="489" t="s">
        <v>409</v>
      </c>
      <c r="B22" s="486">
        <v>5395.33</v>
      </c>
      <c r="C22" s="477">
        <v>0.90901938055676768</v>
      </c>
      <c r="D22" s="486">
        <v>5935.33</v>
      </c>
      <c r="E22" s="477">
        <v>1</v>
      </c>
      <c r="F22" s="486"/>
      <c r="G22" s="479"/>
      <c r="H22" s="486"/>
      <c r="I22" s="477"/>
      <c r="J22" s="486"/>
      <c r="K22" s="477"/>
      <c r="L22" s="486"/>
      <c r="M22" s="479"/>
      <c r="N22" s="486"/>
      <c r="O22" s="477"/>
      <c r="P22" s="486"/>
      <c r="Q22" s="477"/>
      <c r="R22" s="486"/>
      <c r="S22" s="487"/>
    </row>
    <row r="23" spans="1:19" ht="14.4" customHeight="1" thickBot="1" x14ac:dyDescent="0.35">
      <c r="A23" s="490" t="s">
        <v>410</v>
      </c>
      <c r="B23" s="488">
        <v>518</v>
      </c>
      <c r="C23" s="482"/>
      <c r="D23" s="488"/>
      <c r="E23" s="482"/>
      <c r="F23" s="488"/>
      <c r="G23" s="432"/>
      <c r="H23" s="488"/>
      <c r="I23" s="482"/>
      <c r="J23" s="488"/>
      <c r="K23" s="482"/>
      <c r="L23" s="488"/>
      <c r="M23" s="432"/>
      <c r="N23" s="488"/>
      <c r="O23" s="482"/>
      <c r="P23" s="488"/>
      <c r="Q23" s="482"/>
      <c r="R23" s="488"/>
      <c r="S23" s="43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6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1" bestFit="1" customWidth="1"/>
    <col min="2" max="2" width="8.6640625" style="101" bestFit="1" customWidth="1"/>
    <col min="3" max="3" width="2.109375" style="101" bestFit="1" customWidth="1"/>
    <col min="4" max="4" width="8" style="101" bestFit="1" customWidth="1"/>
    <col min="5" max="5" width="52.88671875" style="101" bestFit="1" customWidth="1" collapsed="1"/>
    <col min="6" max="7" width="11.109375" style="176" hidden="1" customWidth="1" outlineLevel="1"/>
    <col min="8" max="9" width="9.33203125" style="176" hidden="1" customWidth="1"/>
    <col min="10" max="11" width="11.109375" style="176" customWidth="1"/>
    <col min="12" max="13" width="9.33203125" style="176" hidden="1" customWidth="1"/>
    <col min="14" max="15" width="11.109375" style="176" customWidth="1"/>
    <col min="16" max="16" width="11.109375" style="179" customWidth="1"/>
    <col min="17" max="17" width="11.109375" style="176" customWidth="1"/>
    <col min="18" max="16384" width="8.88671875" style="101"/>
  </cols>
  <sheetData>
    <row r="1" spans="1:17" ht="18.600000000000001" customHeight="1" thickBot="1" x14ac:dyDescent="0.4">
      <c r="A1" s="288" t="s">
        <v>428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</row>
    <row r="2" spans="1:17" ht="14.4" customHeight="1" thickBot="1" x14ac:dyDescent="0.35">
      <c r="A2" s="193" t="s">
        <v>220</v>
      </c>
      <c r="B2" s="102"/>
      <c r="C2" s="102"/>
      <c r="D2" s="102"/>
      <c r="E2" s="102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90"/>
      <c r="Q2" s="189"/>
    </row>
    <row r="3" spans="1:17" ht="14.4" customHeight="1" thickBot="1" x14ac:dyDescent="0.35">
      <c r="E3" s="62" t="s">
        <v>99</v>
      </c>
      <c r="F3" s="74">
        <f t="shared" ref="F3:O3" si="0">SUBTOTAL(9,F6:F1048576)</f>
        <v>2335</v>
      </c>
      <c r="G3" s="75">
        <f t="shared" si="0"/>
        <v>1113372.3200000003</v>
      </c>
      <c r="H3" s="75"/>
      <c r="I3" s="75"/>
      <c r="J3" s="75">
        <f t="shared" si="0"/>
        <v>2331</v>
      </c>
      <c r="K3" s="75">
        <f t="shared" si="0"/>
        <v>1216270.9900000002</v>
      </c>
      <c r="L3" s="75"/>
      <c r="M3" s="75"/>
      <c r="N3" s="75">
        <f t="shared" si="0"/>
        <v>1115</v>
      </c>
      <c r="O3" s="75">
        <f t="shared" si="0"/>
        <v>561152.34</v>
      </c>
      <c r="P3" s="58">
        <f>IF(K3=0,0,O3/K3)</f>
        <v>0.46137114558656034</v>
      </c>
      <c r="Q3" s="76">
        <f>IF(N3=0,0,O3/N3)</f>
        <v>503.27564125560536</v>
      </c>
    </row>
    <row r="4" spans="1:17" ht="14.4" customHeight="1" x14ac:dyDescent="0.3">
      <c r="A4" s="377" t="s">
        <v>44</v>
      </c>
      <c r="B4" s="375" t="s">
        <v>70</v>
      </c>
      <c r="C4" s="377" t="s">
        <v>71</v>
      </c>
      <c r="D4" s="386" t="s">
        <v>72</v>
      </c>
      <c r="E4" s="378" t="s">
        <v>45</v>
      </c>
      <c r="F4" s="384">
        <v>2015</v>
      </c>
      <c r="G4" s="385"/>
      <c r="H4" s="77"/>
      <c r="I4" s="77"/>
      <c r="J4" s="384">
        <v>2016</v>
      </c>
      <c r="K4" s="385"/>
      <c r="L4" s="77"/>
      <c r="M4" s="77"/>
      <c r="N4" s="384">
        <v>2017</v>
      </c>
      <c r="O4" s="385"/>
      <c r="P4" s="387" t="s">
        <v>2</v>
      </c>
      <c r="Q4" s="376" t="s">
        <v>73</v>
      </c>
    </row>
    <row r="5" spans="1:17" ht="14.4" customHeight="1" thickBot="1" x14ac:dyDescent="0.35">
      <c r="A5" s="466"/>
      <c r="B5" s="464"/>
      <c r="C5" s="466"/>
      <c r="D5" s="491"/>
      <c r="E5" s="468"/>
      <c r="F5" s="492" t="s">
        <v>47</v>
      </c>
      <c r="G5" s="493" t="s">
        <v>4</v>
      </c>
      <c r="H5" s="494"/>
      <c r="I5" s="494"/>
      <c r="J5" s="492" t="s">
        <v>47</v>
      </c>
      <c r="K5" s="493" t="s">
        <v>4</v>
      </c>
      <c r="L5" s="494"/>
      <c r="M5" s="494"/>
      <c r="N5" s="492" t="s">
        <v>47</v>
      </c>
      <c r="O5" s="493" t="s">
        <v>4</v>
      </c>
      <c r="P5" s="495"/>
      <c r="Q5" s="473"/>
    </row>
    <row r="6" spans="1:17" ht="14.4" customHeight="1" x14ac:dyDescent="0.3">
      <c r="A6" s="474" t="s">
        <v>411</v>
      </c>
      <c r="B6" s="475" t="s">
        <v>370</v>
      </c>
      <c r="C6" s="475" t="s">
        <v>371</v>
      </c>
      <c r="D6" s="475" t="s">
        <v>379</v>
      </c>
      <c r="E6" s="475" t="s">
        <v>380</v>
      </c>
      <c r="F6" s="428">
        <v>10</v>
      </c>
      <c r="G6" s="428">
        <v>5180</v>
      </c>
      <c r="H6" s="428">
        <v>9.3670886075949369</v>
      </c>
      <c r="I6" s="428">
        <v>518</v>
      </c>
      <c r="J6" s="428">
        <v>1</v>
      </c>
      <c r="K6" s="428">
        <v>553</v>
      </c>
      <c r="L6" s="428">
        <v>1</v>
      </c>
      <c r="M6" s="428">
        <v>553</v>
      </c>
      <c r="N6" s="428">
        <v>1</v>
      </c>
      <c r="O6" s="428">
        <v>554</v>
      </c>
      <c r="P6" s="429">
        <v>1.0018083182640145</v>
      </c>
      <c r="Q6" s="440">
        <v>554</v>
      </c>
    </row>
    <row r="7" spans="1:17" ht="14.4" customHeight="1" x14ac:dyDescent="0.3">
      <c r="A7" s="476" t="s">
        <v>411</v>
      </c>
      <c r="B7" s="477" t="s">
        <v>370</v>
      </c>
      <c r="C7" s="477" t="s">
        <v>371</v>
      </c>
      <c r="D7" s="477" t="s">
        <v>379</v>
      </c>
      <c r="E7" s="477" t="s">
        <v>381</v>
      </c>
      <c r="F7" s="478">
        <v>1</v>
      </c>
      <c r="G7" s="478">
        <v>518</v>
      </c>
      <c r="H7" s="478">
        <v>7.2054527750730277E-2</v>
      </c>
      <c r="I7" s="478">
        <v>518</v>
      </c>
      <c r="J7" s="478">
        <v>13</v>
      </c>
      <c r="K7" s="478">
        <v>7189</v>
      </c>
      <c r="L7" s="478">
        <v>1</v>
      </c>
      <c r="M7" s="478">
        <v>553</v>
      </c>
      <c r="N7" s="478"/>
      <c r="O7" s="478"/>
      <c r="P7" s="479"/>
      <c r="Q7" s="480"/>
    </row>
    <row r="8" spans="1:17" ht="14.4" customHeight="1" x14ac:dyDescent="0.3">
      <c r="A8" s="476" t="s">
        <v>411</v>
      </c>
      <c r="B8" s="477" t="s">
        <v>370</v>
      </c>
      <c r="C8" s="477" t="s">
        <v>371</v>
      </c>
      <c r="D8" s="477" t="s">
        <v>382</v>
      </c>
      <c r="E8" s="477" t="s">
        <v>383</v>
      </c>
      <c r="F8" s="478">
        <v>1</v>
      </c>
      <c r="G8" s="478">
        <v>0</v>
      </c>
      <c r="H8" s="478"/>
      <c r="I8" s="478">
        <v>0</v>
      </c>
      <c r="J8" s="478"/>
      <c r="K8" s="478"/>
      <c r="L8" s="478"/>
      <c r="M8" s="478"/>
      <c r="N8" s="478"/>
      <c r="O8" s="478"/>
      <c r="P8" s="479"/>
      <c r="Q8" s="480"/>
    </row>
    <row r="9" spans="1:17" ht="14.4" customHeight="1" x14ac:dyDescent="0.3">
      <c r="A9" s="476" t="s">
        <v>411</v>
      </c>
      <c r="B9" s="477" t="s">
        <v>370</v>
      </c>
      <c r="C9" s="477" t="s">
        <v>371</v>
      </c>
      <c r="D9" s="477" t="s">
        <v>384</v>
      </c>
      <c r="E9" s="477" t="s">
        <v>385</v>
      </c>
      <c r="F9" s="478">
        <v>1</v>
      </c>
      <c r="G9" s="478">
        <v>350</v>
      </c>
      <c r="H9" s="478"/>
      <c r="I9" s="478">
        <v>350</v>
      </c>
      <c r="J9" s="478"/>
      <c r="K9" s="478"/>
      <c r="L9" s="478"/>
      <c r="M9" s="478"/>
      <c r="N9" s="478"/>
      <c r="O9" s="478"/>
      <c r="P9" s="479"/>
      <c r="Q9" s="480"/>
    </row>
    <row r="10" spans="1:17" ht="14.4" customHeight="1" x14ac:dyDescent="0.3">
      <c r="A10" s="476" t="s">
        <v>411</v>
      </c>
      <c r="B10" s="477" t="s">
        <v>370</v>
      </c>
      <c r="C10" s="477" t="s">
        <v>371</v>
      </c>
      <c r="D10" s="477" t="s">
        <v>389</v>
      </c>
      <c r="E10" s="477" t="s">
        <v>390</v>
      </c>
      <c r="F10" s="478"/>
      <c r="G10" s="478"/>
      <c r="H10" s="478"/>
      <c r="I10" s="478"/>
      <c r="J10" s="478">
        <v>1</v>
      </c>
      <c r="K10" s="478">
        <v>282</v>
      </c>
      <c r="L10" s="478">
        <v>1</v>
      </c>
      <c r="M10" s="478">
        <v>282</v>
      </c>
      <c r="N10" s="478"/>
      <c r="O10" s="478"/>
      <c r="P10" s="479"/>
      <c r="Q10" s="480"/>
    </row>
    <row r="11" spans="1:17" ht="14.4" customHeight="1" x14ac:dyDescent="0.3">
      <c r="A11" s="476" t="s">
        <v>412</v>
      </c>
      <c r="B11" s="477" t="s">
        <v>370</v>
      </c>
      <c r="C11" s="477" t="s">
        <v>371</v>
      </c>
      <c r="D11" s="477" t="s">
        <v>379</v>
      </c>
      <c r="E11" s="477" t="s">
        <v>380</v>
      </c>
      <c r="F11" s="478"/>
      <c r="G11" s="478"/>
      <c r="H11" s="478"/>
      <c r="I11" s="478"/>
      <c r="J11" s="478"/>
      <c r="K11" s="478"/>
      <c r="L11" s="478"/>
      <c r="M11" s="478"/>
      <c r="N11" s="478">
        <v>2</v>
      </c>
      <c r="O11" s="478">
        <v>1108</v>
      </c>
      <c r="P11" s="479"/>
      <c r="Q11" s="480">
        <v>554</v>
      </c>
    </row>
    <row r="12" spans="1:17" ht="14.4" customHeight="1" x14ac:dyDescent="0.3">
      <c r="A12" s="476" t="s">
        <v>412</v>
      </c>
      <c r="B12" s="477" t="s">
        <v>370</v>
      </c>
      <c r="C12" s="477" t="s">
        <v>371</v>
      </c>
      <c r="D12" s="477" t="s">
        <v>379</v>
      </c>
      <c r="E12" s="477" t="s">
        <v>381</v>
      </c>
      <c r="F12" s="478">
        <v>4</v>
      </c>
      <c r="G12" s="478">
        <v>2072</v>
      </c>
      <c r="H12" s="478"/>
      <c r="I12" s="478">
        <v>518</v>
      </c>
      <c r="J12" s="478"/>
      <c r="K12" s="478"/>
      <c r="L12" s="478"/>
      <c r="M12" s="478"/>
      <c r="N12" s="478"/>
      <c r="O12" s="478"/>
      <c r="P12" s="479"/>
      <c r="Q12" s="480"/>
    </row>
    <row r="13" spans="1:17" ht="14.4" customHeight="1" x14ac:dyDescent="0.3">
      <c r="A13" s="476" t="s">
        <v>412</v>
      </c>
      <c r="B13" s="477" t="s">
        <v>370</v>
      </c>
      <c r="C13" s="477" t="s">
        <v>371</v>
      </c>
      <c r="D13" s="477" t="s">
        <v>389</v>
      </c>
      <c r="E13" s="477" t="s">
        <v>390</v>
      </c>
      <c r="F13" s="478"/>
      <c r="G13" s="478"/>
      <c r="H13" s="478"/>
      <c r="I13" s="478"/>
      <c r="J13" s="478">
        <v>1</v>
      </c>
      <c r="K13" s="478">
        <v>282</v>
      </c>
      <c r="L13" s="478">
        <v>1</v>
      </c>
      <c r="M13" s="478">
        <v>282</v>
      </c>
      <c r="N13" s="478"/>
      <c r="O13" s="478"/>
      <c r="P13" s="479"/>
      <c r="Q13" s="480"/>
    </row>
    <row r="14" spans="1:17" ht="14.4" customHeight="1" x14ac:dyDescent="0.3">
      <c r="A14" s="476" t="s">
        <v>413</v>
      </c>
      <c r="B14" s="477" t="s">
        <v>370</v>
      </c>
      <c r="C14" s="477" t="s">
        <v>371</v>
      </c>
      <c r="D14" s="477" t="s">
        <v>379</v>
      </c>
      <c r="E14" s="477" t="s">
        <v>380</v>
      </c>
      <c r="F14" s="478">
        <v>6</v>
      </c>
      <c r="G14" s="478">
        <v>3108</v>
      </c>
      <c r="H14" s="478"/>
      <c r="I14" s="478">
        <v>518</v>
      </c>
      <c r="J14" s="478"/>
      <c r="K14" s="478"/>
      <c r="L14" s="478"/>
      <c r="M14" s="478"/>
      <c r="N14" s="478">
        <v>7</v>
      </c>
      <c r="O14" s="478">
        <v>3878</v>
      </c>
      <c r="P14" s="479"/>
      <c r="Q14" s="480">
        <v>554</v>
      </c>
    </row>
    <row r="15" spans="1:17" ht="14.4" customHeight="1" x14ac:dyDescent="0.3">
      <c r="A15" s="476" t="s">
        <v>413</v>
      </c>
      <c r="B15" s="477" t="s">
        <v>370</v>
      </c>
      <c r="C15" s="477" t="s">
        <v>371</v>
      </c>
      <c r="D15" s="477" t="s">
        <v>379</v>
      </c>
      <c r="E15" s="477" t="s">
        <v>381</v>
      </c>
      <c r="F15" s="478"/>
      <c r="G15" s="478"/>
      <c r="H15" s="478"/>
      <c r="I15" s="478"/>
      <c r="J15" s="478">
        <v>2</v>
      </c>
      <c r="K15" s="478">
        <v>1106</v>
      </c>
      <c r="L15" s="478">
        <v>1</v>
      </c>
      <c r="M15" s="478">
        <v>553</v>
      </c>
      <c r="N15" s="478"/>
      <c r="O15" s="478"/>
      <c r="P15" s="479"/>
      <c r="Q15" s="480"/>
    </row>
    <row r="16" spans="1:17" ht="14.4" customHeight="1" x14ac:dyDescent="0.3">
      <c r="A16" s="476" t="s">
        <v>413</v>
      </c>
      <c r="B16" s="477" t="s">
        <v>370</v>
      </c>
      <c r="C16" s="477" t="s">
        <v>371</v>
      </c>
      <c r="D16" s="477" t="s">
        <v>384</v>
      </c>
      <c r="E16" s="477" t="s">
        <v>385</v>
      </c>
      <c r="F16" s="478"/>
      <c r="G16" s="478"/>
      <c r="H16" s="478"/>
      <c r="I16" s="478"/>
      <c r="J16" s="478">
        <v>1</v>
      </c>
      <c r="K16" s="478">
        <v>372</v>
      </c>
      <c r="L16" s="478">
        <v>1</v>
      </c>
      <c r="M16" s="478">
        <v>372</v>
      </c>
      <c r="N16" s="478">
        <v>1</v>
      </c>
      <c r="O16" s="478">
        <v>373</v>
      </c>
      <c r="P16" s="479">
        <v>1.0026881720430108</v>
      </c>
      <c r="Q16" s="480">
        <v>373</v>
      </c>
    </row>
    <row r="17" spans="1:17" ht="14.4" customHeight="1" x14ac:dyDescent="0.3">
      <c r="A17" s="476" t="s">
        <v>413</v>
      </c>
      <c r="B17" s="477" t="s">
        <v>370</v>
      </c>
      <c r="C17" s="477" t="s">
        <v>371</v>
      </c>
      <c r="D17" s="477" t="s">
        <v>389</v>
      </c>
      <c r="E17" s="477" t="s">
        <v>390</v>
      </c>
      <c r="F17" s="478"/>
      <c r="G17" s="478"/>
      <c r="H17" s="478"/>
      <c r="I17" s="478"/>
      <c r="J17" s="478"/>
      <c r="K17" s="478"/>
      <c r="L17" s="478"/>
      <c r="M17" s="478"/>
      <c r="N17" s="478">
        <v>2</v>
      </c>
      <c r="O17" s="478">
        <v>566</v>
      </c>
      <c r="P17" s="479"/>
      <c r="Q17" s="480">
        <v>283</v>
      </c>
    </row>
    <row r="18" spans="1:17" ht="14.4" customHeight="1" x14ac:dyDescent="0.3">
      <c r="A18" s="476" t="s">
        <v>414</v>
      </c>
      <c r="B18" s="477" t="s">
        <v>370</v>
      </c>
      <c r="C18" s="477" t="s">
        <v>371</v>
      </c>
      <c r="D18" s="477" t="s">
        <v>379</v>
      </c>
      <c r="E18" s="477" t="s">
        <v>380</v>
      </c>
      <c r="F18" s="478">
        <v>4</v>
      </c>
      <c r="G18" s="478">
        <v>2072</v>
      </c>
      <c r="H18" s="478"/>
      <c r="I18" s="478">
        <v>518</v>
      </c>
      <c r="J18" s="478"/>
      <c r="K18" s="478"/>
      <c r="L18" s="478"/>
      <c r="M18" s="478"/>
      <c r="N18" s="478"/>
      <c r="O18" s="478"/>
      <c r="P18" s="479"/>
      <c r="Q18" s="480"/>
    </row>
    <row r="19" spans="1:17" ht="14.4" customHeight="1" x14ac:dyDescent="0.3">
      <c r="A19" s="476" t="s">
        <v>414</v>
      </c>
      <c r="B19" s="477" t="s">
        <v>370</v>
      </c>
      <c r="C19" s="477" t="s">
        <v>371</v>
      </c>
      <c r="D19" s="477" t="s">
        <v>379</v>
      </c>
      <c r="E19" s="477" t="s">
        <v>381</v>
      </c>
      <c r="F19" s="478">
        <v>-1</v>
      </c>
      <c r="G19" s="478">
        <v>-518</v>
      </c>
      <c r="H19" s="478"/>
      <c r="I19" s="478">
        <v>518</v>
      </c>
      <c r="J19" s="478"/>
      <c r="K19" s="478"/>
      <c r="L19" s="478"/>
      <c r="M19" s="478"/>
      <c r="N19" s="478"/>
      <c r="O19" s="478"/>
      <c r="P19" s="479"/>
      <c r="Q19" s="480"/>
    </row>
    <row r="20" spans="1:17" ht="14.4" customHeight="1" x14ac:dyDescent="0.3">
      <c r="A20" s="476" t="s">
        <v>414</v>
      </c>
      <c r="B20" s="477" t="s">
        <v>370</v>
      </c>
      <c r="C20" s="477" t="s">
        <v>371</v>
      </c>
      <c r="D20" s="477" t="s">
        <v>384</v>
      </c>
      <c r="E20" s="477" t="s">
        <v>385</v>
      </c>
      <c r="F20" s="478">
        <v>0</v>
      </c>
      <c r="G20" s="478">
        <v>0</v>
      </c>
      <c r="H20" s="478"/>
      <c r="I20" s="478"/>
      <c r="J20" s="478"/>
      <c r="K20" s="478"/>
      <c r="L20" s="478"/>
      <c r="M20" s="478"/>
      <c r="N20" s="478"/>
      <c r="O20" s="478"/>
      <c r="P20" s="479"/>
      <c r="Q20" s="480"/>
    </row>
    <row r="21" spans="1:17" ht="14.4" customHeight="1" x14ac:dyDescent="0.3">
      <c r="A21" s="476" t="s">
        <v>415</v>
      </c>
      <c r="B21" s="477" t="s">
        <v>370</v>
      </c>
      <c r="C21" s="477" t="s">
        <v>371</v>
      </c>
      <c r="D21" s="477" t="s">
        <v>379</v>
      </c>
      <c r="E21" s="477" t="s">
        <v>380</v>
      </c>
      <c r="F21" s="478"/>
      <c r="G21" s="478"/>
      <c r="H21" s="478"/>
      <c r="I21" s="478"/>
      <c r="J21" s="478">
        <v>1</v>
      </c>
      <c r="K21" s="478">
        <v>553</v>
      </c>
      <c r="L21" s="478">
        <v>1</v>
      </c>
      <c r="M21" s="478">
        <v>553</v>
      </c>
      <c r="N21" s="478">
        <v>1</v>
      </c>
      <c r="O21" s="478">
        <v>554</v>
      </c>
      <c r="P21" s="479">
        <v>1.0018083182640145</v>
      </c>
      <c r="Q21" s="480">
        <v>554</v>
      </c>
    </row>
    <row r="22" spans="1:17" ht="14.4" customHeight="1" x14ac:dyDescent="0.3">
      <c r="A22" s="476" t="s">
        <v>369</v>
      </c>
      <c r="B22" s="477" t="s">
        <v>370</v>
      </c>
      <c r="C22" s="477" t="s">
        <v>371</v>
      </c>
      <c r="D22" s="477" t="s">
        <v>379</v>
      </c>
      <c r="E22" s="477" t="s">
        <v>380</v>
      </c>
      <c r="F22" s="478">
        <v>11</v>
      </c>
      <c r="G22" s="478">
        <v>5698</v>
      </c>
      <c r="H22" s="478">
        <v>0.42932489451476791</v>
      </c>
      <c r="I22" s="478">
        <v>518</v>
      </c>
      <c r="J22" s="478">
        <v>24</v>
      </c>
      <c r="K22" s="478">
        <v>13272</v>
      </c>
      <c r="L22" s="478">
        <v>1</v>
      </c>
      <c r="M22" s="478">
        <v>553</v>
      </c>
      <c r="N22" s="478">
        <v>14</v>
      </c>
      <c r="O22" s="478">
        <v>7756</v>
      </c>
      <c r="P22" s="479">
        <v>0.58438818565400841</v>
      </c>
      <c r="Q22" s="480">
        <v>554</v>
      </c>
    </row>
    <row r="23" spans="1:17" ht="14.4" customHeight="1" x14ac:dyDescent="0.3">
      <c r="A23" s="476" t="s">
        <v>369</v>
      </c>
      <c r="B23" s="477" t="s">
        <v>370</v>
      </c>
      <c r="C23" s="477" t="s">
        <v>371</v>
      </c>
      <c r="D23" s="477" t="s">
        <v>379</v>
      </c>
      <c r="E23" s="477" t="s">
        <v>381</v>
      </c>
      <c r="F23" s="478">
        <v>10</v>
      </c>
      <c r="G23" s="478">
        <v>5180</v>
      </c>
      <c r="H23" s="478">
        <v>0.6690777576853526</v>
      </c>
      <c r="I23" s="478">
        <v>518</v>
      </c>
      <c r="J23" s="478">
        <v>14</v>
      </c>
      <c r="K23" s="478">
        <v>7742</v>
      </c>
      <c r="L23" s="478">
        <v>1</v>
      </c>
      <c r="M23" s="478">
        <v>553</v>
      </c>
      <c r="N23" s="478">
        <v>8</v>
      </c>
      <c r="O23" s="478">
        <v>4432</v>
      </c>
      <c r="P23" s="479">
        <v>0.5724618961508654</v>
      </c>
      <c r="Q23" s="480">
        <v>554</v>
      </c>
    </row>
    <row r="24" spans="1:17" ht="14.4" customHeight="1" x14ac:dyDescent="0.3">
      <c r="A24" s="476" t="s">
        <v>369</v>
      </c>
      <c r="B24" s="477" t="s">
        <v>370</v>
      </c>
      <c r="C24" s="477" t="s">
        <v>371</v>
      </c>
      <c r="D24" s="477" t="s">
        <v>382</v>
      </c>
      <c r="E24" s="477" t="s">
        <v>383</v>
      </c>
      <c r="F24" s="478">
        <v>3</v>
      </c>
      <c r="G24" s="478">
        <v>100</v>
      </c>
      <c r="H24" s="478">
        <v>1</v>
      </c>
      <c r="I24" s="478">
        <v>33.333333333333336</v>
      </c>
      <c r="J24" s="478">
        <v>3</v>
      </c>
      <c r="K24" s="478">
        <v>100</v>
      </c>
      <c r="L24" s="478">
        <v>1</v>
      </c>
      <c r="M24" s="478">
        <v>33.333333333333336</v>
      </c>
      <c r="N24" s="478">
        <v>0</v>
      </c>
      <c r="O24" s="478">
        <v>0</v>
      </c>
      <c r="P24" s="479">
        <v>0</v>
      </c>
      <c r="Q24" s="480"/>
    </row>
    <row r="25" spans="1:17" ht="14.4" customHeight="1" x14ac:dyDescent="0.3">
      <c r="A25" s="476" t="s">
        <v>369</v>
      </c>
      <c r="B25" s="477" t="s">
        <v>370</v>
      </c>
      <c r="C25" s="477" t="s">
        <v>371</v>
      </c>
      <c r="D25" s="477" t="s">
        <v>384</v>
      </c>
      <c r="E25" s="477" t="s">
        <v>385</v>
      </c>
      <c r="F25" s="478">
        <v>5</v>
      </c>
      <c r="G25" s="478">
        <v>1750</v>
      </c>
      <c r="H25" s="478">
        <v>0.52270011947431305</v>
      </c>
      <c r="I25" s="478">
        <v>350</v>
      </c>
      <c r="J25" s="478">
        <v>9</v>
      </c>
      <c r="K25" s="478">
        <v>3348</v>
      </c>
      <c r="L25" s="478">
        <v>1</v>
      </c>
      <c r="M25" s="478">
        <v>372</v>
      </c>
      <c r="N25" s="478">
        <v>5</v>
      </c>
      <c r="O25" s="478">
        <v>1865</v>
      </c>
      <c r="P25" s="479">
        <v>0.55704898446833928</v>
      </c>
      <c r="Q25" s="480">
        <v>373</v>
      </c>
    </row>
    <row r="26" spans="1:17" ht="14.4" customHeight="1" x14ac:dyDescent="0.3">
      <c r="A26" s="476" t="s">
        <v>369</v>
      </c>
      <c r="B26" s="477" t="s">
        <v>370</v>
      </c>
      <c r="C26" s="477" t="s">
        <v>371</v>
      </c>
      <c r="D26" s="477" t="s">
        <v>389</v>
      </c>
      <c r="E26" s="477" t="s">
        <v>390</v>
      </c>
      <c r="F26" s="478"/>
      <c r="G26" s="478"/>
      <c r="H26" s="478"/>
      <c r="I26" s="478"/>
      <c r="J26" s="478">
        <v>0</v>
      </c>
      <c r="K26" s="478">
        <v>0</v>
      </c>
      <c r="L26" s="478"/>
      <c r="M26" s="478"/>
      <c r="N26" s="478">
        <v>1</v>
      </c>
      <c r="O26" s="478">
        <v>283</v>
      </c>
      <c r="P26" s="479"/>
      <c r="Q26" s="480">
        <v>283</v>
      </c>
    </row>
    <row r="27" spans="1:17" ht="14.4" customHeight="1" x14ac:dyDescent="0.3">
      <c r="A27" s="476" t="s">
        <v>416</v>
      </c>
      <c r="B27" s="477" t="s">
        <v>370</v>
      </c>
      <c r="C27" s="477" t="s">
        <v>371</v>
      </c>
      <c r="D27" s="477" t="s">
        <v>382</v>
      </c>
      <c r="E27" s="477" t="s">
        <v>383</v>
      </c>
      <c r="F27" s="478">
        <v>0</v>
      </c>
      <c r="G27" s="478">
        <v>0</v>
      </c>
      <c r="H27" s="478"/>
      <c r="I27" s="478"/>
      <c r="J27" s="478"/>
      <c r="K27" s="478"/>
      <c r="L27" s="478"/>
      <c r="M27" s="478"/>
      <c r="N27" s="478"/>
      <c r="O27" s="478"/>
      <c r="P27" s="479"/>
      <c r="Q27" s="480"/>
    </row>
    <row r="28" spans="1:17" ht="14.4" customHeight="1" x14ac:dyDescent="0.3">
      <c r="A28" s="476" t="s">
        <v>416</v>
      </c>
      <c r="B28" s="477" t="s">
        <v>370</v>
      </c>
      <c r="C28" s="477" t="s">
        <v>371</v>
      </c>
      <c r="D28" s="477" t="s">
        <v>384</v>
      </c>
      <c r="E28" s="477" t="s">
        <v>385</v>
      </c>
      <c r="F28" s="478">
        <v>1</v>
      </c>
      <c r="G28" s="478">
        <v>350</v>
      </c>
      <c r="H28" s="478"/>
      <c r="I28" s="478">
        <v>350</v>
      </c>
      <c r="J28" s="478"/>
      <c r="K28" s="478"/>
      <c r="L28" s="478"/>
      <c r="M28" s="478"/>
      <c r="N28" s="478"/>
      <c r="O28" s="478"/>
      <c r="P28" s="479"/>
      <c r="Q28" s="480"/>
    </row>
    <row r="29" spans="1:17" ht="14.4" customHeight="1" x14ac:dyDescent="0.3">
      <c r="A29" s="476" t="s">
        <v>417</v>
      </c>
      <c r="B29" s="477" t="s">
        <v>370</v>
      </c>
      <c r="C29" s="477" t="s">
        <v>371</v>
      </c>
      <c r="D29" s="477" t="s">
        <v>379</v>
      </c>
      <c r="E29" s="477" t="s">
        <v>380</v>
      </c>
      <c r="F29" s="478">
        <v>8</v>
      </c>
      <c r="G29" s="478">
        <v>4144</v>
      </c>
      <c r="H29" s="478"/>
      <c r="I29" s="478">
        <v>518</v>
      </c>
      <c r="J29" s="478"/>
      <c r="K29" s="478"/>
      <c r="L29" s="478"/>
      <c r="M29" s="478"/>
      <c r="N29" s="478"/>
      <c r="O29" s="478"/>
      <c r="P29" s="479"/>
      <c r="Q29" s="480"/>
    </row>
    <row r="30" spans="1:17" ht="14.4" customHeight="1" x14ac:dyDescent="0.3">
      <c r="A30" s="476" t="s">
        <v>417</v>
      </c>
      <c r="B30" s="477" t="s">
        <v>370</v>
      </c>
      <c r="C30" s="477" t="s">
        <v>371</v>
      </c>
      <c r="D30" s="477" t="s">
        <v>382</v>
      </c>
      <c r="E30" s="477" t="s">
        <v>383</v>
      </c>
      <c r="F30" s="478">
        <v>1</v>
      </c>
      <c r="G30" s="478">
        <v>0</v>
      </c>
      <c r="H30" s="478"/>
      <c r="I30" s="478">
        <v>0</v>
      </c>
      <c r="J30" s="478"/>
      <c r="K30" s="478"/>
      <c r="L30" s="478"/>
      <c r="M30" s="478"/>
      <c r="N30" s="478"/>
      <c r="O30" s="478"/>
      <c r="P30" s="479"/>
      <c r="Q30" s="480"/>
    </row>
    <row r="31" spans="1:17" ht="14.4" customHeight="1" x14ac:dyDescent="0.3">
      <c r="A31" s="476" t="s">
        <v>417</v>
      </c>
      <c r="B31" s="477" t="s">
        <v>370</v>
      </c>
      <c r="C31" s="477" t="s">
        <v>371</v>
      </c>
      <c r="D31" s="477" t="s">
        <v>384</v>
      </c>
      <c r="E31" s="477" t="s">
        <v>385</v>
      </c>
      <c r="F31" s="478">
        <v>1</v>
      </c>
      <c r="G31" s="478">
        <v>350</v>
      </c>
      <c r="H31" s="478"/>
      <c r="I31" s="478">
        <v>350</v>
      </c>
      <c r="J31" s="478"/>
      <c r="K31" s="478"/>
      <c r="L31" s="478"/>
      <c r="M31" s="478"/>
      <c r="N31" s="478"/>
      <c r="O31" s="478"/>
      <c r="P31" s="479"/>
      <c r="Q31" s="480"/>
    </row>
    <row r="32" spans="1:17" ht="14.4" customHeight="1" x14ac:dyDescent="0.3">
      <c r="A32" s="476" t="s">
        <v>418</v>
      </c>
      <c r="B32" s="477" t="s">
        <v>370</v>
      </c>
      <c r="C32" s="477" t="s">
        <v>371</v>
      </c>
      <c r="D32" s="477" t="s">
        <v>379</v>
      </c>
      <c r="E32" s="477" t="s">
        <v>381</v>
      </c>
      <c r="F32" s="478"/>
      <c r="G32" s="478"/>
      <c r="H32" s="478"/>
      <c r="I32" s="478"/>
      <c r="J32" s="478">
        <v>4</v>
      </c>
      <c r="K32" s="478">
        <v>2212</v>
      </c>
      <c r="L32" s="478">
        <v>1</v>
      </c>
      <c r="M32" s="478">
        <v>553</v>
      </c>
      <c r="N32" s="478"/>
      <c r="O32" s="478"/>
      <c r="P32" s="479"/>
      <c r="Q32" s="480"/>
    </row>
    <row r="33" spans="1:17" ht="14.4" customHeight="1" x14ac:dyDescent="0.3">
      <c r="A33" s="476" t="s">
        <v>418</v>
      </c>
      <c r="B33" s="477" t="s">
        <v>370</v>
      </c>
      <c r="C33" s="477" t="s">
        <v>371</v>
      </c>
      <c r="D33" s="477" t="s">
        <v>382</v>
      </c>
      <c r="E33" s="477" t="s">
        <v>383</v>
      </c>
      <c r="F33" s="478"/>
      <c r="G33" s="478"/>
      <c r="H33" s="478"/>
      <c r="I33" s="478"/>
      <c r="J33" s="478">
        <v>1</v>
      </c>
      <c r="K33" s="478">
        <v>33.33</v>
      </c>
      <c r="L33" s="478">
        <v>1</v>
      </c>
      <c r="M33" s="478">
        <v>33.33</v>
      </c>
      <c r="N33" s="478"/>
      <c r="O33" s="478"/>
      <c r="P33" s="479"/>
      <c r="Q33" s="480"/>
    </row>
    <row r="34" spans="1:17" ht="14.4" customHeight="1" x14ac:dyDescent="0.3">
      <c r="A34" s="476" t="s">
        <v>418</v>
      </c>
      <c r="B34" s="477" t="s">
        <v>370</v>
      </c>
      <c r="C34" s="477" t="s">
        <v>371</v>
      </c>
      <c r="D34" s="477" t="s">
        <v>384</v>
      </c>
      <c r="E34" s="477" t="s">
        <v>385</v>
      </c>
      <c r="F34" s="478"/>
      <c r="G34" s="478"/>
      <c r="H34" s="478"/>
      <c r="I34" s="478"/>
      <c r="J34" s="478">
        <v>1</v>
      </c>
      <c r="K34" s="478">
        <v>372</v>
      </c>
      <c r="L34" s="478">
        <v>1</v>
      </c>
      <c r="M34" s="478">
        <v>372</v>
      </c>
      <c r="N34" s="478"/>
      <c r="O34" s="478"/>
      <c r="P34" s="479"/>
      <c r="Q34" s="480"/>
    </row>
    <row r="35" spans="1:17" ht="14.4" customHeight="1" x14ac:dyDescent="0.3">
      <c r="A35" s="476" t="s">
        <v>419</v>
      </c>
      <c r="B35" s="477" t="s">
        <v>370</v>
      </c>
      <c r="C35" s="477" t="s">
        <v>371</v>
      </c>
      <c r="D35" s="477" t="s">
        <v>379</v>
      </c>
      <c r="E35" s="477" t="s">
        <v>381</v>
      </c>
      <c r="F35" s="478"/>
      <c r="G35" s="478"/>
      <c r="H35" s="478"/>
      <c r="I35" s="478"/>
      <c r="J35" s="478">
        <v>3</v>
      </c>
      <c r="K35" s="478">
        <v>1659</v>
      </c>
      <c r="L35" s="478">
        <v>1</v>
      </c>
      <c r="M35" s="478">
        <v>553</v>
      </c>
      <c r="N35" s="478"/>
      <c r="O35" s="478"/>
      <c r="P35" s="479"/>
      <c r="Q35" s="480"/>
    </row>
    <row r="36" spans="1:17" ht="14.4" customHeight="1" x14ac:dyDescent="0.3">
      <c r="A36" s="476" t="s">
        <v>419</v>
      </c>
      <c r="B36" s="477" t="s">
        <v>370</v>
      </c>
      <c r="C36" s="477" t="s">
        <v>371</v>
      </c>
      <c r="D36" s="477" t="s">
        <v>384</v>
      </c>
      <c r="E36" s="477" t="s">
        <v>385</v>
      </c>
      <c r="F36" s="478"/>
      <c r="G36" s="478"/>
      <c r="H36" s="478"/>
      <c r="I36" s="478"/>
      <c r="J36" s="478">
        <v>1</v>
      </c>
      <c r="K36" s="478">
        <v>372</v>
      </c>
      <c r="L36" s="478">
        <v>1</v>
      </c>
      <c r="M36" s="478">
        <v>372</v>
      </c>
      <c r="N36" s="478"/>
      <c r="O36" s="478"/>
      <c r="P36" s="479"/>
      <c r="Q36" s="480"/>
    </row>
    <row r="37" spans="1:17" ht="14.4" customHeight="1" x14ac:dyDescent="0.3">
      <c r="A37" s="476" t="s">
        <v>420</v>
      </c>
      <c r="B37" s="477" t="s">
        <v>370</v>
      </c>
      <c r="C37" s="477" t="s">
        <v>371</v>
      </c>
      <c r="D37" s="477" t="s">
        <v>374</v>
      </c>
      <c r="E37" s="477" t="s">
        <v>375</v>
      </c>
      <c r="F37" s="478">
        <v>1</v>
      </c>
      <c r="G37" s="478">
        <v>133</v>
      </c>
      <c r="H37" s="478"/>
      <c r="I37" s="478">
        <v>133</v>
      </c>
      <c r="J37" s="478"/>
      <c r="K37" s="478"/>
      <c r="L37" s="478"/>
      <c r="M37" s="478"/>
      <c r="N37" s="478"/>
      <c r="O37" s="478"/>
      <c r="P37" s="479"/>
      <c r="Q37" s="480"/>
    </row>
    <row r="38" spans="1:17" ht="14.4" customHeight="1" x14ac:dyDescent="0.3">
      <c r="A38" s="476" t="s">
        <v>420</v>
      </c>
      <c r="B38" s="477" t="s">
        <v>370</v>
      </c>
      <c r="C38" s="477" t="s">
        <v>371</v>
      </c>
      <c r="D38" s="477" t="s">
        <v>379</v>
      </c>
      <c r="E38" s="477" t="s">
        <v>380</v>
      </c>
      <c r="F38" s="478">
        <v>720</v>
      </c>
      <c r="G38" s="478">
        <v>372960</v>
      </c>
      <c r="H38" s="478">
        <v>1.1509050848922107</v>
      </c>
      <c r="I38" s="478">
        <v>518</v>
      </c>
      <c r="J38" s="478">
        <v>586</v>
      </c>
      <c r="K38" s="478">
        <v>324058</v>
      </c>
      <c r="L38" s="478">
        <v>1</v>
      </c>
      <c r="M38" s="478">
        <v>553</v>
      </c>
      <c r="N38" s="478">
        <v>286</v>
      </c>
      <c r="O38" s="478">
        <v>158444</v>
      </c>
      <c r="P38" s="479">
        <v>0.48893716556912653</v>
      </c>
      <c r="Q38" s="480">
        <v>554</v>
      </c>
    </row>
    <row r="39" spans="1:17" ht="14.4" customHeight="1" x14ac:dyDescent="0.3">
      <c r="A39" s="476" t="s">
        <v>420</v>
      </c>
      <c r="B39" s="477" t="s">
        <v>370</v>
      </c>
      <c r="C39" s="477" t="s">
        <v>371</v>
      </c>
      <c r="D39" s="477" t="s">
        <v>379</v>
      </c>
      <c r="E39" s="477" t="s">
        <v>381</v>
      </c>
      <c r="F39" s="478">
        <v>234</v>
      </c>
      <c r="G39" s="478">
        <v>121212</v>
      </c>
      <c r="H39" s="478">
        <v>1.0640285117365123</v>
      </c>
      <c r="I39" s="478">
        <v>518</v>
      </c>
      <c r="J39" s="478">
        <v>206</v>
      </c>
      <c r="K39" s="478">
        <v>113918</v>
      </c>
      <c r="L39" s="478">
        <v>1</v>
      </c>
      <c r="M39" s="478">
        <v>553</v>
      </c>
      <c r="N39" s="478">
        <v>144</v>
      </c>
      <c r="O39" s="478">
        <v>79776</v>
      </c>
      <c r="P39" s="479">
        <v>0.70029319334960238</v>
      </c>
      <c r="Q39" s="480">
        <v>554</v>
      </c>
    </row>
    <row r="40" spans="1:17" ht="14.4" customHeight="1" x14ac:dyDescent="0.3">
      <c r="A40" s="476" t="s">
        <v>420</v>
      </c>
      <c r="B40" s="477" t="s">
        <v>370</v>
      </c>
      <c r="C40" s="477" t="s">
        <v>371</v>
      </c>
      <c r="D40" s="477" t="s">
        <v>382</v>
      </c>
      <c r="E40" s="477" t="s">
        <v>383</v>
      </c>
      <c r="F40" s="478">
        <v>86</v>
      </c>
      <c r="G40" s="478">
        <v>1799.9999999999998</v>
      </c>
      <c r="H40" s="478">
        <v>1.7419411030358158</v>
      </c>
      <c r="I40" s="478">
        <v>20.930232558139533</v>
      </c>
      <c r="J40" s="478">
        <v>31</v>
      </c>
      <c r="K40" s="478">
        <v>1033.3300000000002</v>
      </c>
      <c r="L40" s="478">
        <v>1</v>
      </c>
      <c r="M40" s="478">
        <v>33.333225806451615</v>
      </c>
      <c r="N40" s="478">
        <v>22</v>
      </c>
      <c r="O40" s="478">
        <v>733.34</v>
      </c>
      <c r="P40" s="479">
        <v>0.7096861602779363</v>
      </c>
      <c r="Q40" s="480">
        <v>33.333636363636366</v>
      </c>
    </row>
    <row r="41" spans="1:17" ht="14.4" customHeight="1" x14ac:dyDescent="0.3">
      <c r="A41" s="476" t="s">
        <v>420</v>
      </c>
      <c r="B41" s="477" t="s">
        <v>370</v>
      </c>
      <c r="C41" s="477" t="s">
        <v>371</v>
      </c>
      <c r="D41" s="477" t="s">
        <v>384</v>
      </c>
      <c r="E41" s="477" t="s">
        <v>385</v>
      </c>
      <c r="F41" s="478">
        <v>155</v>
      </c>
      <c r="G41" s="478">
        <v>54250</v>
      </c>
      <c r="H41" s="478">
        <v>0.94086021505376349</v>
      </c>
      <c r="I41" s="478">
        <v>350</v>
      </c>
      <c r="J41" s="478">
        <v>155</v>
      </c>
      <c r="K41" s="478">
        <v>57660</v>
      </c>
      <c r="L41" s="478">
        <v>1</v>
      </c>
      <c r="M41" s="478">
        <v>372</v>
      </c>
      <c r="N41" s="478">
        <v>133</v>
      </c>
      <c r="O41" s="478">
        <v>49609</v>
      </c>
      <c r="P41" s="479">
        <v>0.86037114117238989</v>
      </c>
      <c r="Q41" s="480">
        <v>373</v>
      </c>
    </row>
    <row r="42" spans="1:17" ht="14.4" customHeight="1" x14ac:dyDescent="0.3">
      <c r="A42" s="476" t="s">
        <v>420</v>
      </c>
      <c r="B42" s="477" t="s">
        <v>370</v>
      </c>
      <c r="C42" s="477" t="s">
        <v>371</v>
      </c>
      <c r="D42" s="477" t="s">
        <v>389</v>
      </c>
      <c r="E42" s="477" t="s">
        <v>390</v>
      </c>
      <c r="F42" s="478">
        <v>27</v>
      </c>
      <c r="G42" s="478">
        <v>7155</v>
      </c>
      <c r="H42" s="478">
        <v>0.72492401215805469</v>
      </c>
      <c r="I42" s="478">
        <v>265</v>
      </c>
      <c r="J42" s="478">
        <v>35</v>
      </c>
      <c r="K42" s="478">
        <v>9870</v>
      </c>
      <c r="L42" s="478">
        <v>1</v>
      </c>
      <c r="M42" s="478">
        <v>282</v>
      </c>
      <c r="N42" s="478">
        <v>40</v>
      </c>
      <c r="O42" s="478">
        <v>11320</v>
      </c>
      <c r="P42" s="479">
        <v>1.1469098277608916</v>
      </c>
      <c r="Q42" s="480">
        <v>283</v>
      </c>
    </row>
    <row r="43" spans="1:17" ht="14.4" customHeight="1" x14ac:dyDescent="0.3">
      <c r="A43" s="476" t="s">
        <v>421</v>
      </c>
      <c r="B43" s="477" t="s">
        <v>370</v>
      </c>
      <c r="C43" s="477" t="s">
        <v>371</v>
      </c>
      <c r="D43" s="477" t="s">
        <v>379</v>
      </c>
      <c r="E43" s="477" t="s">
        <v>381</v>
      </c>
      <c r="F43" s="478">
        <v>3</v>
      </c>
      <c r="G43" s="478">
        <v>1554</v>
      </c>
      <c r="H43" s="478"/>
      <c r="I43" s="478">
        <v>518</v>
      </c>
      <c r="J43" s="478"/>
      <c r="K43" s="478"/>
      <c r="L43" s="478"/>
      <c r="M43" s="478"/>
      <c r="N43" s="478"/>
      <c r="O43" s="478"/>
      <c r="P43" s="479"/>
      <c r="Q43" s="480"/>
    </row>
    <row r="44" spans="1:17" ht="14.4" customHeight="1" x14ac:dyDescent="0.3">
      <c r="A44" s="476" t="s">
        <v>422</v>
      </c>
      <c r="B44" s="477" t="s">
        <v>370</v>
      </c>
      <c r="C44" s="477" t="s">
        <v>371</v>
      </c>
      <c r="D44" s="477" t="s">
        <v>379</v>
      </c>
      <c r="E44" s="477" t="s">
        <v>380</v>
      </c>
      <c r="F44" s="478">
        <v>5</v>
      </c>
      <c r="G44" s="478">
        <v>2590</v>
      </c>
      <c r="H44" s="478">
        <v>1.1708860759493671</v>
      </c>
      <c r="I44" s="478">
        <v>518</v>
      </c>
      <c r="J44" s="478">
        <v>4</v>
      </c>
      <c r="K44" s="478">
        <v>2212</v>
      </c>
      <c r="L44" s="478">
        <v>1</v>
      </c>
      <c r="M44" s="478">
        <v>553</v>
      </c>
      <c r="N44" s="478"/>
      <c r="O44" s="478"/>
      <c r="P44" s="479"/>
      <c r="Q44" s="480"/>
    </row>
    <row r="45" spans="1:17" ht="14.4" customHeight="1" x14ac:dyDescent="0.3">
      <c r="A45" s="476" t="s">
        <v>422</v>
      </c>
      <c r="B45" s="477" t="s">
        <v>370</v>
      </c>
      <c r="C45" s="477" t="s">
        <v>371</v>
      </c>
      <c r="D45" s="477" t="s">
        <v>382</v>
      </c>
      <c r="E45" s="477" t="s">
        <v>383</v>
      </c>
      <c r="F45" s="478">
        <v>2</v>
      </c>
      <c r="G45" s="478">
        <v>0</v>
      </c>
      <c r="H45" s="478"/>
      <c r="I45" s="478">
        <v>0</v>
      </c>
      <c r="J45" s="478"/>
      <c r="K45" s="478"/>
      <c r="L45" s="478"/>
      <c r="M45" s="478"/>
      <c r="N45" s="478"/>
      <c r="O45" s="478"/>
      <c r="P45" s="479"/>
      <c r="Q45" s="480"/>
    </row>
    <row r="46" spans="1:17" ht="14.4" customHeight="1" x14ac:dyDescent="0.3">
      <c r="A46" s="476" t="s">
        <v>422</v>
      </c>
      <c r="B46" s="477" t="s">
        <v>370</v>
      </c>
      <c r="C46" s="477" t="s">
        <v>371</v>
      </c>
      <c r="D46" s="477" t="s">
        <v>384</v>
      </c>
      <c r="E46" s="477" t="s">
        <v>385</v>
      </c>
      <c r="F46" s="478">
        <v>1</v>
      </c>
      <c r="G46" s="478">
        <v>350</v>
      </c>
      <c r="H46" s="478">
        <v>0.94086021505376349</v>
      </c>
      <c r="I46" s="478">
        <v>350</v>
      </c>
      <c r="J46" s="478">
        <v>1</v>
      </c>
      <c r="K46" s="478">
        <v>372</v>
      </c>
      <c r="L46" s="478">
        <v>1</v>
      </c>
      <c r="M46" s="478">
        <v>372</v>
      </c>
      <c r="N46" s="478"/>
      <c r="O46" s="478"/>
      <c r="P46" s="479"/>
      <c r="Q46" s="480"/>
    </row>
    <row r="47" spans="1:17" ht="14.4" customHeight="1" x14ac:dyDescent="0.3">
      <c r="A47" s="476" t="s">
        <v>422</v>
      </c>
      <c r="B47" s="477" t="s">
        <v>370</v>
      </c>
      <c r="C47" s="477" t="s">
        <v>371</v>
      </c>
      <c r="D47" s="477" t="s">
        <v>389</v>
      </c>
      <c r="E47" s="477" t="s">
        <v>390</v>
      </c>
      <c r="F47" s="478">
        <v>1</v>
      </c>
      <c r="G47" s="478">
        <v>265</v>
      </c>
      <c r="H47" s="478"/>
      <c r="I47" s="478">
        <v>265</v>
      </c>
      <c r="J47" s="478"/>
      <c r="K47" s="478"/>
      <c r="L47" s="478"/>
      <c r="M47" s="478"/>
      <c r="N47" s="478"/>
      <c r="O47" s="478"/>
      <c r="P47" s="479"/>
      <c r="Q47" s="480"/>
    </row>
    <row r="48" spans="1:17" ht="14.4" customHeight="1" x14ac:dyDescent="0.3">
      <c r="A48" s="476" t="s">
        <v>423</v>
      </c>
      <c r="B48" s="477" t="s">
        <v>370</v>
      </c>
      <c r="C48" s="477" t="s">
        <v>371</v>
      </c>
      <c r="D48" s="477" t="s">
        <v>374</v>
      </c>
      <c r="E48" s="477" t="s">
        <v>375</v>
      </c>
      <c r="F48" s="478">
        <v>6</v>
      </c>
      <c r="G48" s="478">
        <v>798</v>
      </c>
      <c r="H48" s="478">
        <v>5.6595744680851068</v>
      </c>
      <c r="I48" s="478">
        <v>133</v>
      </c>
      <c r="J48" s="478">
        <v>1</v>
      </c>
      <c r="K48" s="478">
        <v>141</v>
      </c>
      <c r="L48" s="478">
        <v>1</v>
      </c>
      <c r="M48" s="478">
        <v>141</v>
      </c>
      <c r="N48" s="478">
        <v>3</v>
      </c>
      <c r="O48" s="478">
        <v>423</v>
      </c>
      <c r="P48" s="479">
        <v>3</v>
      </c>
      <c r="Q48" s="480">
        <v>141</v>
      </c>
    </row>
    <row r="49" spans="1:17" ht="14.4" customHeight="1" x14ac:dyDescent="0.3">
      <c r="A49" s="476" t="s">
        <v>423</v>
      </c>
      <c r="B49" s="477" t="s">
        <v>370</v>
      </c>
      <c r="C49" s="477" t="s">
        <v>371</v>
      </c>
      <c r="D49" s="477" t="s">
        <v>379</v>
      </c>
      <c r="E49" s="477" t="s">
        <v>380</v>
      </c>
      <c r="F49" s="478">
        <v>386</v>
      </c>
      <c r="G49" s="478">
        <v>199948</v>
      </c>
      <c r="H49" s="478">
        <v>0.75014444035926253</v>
      </c>
      <c r="I49" s="478">
        <v>518</v>
      </c>
      <c r="J49" s="478">
        <v>482</v>
      </c>
      <c r="K49" s="478">
        <v>266546</v>
      </c>
      <c r="L49" s="478">
        <v>1</v>
      </c>
      <c r="M49" s="478">
        <v>553</v>
      </c>
      <c r="N49" s="478">
        <v>160</v>
      </c>
      <c r="O49" s="478">
        <v>88640</v>
      </c>
      <c r="P49" s="479">
        <v>0.33255047909178903</v>
      </c>
      <c r="Q49" s="480">
        <v>554</v>
      </c>
    </row>
    <row r="50" spans="1:17" ht="14.4" customHeight="1" x14ac:dyDescent="0.3">
      <c r="A50" s="476" t="s">
        <v>423</v>
      </c>
      <c r="B50" s="477" t="s">
        <v>370</v>
      </c>
      <c r="C50" s="477" t="s">
        <v>371</v>
      </c>
      <c r="D50" s="477" t="s">
        <v>379</v>
      </c>
      <c r="E50" s="477" t="s">
        <v>381</v>
      </c>
      <c r="F50" s="478">
        <v>169</v>
      </c>
      <c r="G50" s="478">
        <v>87542</v>
      </c>
      <c r="H50" s="478">
        <v>0.98939873417721524</v>
      </c>
      <c r="I50" s="478">
        <v>518</v>
      </c>
      <c r="J50" s="478">
        <v>160</v>
      </c>
      <c r="K50" s="478">
        <v>88480</v>
      </c>
      <c r="L50" s="478">
        <v>1</v>
      </c>
      <c r="M50" s="478">
        <v>553</v>
      </c>
      <c r="N50" s="478">
        <v>127</v>
      </c>
      <c r="O50" s="478">
        <v>70358</v>
      </c>
      <c r="P50" s="479">
        <v>0.79518535262206147</v>
      </c>
      <c r="Q50" s="480">
        <v>554</v>
      </c>
    </row>
    <row r="51" spans="1:17" ht="14.4" customHeight="1" x14ac:dyDescent="0.3">
      <c r="A51" s="476" t="s">
        <v>423</v>
      </c>
      <c r="B51" s="477" t="s">
        <v>370</v>
      </c>
      <c r="C51" s="477" t="s">
        <v>371</v>
      </c>
      <c r="D51" s="477" t="s">
        <v>382</v>
      </c>
      <c r="E51" s="477" t="s">
        <v>383</v>
      </c>
      <c r="F51" s="478">
        <v>3</v>
      </c>
      <c r="G51" s="478">
        <v>66.66</v>
      </c>
      <c r="H51" s="478">
        <v>0.66659999999999997</v>
      </c>
      <c r="I51" s="478">
        <v>22.22</v>
      </c>
      <c r="J51" s="478">
        <v>3</v>
      </c>
      <c r="K51" s="478">
        <v>100</v>
      </c>
      <c r="L51" s="478">
        <v>1</v>
      </c>
      <c r="M51" s="478">
        <v>33.333333333333336</v>
      </c>
      <c r="N51" s="478">
        <v>2</v>
      </c>
      <c r="O51" s="478">
        <v>66.67</v>
      </c>
      <c r="P51" s="479">
        <v>0.66670000000000007</v>
      </c>
      <c r="Q51" s="480">
        <v>33.335000000000001</v>
      </c>
    </row>
    <row r="52" spans="1:17" ht="14.4" customHeight="1" x14ac:dyDescent="0.3">
      <c r="A52" s="476" t="s">
        <v>423</v>
      </c>
      <c r="B52" s="477" t="s">
        <v>370</v>
      </c>
      <c r="C52" s="477" t="s">
        <v>371</v>
      </c>
      <c r="D52" s="477" t="s">
        <v>384</v>
      </c>
      <c r="E52" s="477" t="s">
        <v>385</v>
      </c>
      <c r="F52" s="478">
        <v>6</v>
      </c>
      <c r="G52" s="478">
        <v>2100</v>
      </c>
      <c r="H52" s="478">
        <v>0.94086021505376349</v>
      </c>
      <c r="I52" s="478">
        <v>350</v>
      </c>
      <c r="J52" s="478">
        <v>6</v>
      </c>
      <c r="K52" s="478">
        <v>2232</v>
      </c>
      <c r="L52" s="478">
        <v>1</v>
      </c>
      <c r="M52" s="478">
        <v>372</v>
      </c>
      <c r="N52" s="478">
        <v>11</v>
      </c>
      <c r="O52" s="478">
        <v>4103</v>
      </c>
      <c r="P52" s="479">
        <v>1.8382616487455197</v>
      </c>
      <c r="Q52" s="480">
        <v>373</v>
      </c>
    </row>
    <row r="53" spans="1:17" ht="14.4" customHeight="1" x14ac:dyDescent="0.3">
      <c r="A53" s="476" t="s">
        <v>423</v>
      </c>
      <c r="B53" s="477" t="s">
        <v>370</v>
      </c>
      <c r="C53" s="477" t="s">
        <v>371</v>
      </c>
      <c r="D53" s="477" t="s">
        <v>389</v>
      </c>
      <c r="E53" s="477" t="s">
        <v>390</v>
      </c>
      <c r="F53" s="478">
        <v>6</v>
      </c>
      <c r="G53" s="478">
        <v>1590</v>
      </c>
      <c r="H53" s="478">
        <v>0.93971631205673756</v>
      </c>
      <c r="I53" s="478">
        <v>265</v>
      </c>
      <c r="J53" s="478">
        <v>6</v>
      </c>
      <c r="K53" s="478">
        <v>1692</v>
      </c>
      <c r="L53" s="478">
        <v>1</v>
      </c>
      <c r="M53" s="478">
        <v>282</v>
      </c>
      <c r="N53" s="478">
        <v>4</v>
      </c>
      <c r="O53" s="478">
        <v>1132</v>
      </c>
      <c r="P53" s="479">
        <v>0.66903073286052006</v>
      </c>
      <c r="Q53" s="480">
        <v>283</v>
      </c>
    </row>
    <row r="54" spans="1:17" ht="14.4" customHeight="1" x14ac:dyDescent="0.3">
      <c r="A54" s="476" t="s">
        <v>424</v>
      </c>
      <c r="B54" s="477" t="s">
        <v>370</v>
      </c>
      <c r="C54" s="477" t="s">
        <v>371</v>
      </c>
      <c r="D54" s="477" t="s">
        <v>374</v>
      </c>
      <c r="E54" s="477" t="s">
        <v>375</v>
      </c>
      <c r="F54" s="478">
        <v>3</v>
      </c>
      <c r="G54" s="478">
        <v>399</v>
      </c>
      <c r="H54" s="478">
        <v>0.35372340425531917</v>
      </c>
      <c r="I54" s="478">
        <v>133</v>
      </c>
      <c r="J54" s="478">
        <v>8</v>
      </c>
      <c r="K54" s="478">
        <v>1128</v>
      </c>
      <c r="L54" s="478">
        <v>1</v>
      </c>
      <c r="M54" s="478">
        <v>141</v>
      </c>
      <c r="N54" s="478">
        <v>3</v>
      </c>
      <c r="O54" s="478">
        <v>423</v>
      </c>
      <c r="P54" s="479">
        <v>0.375</v>
      </c>
      <c r="Q54" s="480">
        <v>141</v>
      </c>
    </row>
    <row r="55" spans="1:17" ht="14.4" customHeight="1" x14ac:dyDescent="0.3">
      <c r="A55" s="476" t="s">
        <v>424</v>
      </c>
      <c r="B55" s="477" t="s">
        <v>370</v>
      </c>
      <c r="C55" s="477" t="s">
        <v>371</v>
      </c>
      <c r="D55" s="477" t="s">
        <v>379</v>
      </c>
      <c r="E55" s="477" t="s">
        <v>380</v>
      </c>
      <c r="F55" s="478">
        <v>311</v>
      </c>
      <c r="G55" s="478">
        <v>161098</v>
      </c>
      <c r="H55" s="478">
        <v>0.65759922279052485</v>
      </c>
      <c r="I55" s="478">
        <v>518</v>
      </c>
      <c r="J55" s="478">
        <v>443</v>
      </c>
      <c r="K55" s="478">
        <v>244979</v>
      </c>
      <c r="L55" s="478">
        <v>1</v>
      </c>
      <c r="M55" s="478">
        <v>553</v>
      </c>
      <c r="N55" s="478">
        <v>74</v>
      </c>
      <c r="O55" s="478">
        <v>40996</v>
      </c>
      <c r="P55" s="479">
        <v>0.16734495609827782</v>
      </c>
      <c r="Q55" s="480">
        <v>554</v>
      </c>
    </row>
    <row r="56" spans="1:17" ht="14.4" customHeight="1" x14ac:dyDescent="0.3">
      <c r="A56" s="476" t="s">
        <v>424</v>
      </c>
      <c r="B56" s="477" t="s">
        <v>370</v>
      </c>
      <c r="C56" s="477" t="s">
        <v>371</v>
      </c>
      <c r="D56" s="477" t="s">
        <v>379</v>
      </c>
      <c r="E56" s="477" t="s">
        <v>381</v>
      </c>
      <c r="F56" s="478">
        <v>112</v>
      </c>
      <c r="G56" s="478">
        <v>58016</v>
      </c>
      <c r="H56" s="478">
        <v>1.3988185654008438</v>
      </c>
      <c r="I56" s="478">
        <v>518</v>
      </c>
      <c r="J56" s="478">
        <v>75</v>
      </c>
      <c r="K56" s="478">
        <v>41475</v>
      </c>
      <c r="L56" s="478">
        <v>1</v>
      </c>
      <c r="M56" s="478">
        <v>553</v>
      </c>
      <c r="N56" s="478">
        <v>57</v>
      </c>
      <c r="O56" s="478">
        <v>31578</v>
      </c>
      <c r="P56" s="479">
        <v>0.76137432188065102</v>
      </c>
      <c r="Q56" s="480">
        <v>554</v>
      </c>
    </row>
    <row r="57" spans="1:17" ht="14.4" customHeight="1" x14ac:dyDescent="0.3">
      <c r="A57" s="476" t="s">
        <v>424</v>
      </c>
      <c r="B57" s="477" t="s">
        <v>370</v>
      </c>
      <c r="C57" s="477" t="s">
        <v>371</v>
      </c>
      <c r="D57" s="477" t="s">
        <v>382</v>
      </c>
      <c r="E57" s="477" t="s">
        <v>383</v>
      </c>
      <c r="F57" s="478">
        <v>9</v>
      </c>
      <c r="G57" s="478">
        <v>33.33</v>
      </c>
      <c r="H57" s="478">
        <v>0.16664999999999999</v>
      </c>
      <c r="I57" s="478">
        <v>3.7033333333333331</v>
      </c>
      <c r="J57" s="478">
        <v>6</v>
      </c>
      <c r="K57" s="478">
        <v>200</v>
      </c>
      <c r="L57" s="478">
        <v>1</v>
      </c>
      <c r="M57" s="478">
        <v>33.333333333333336</v>
      </c>
      <c r="N57" s="478">
        <v>1</v>
      </c>
      <c r="O57" s="478">
        <v>33.33</v>
      </c>
      <c r="P57" s="479">
        <v>0.16664999999999999</v>
      </c>
      <c r="Q57" s="480">
        <v>33.33</v>
      </c>
    </row>
    <row r="58" spans="1:17" ht="14.4" customHeight="1" x14ac:dyDescent="0.3">
      <c r="A58" s="476" t="s">
        <v>424</v>
      </c>
      <c r="B58" s="477" t="s">
        <v>370</v>
      </c>
      <c r="C58" s="477" t="s">
        <v>371</v>
      </c>
      <c r="D58" s="477" t="s">
        <v>384</v>
      </c>
      <c r="E58" s="477" t="s">
        <v>385</v>
      </c>
      <c r="F58" s="478">
        <v>7</v>
      </c>
      <c r="G58" s="478">
        <v>2450</v>
      </c>
      <c r="H58" s="478">
        <v>1.3172043010752688</v>
      </c>
      <c r="I58" s="478">
        <v>350</v>
      </c>
      <c r="J58" s="478">
        <v>5</v>
      </c>
      <c r="K58" s="478">
        <v>1860</v>
      </c>
      <c r="L58" s="478">
        <v>1</v>
      </c>
      <c r="M58" s="478">
        <v>372</v>
      </c>
      <c r="N58" s="478">
        <v>5</v>
      </c>
      <c r="O58" s="478">
        <v>1865</v>
      </c>
      <c r="P58" s="479">
        <v>1.0026881720430108</v>
      </c>
      <c r="Q58" s="480">
        <v>373</v>
      </c>
    </row>
    <row r="59" spans="1:17" ht="14.4" customHeight="1" x14ac:dyDescent="0.3">
      <c r="A59" s="476" t="s">
        <v>424</v>
      </c>
      <c r="B59" s="477" t="s">
        <v>370</v>
      </c>
      <c r="C59" s="477" t="s">
        <v>371</v>
      </c>
      <c r="D59" s="477" t="s">
        <v>389</v>
      </c>
      <c r="E59" s="477" t="s">
        <v>390</v>
      </c>
      <c r="F59" s="478">
        <v>3</v>
      </c>
      <c r="G59" s="478">
        <v>795</v>
      </c>
      <c r="H59" s="478">
        <v>0.70478723404255317</v>
      </c>
      <c r="I59" s="478">
        <v>265</v>
      </c>
      <c r="J59" s="478">
        <v>4</v>
      </c>
      <c r="K59" s="478">
        <v>1128</v>
      </c>
      <c r="L59" s="478">
        <v>1</v>
      </c>
      <c r="M59" s="478">
        <v>282</v>
      </c>
      <c r="N59" s="478">
        <v>1</v>
      </c>
      <c r="O59" s="478">
        <v>283</v>
      </c>
      <c r="P59" s="479">
        <v>0.25088652482269502</v>
      </c>
      <c r="Q59" s="480">
        <v>283</v>
      </c>
    </row>
    <row r="60" spans="1:17" ht="14.4" customHeight="1" x14ac:dyDescent="0.3">
      <c r="A60" s="476" t="s">
        <v>425</v>
      </c>
      <c r="B60" s="477" t="s">
        <v>370</v>
      </c>
      <c r="C60" s="477" t="s">
        <v>371</v>
      </c>
      <c r="D60" s="477" t="s">
        <v>379</v>
      </c>
      <c r="E60" s="477" t="s">
        <v>380</v>
      </c>
      <c r="F60" s="478"/>
      <c r="G60" s="478"/>
      <c r="H60" s="478"/>
      <c r="I60" s="478"/>
      <c r="J60" s="478">
        <v>6</v>
      </c>
      <c r="K60" s="478">
        <v>3318</v>
      </c>
      <c r="L60" s="478">
        <v>1</v>
      </c>
      <c r="M60" s="478">
        <v>553</v>
      </c>
      <c r="N60" s="478"/>
      <c r="O60" s="478"/>
      <c r="P60" s="479"/>
      <c r="Q60" s="480"/>
    </row>
    <row r="61" spans="1:17" ht="14.4" customHeight="1" x14ac:dyDescent="0.3">
      <c r="A61" s="476" t="s">
        <v>425</v>
      </c>
      <c r="B61" s="477" t="s">
        <v>370</v>
      </c>
      <c r="C61" s="477" t="s">
        <v>371</v>
      </c>
      <c r="D61" s="477" t="s">
        <v>379</v>
      </c>
      <c r="E61" s="477" t="s">
        <v>381</v>
      </c>
      <c r="F61" s="478"/>
      <c r="G61" s="478"/>
      <c r="H61" s="478"/>
      <c r="I61" s="478"/>
      <c r="J61" s="478">
        <v>14</v>
      </c>
      <c r="K61" s="478">
        <v>7742</v>
      </c>
      <c r="L61" s="478">
        <v>1</v>
      </c>
      <c r="M61" s="478">
        <v>553</v>
      </c>
      <c r="N61" s="478"/>
      <c r="O61" s="478"/>
      <c r="P61" s="479"/>
      <c r="Q61" s="480"/>
    </row>
    <row r="62" spans="1:17" ht="14.4" customHeight="1" x14ac:dyDescent="0.3">
      <c r="A62" s="476" t="s">
        <v>425</v>
      </c>
      <c r="B62" s="477" t="s">
        <v>370</v>
      </c>
      <c r="C62" s="477" t="s">
        <v>371</v>
      </c>
      <c r="D62" s="477" t="s">
        <v>384</v>
      </c>
      <c r="E62" s="477" t="s">
        <v>385</v>
      </c>
      <c r="F62" s="478"/>
      <c r="G62" s="478"/>
      <c r="H62" s="478"/>
      <c r="I62" s="478"/>
      <c r="J62" s="478">
        <v>2</v>
      </c>
      <c r="K62" s="478">
        <v>744</v>
      </c>
      <c r="L62" s="478">
        <v>1</v>
      </c>
      <c r="M62" s="478">
        <v>372</v>
      </c>
      <c r="N62" s="478"/>
      <c r="O62" s="478"/>
      <c r="P62" s="479"/>
      <c r="Q62" s="480"/>
    </row>
    <row r="63" spans="1:17" ht="14.4" customHeight="1" x14ac:dyDescent="0.3">
      <c r="A63" s="476" t="s">
        <v>426</v>
      </c>
      <c r="B63" s="477" t="s">
        <v>370</v>
      </c>
      <c r="C63" s="477" t="s">
        <v>371</v>
      </c>
      <c r="D63" s="477" t="s">
        <v>379</v>
      </c>
      <c r="E63" s="477" t="s">
        <v>380</v>
      </c>
      <c r="F63" s="478">
        <v>9</v>
      </c>
      <c r="G63" s="478">
        <v>4662</v>
      </c>
      <c r="H63" s="478"/>
      <c r="I63" s="478">
        <v>518</v>
      </c>
      <c r="J63" s="478"/>
      <c r="K63" s="478"/>
      <c r="L63" s="478"/>
      <c r="M63" s="478"/>
      <c r="N63" s="478"/>
      <c r="O63" s="478"/>
      <c r="P63" s="479"/>
      <c r="Q63" s="480"/>
    </row>
    <row r="64" spans="1:17" ht="14.4" customHeight="1" x14ac:dyDescent="0.3">
      <c r="A64" s="476" t="s">
        <v>426</v>
      </c>
      <c r="B64" s="477" t="s">
        <v>370</v>
      </c>
      <c r="C64" s="477" t="s">
        <v>371</v>
      </c>
      <c r="D64" s="477" t="s">
        <v>379</v>
      </c>
      <c r="E64" s="477" t="s">
        <v>381</v>
      </c>
      <c r="F64" s="478"/>
      <c r="G64" s="478"/>
      <c r="H64" s="478"/>
      <c r="I64" s="478"/>
      <c r="J64" s="478">
        <v>10</v>
      </c>
      <c r="K64" s="478">
        <v>5530</v>
      </c>
      <c r="L64" s="478">
        <v>1</v>
      </c>
      <c r="M64" s="478">
        <v>553</v>
      </c>
      <c r="N64" s="478"/>
      <c r="O64" s="478"/>
      <c r="P64" s="479"/>
      <c r="Q64" s="480"/>
    </row>
    <row r="65" spans="1:17" ht="14.4" customHeight="1" x14ac:dyDescent="0.3">
      <c r="A65" s="476" t="s">
        <v>426</v>
      </c>
      <c r="B65" s="477" t="s">
        <v>370</v>
      </c>
      <c r="C65" s="477" t="s">
        <v>371</v>
      </c>
      <c r="D65" s="477" t="s">
        <v>382</v>
      </c>
      <c r="E65" s="477" t="s">
        <v>383</v>
      </c>
      <c r="F65" s="478">
        <v>1</v>
      </c>
      <c r="G65" s="478">
        <v>33.33</v>
      </c>
      <c r="H65" s="478">
        <v>1</v>
      </c>
      <c r="I65" s="478">
        <v>33.33</v>
      </c>
      <c r="J65" s="478">
        <v>1</v>
      </c>
      <c r="K65" s="478">
        <v>33.33</v>
      </c>
      <c r="L65" s="478">
        <v>1</v>
      </c>
      <c r="M65" s="478">
        <v>33.33</v>
      </c>
      <c r="N65" s="478"/>
      <c r="O65" s="478"/>
      <c r="P65" s="479"/>
      <c r="Q65" s="480"/>
    </row>
    <row r="66" spans="1:17" ht="14.4" customHeight="1" x14ac:dyDescent="0.3">
      <c r="A66" s="476" t="s">
        <v>426</v>
      </c>
      <c r="B66" s="477" t="s">
        <v>370</v>
      </c>
      <c r="C66" s="477" t="s">
        <v>371</v>
      </c>
      <c r="D66" s="477" t="s">
        <v>384</v>
      </c>
      <c r="E66" s="477" t="s">
        <v>385</v>
      </c>
      <c r="F66" s="478">
        <v>2</v>
      </c>
      <c r="G66" s="478">
        <v>700</v>
      </c>
      <c r="H66" s="478">
        <v>1.881720430107527</v>
      </c>
      <c r="I66" s="478">
        <v>350</v>
      </c>
      <c r="J66" s="478">
        <v>1</v>
      </c>
      <c r="K66" s="478">
        <v>372</v>
      </c>
      <c r="L66" s="478">
        <v>1</v>
      </c>
      <c r="M66" s="478">
        <v>372</v>
      </c>
      <c r="N66" s="478"/>
      <c r="O66" s="478"/>
      <c r="P66" s="479"/>
      <c r="Q66" s="480"/>
    </row>
    <row r="67" spans="1:17" ht="14.4" customHeight="1" thickBot="1" x14ac:dyDescent="0.35">
      <c r="A67" s="481" t="s">
        <v>427</v>
      </c>
      <c r="B67" s="482" t="s">
        <v>370</v>
      </c>
      <c r="C67" s="482" t="s">
        <v>371</v>
      </c>
      <c r="D67" s="482" t="s">
        <v>379</v>
      </c>
      <c r="E67" s="482" t="s">
        <v>380</v>
      </c>
      <c r="F67" s="431">
        <v>1</v>
      </c>
      <c r="G67" s="431">
        <v>518</v>
      </c>
      <c r="H67" s="431"/>
      <c r="I67" s="431">
        <v>518</v>
      </c>
      <c r="J67" s="431"/>
      <c r="K67" s="431"/>
      <c r="L67" s="431"/>
      <c r="M67" s="431"/>
      <c r="N67" s="431"/>
      <c r="O67" s="431"/>
      <c r="P67" s="432"/>
      <c r="Q67" s="441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9" bestFit="1" customWidth="1"/>
    <col min="2" max="2" width="11.6640625" style="119" hidden="1" customWidth="1"/>
    <col min="3" max="4" width="11" style="121" customWidth="1"/>
    <col min="5" max="5" width="11" style="122" customWidth="1"/>
    <col min="6" max="16384" width="8.88671875" style="119"/>
  </cols>
  <sheetData>
    <row r="1" spans="1:5" ht="18.600000000000001" thickBot="1" x14ac:dyDescent="0.4">
      <c r="A1" s="288" t="s">
        <v>92</v>
      </c>
      <c r="B1" s="288"/>
      <c r="C1" s="289"/>
      <c r="D1" s="289"/>
      <c r="E1" s="289"/>
    </row>
    <row r="2" spans="1:5" ht="14.4" customHeight="1" thickBot="1" x14ac:dyDescent="0.35">
      <c r="A2" s="193" t="s">
        <v>220</v>
      </c>
      <c r="B2" s="120"/>
    </row>
    <row r="3" spans="1:5" ht="14.4" customHeight="1" thickBot="1" x14ac:dyDescent="0.35">
      <c r="A3" s="123"/>
      <c r="C3" s="124" t="s">
        <v>82</v>
      </c>
      <c r="D3" s="125" t="s">
        <v>48</v>
      </c>
      <c r="E3" s="126" t="s">
        <v>50</v>
      </c>
    </row>
    <row r="4" spans="1:5" ht="14.4" customHeight="1" thickBot="1" x14ac:dyDescent="0.35">
      <c r="A4" s="127" t="str">
        <f>HYPERLINK("#HI!A1","NÁKLADY CELKEM (v tisících Kč)")</f>
        <v>NÁKLADY CELKEM (v tisících Kč)</v>
      </c>
      <c r="B4" s="128"/>
      <c r="C4" s="129">
        <f ca="1">IF(ISERROR(VLOOKUP("Náklady celkem",INDIRECT("HI!$A:$G"),6,0)),0,VLOOKUP("Náklady celkem",INDIRECT("HI!$A:$G"),6,0))</f>
        <v>2971.582332921982</v>
      </c>
      <c r="D4" s="129">
        <f ca="1">IF(ISERROR(VLOOKUP("Náklady celkem",INDIRECT("HI!$A:$G"),5,0)),0,VLOOKUP("Náklady celkem",INDIRECT("HI!$A:$G"),5,0))</f>
        <v>3196.3645300000003</v>
      </c>
      <c r="E4" s="130">
        <f ca="1">IF(C4=0,0,D4/C4)</f>
        <v>1.0756439404648728</v>
      </c>
    </row>
    <row r="5" spans="1:5" ht="14.4" customHeight="1" x14ac:dyDescent="0.3">
      <c r="A5" s="131" t="s">
        <v>106</v>
      </c>
      <c r="B5" s="132"/>
      <c r="C5" s="133"/>
      <c r="D5" s="133"/>
      <c r="E5" s="134"/>
    </row>
    <row r="6" spans="1:5" ht="14.4" customHeight="1" x14ac:dyDescent="0.3">
      <c r="A6" s="135" t="s">
        <v>111</v>
      </c>
      <c r="B6" s="136"/>
      <c r="C6" s="137"/>
      <c r="D6" s="137"/>
      <c r="E6" s="134"/>
    </row>
    <row r="7" spans="1:5" ht="14.4" customHeight="1" x14ac:dyDescent="0.3">
      <c r="A7" s="21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6" t="s">
        <v>86</v>
      </c>
      <c r="C7" s="137">
        <f>IF(ISERROR(HI!F5),"",HI!F5)</f>
        <v>0</v>
      </c>
      <c r="D7" s="137">
        <f>IF(ISERROR(HI!E5),"",HI!E5)</f>
        <v>0</v>
      </c>
      <c r="E7" s="134">
        <f t="shared" ref="E7:E12" si="0">IF(C7=0,0,D7/C7)</f>
        <v>0</v>
      </c>
    </row>
    <row r="8" spans="1:5" ht="14.4" customHeight="1" x14ac:dyDescent="0.3">
      <c r="A8" s="218" t="str">
        <f>HYPERLINK("#'LŽ Statim'!A1","Podíl statimových žádanek (max. 30%)")</f>
        <v>Podíl statimových žádanek (max. 30%)</v>
      </c>
      <c r="B8" s="216" t="s">
        <v>156</v>
      </c>
      <c r="C8" s="217">
        <v>0.3</v>
      </c>
      <c r="D8" s="217">
        <f>IF('LŽ Statim'!G3="",0,'LŽ Statim'!G3)</f>
        <v>0</v>
      </c>
      <c r="E8" s="134">
        <f>IF(C8=0,0,D8/C8)</f>
        <v>0</v>
      </c>
    </row>
    <row r="9" spans="1:5" ht="14.4" customHeight="1" x14ac:dyDescent="0.3">
      <c r="A9" s="139" t="s">
        <v>107</v>
      </c>
      <c r="B9" s="136"/>
      <c r="C9" s="137"/>
      <c r="D9" s="137"/>
      <c r="E9" s="134"/>
    </row>
    <row r="10" spans="1:5" ht="14.4" customHeight="1" x14ac:dyDescent="0.3">
      <c r="A10" s="139" t="s">
        <v>108</v>
      </c>
      <c r="B10" s="136"/>
      <c r="C10" s="137"/>
      <c r="D10" s="137"/>
      <c r="E10" s="134"/>
    </row>
    <row r="11" spans="1:5" ht="14.4" customHeight="1" x14ac:dyDescent="0.3">
      <c r="A11" s="140" t="s">
        <v>112</v>
      </c>
      <c r="B11" s="136"/>
      <c r="C11" s="133"/>
      <c r="D11" s="133"/>
      <c r="E11" s="134"/>
    </row>
    <row r="12" spans="1:5" ht="14.4" customHeight="1" x14ac:dyDescent="0.3">
      <c r="A12" s="14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6" t="s">
        <v>86</v>
      </c>
      <c r="C12" s="137">
        <f>IF(ISERROR(HI!F6),"",HI!F6)</f>
        <v>2.1679983139038086E-2</v>
      </c>
      <c r="D12" s="137">
        <f>IF(ISERROR(HI!E6),"",HI!E6)</f>
        <v>0</v>
      </c>
      <c r="E12" s="134">
        <f t="shared" si="0"/>
        <v>0</v>
      </c>
    </row>
    <row r="13" spans="1:5" ht="14.4" customHeight="1" thickBot="1" x14ac:dyDescent="0.35">
      <c r="A13" s="142" t="str">
        <f>HYPERLINK("#HI!A1","Osobní náklady")</f>
        <v>Osobní náklady</v>
      </c>
      <c r="B13" s="136"/>
      <c r="C13" s="133">
        <f ca="1">IF(ISERROR(VLOOKUP("Osobní náklady (Kč) *",INDIRECT("HI!$A:$G"),6,0)),0,VLOOKUP("Osobní náklady (Kč) *",INDIRECT("HI!$A:$G"),6,0))</f>
        <v>2794.1665712890626</v>
      </c>
      <c r="D13" s="133">
        <f ca="1">IF(ISERROR(VLOOKUP("Osobní náklady (Kč) *",INDIRECT("HI!$A:$G"),5,0)),0,VLOOKUP("Osobní náklady (Kč) *",INDIRECT("HI!$A:$G"),5,0))</f>
        <v>3020.2153600000001</v>
      </c>
      <c r="E13" s="134">
        <f ca="1">IF(C13=0,0,D13/C13)</f>
        <v>1.0809002552079965</v>
      </c>
    </row>
    <row r="14" spans="1:5" ht="14.4" customHeight="1" thickBot="1" x14ac:dyDescent="0.35">
      <c r="A14" s="146"/>
      <c r="B14" s="147"/>
      <c r="C14" s="148"/>
      <c r="D14" s="148"/>
      <c r="E14" s="149"/>
    </row>
    <row r="15" spans="1:5" ht="14.4" customHeight="1" thickBot="1" x14ac:dyDescent="0.35">
      <c r="A15" s="150" t="str">
        <f>HYPERLINK("#HI!A1","VÝNOSY CELKEM (v tisících)")</f>
        <v>VÝNOSY CELKEM (v tisících)</v>
      </c>
      <c r="B15" s="151"/>
      <c r="C15" s="152">
        <f ca="1">IF(ISERROR(VLOOKUP("Výnosy celkem",INDIRECT("HI!$A:$G"),6,0)),0,VLOOKUP("Výnosy celkem",INDIRECT("HI!$A:$G"),6,0))</f>
        <v>569.20767000000001</v>
      </c>
      <c r="D15" s="152">
        <f ca="1">IF(ISERROR(VLOOKUP("Výnosy celkem",INDIRECT("HI!$A:$G"),5,0)),0,VLOOKUP("Výnosy celkem",INDIRECT("HI!$A:$G"),5,0))</f>
        <v>665.68899999999996</v>
      </c>
      <c r="E15" s="153">
        <f t="shared" ref="E15:E20" ca="1" si="1">IF(C15=0,0,D15/C15)</f>
        <v>1.1695011066874765</v>
      </c>
    </row>
    <row r="16" spans="1:5" ht="14.4" customHeight="1" x14ac:dyDescent="0.3">
      <c r="A16" s="154" t="str">
        <f>HYPERLINK("#HI!A1","Ambulance (body za výkony + Kč za ZUM a ZULP)")</f>
        <v>Ambulance (body za výkony + Kč za ZUM a ZULP)</v>
      </c>
      <c r="B16" s="132"/>
      <c r="C16" s="133">
        <f ca="1">IF(ISERROR(VLOOKUP("Ambulance *",INDIRECT("HI!$A:$G"),6,0)),0,VLOOKUP("Ambulance *",INDIRECT("HI!$A:$G"),6,0))</f>
        <v>569.20767000000001</v>
      </c>
      <c r="D16" s="133">
        <f ca="1">IF(ISERROR(VLOOKUP("Ambulance *",INDIRECT("HI!$A:$G"),5,0)),0,VLOOKUP("Ambulance *",INDIRECT("HI!$A:$G"),5,0))</f>
        <v>665.68899999999996</v>
      </c>
      <c r="E16" s="134">
        <f t="shared" ca="1" si="1"/>
        <v>1.1695011066874765</v>
      </c>
    </row>
    <row r="17" spans="1:5" ht="14.4" customHeight="1" x14ac:dyDescent="0.3">
      <c r="A17" s="225" t="str">
        <f>HYPERLINK("#'ZV Vykáz.-A'!A1","Zdravotní výkony vykázané u ambulantních pacientů (min. 100 % 2016)")</f>
        <v>Zdravotní výkony vykázané u ambulantních pacientů (min. 100 % 2016)</v>
      </c>
      <c r="B17" s="226" t="s">
        <v>94</v>
      </c>
      <c r="C17" s="138">
        <v>1</v>
      </c>
      <c r="D17" s="138">
        <f>IF(ISERROR(VLOOKUP("Celkem:",'ZV Vykáz.-A'!$A:$AB,10,0)),"",VLOOKUP("Celkem:",'ZV Vykáz.-A'!$A:$AB,10,0))</f>
        <v>1.1695011066874765</v>
      </c>
      <c r="E17" s="134">
        <f t="shared" si="1"/>
        <v>1.1695011066874765</v>
      </c>
    </row>
    <row r="18" spans="1:5" ht="14.4" customHeight="1" x14ac:dyDescent="0.3">
      <c r="A18" s="224" t="str">
        <f>HYPERLINK("#'ZV Vykáz.-A'!A1","Specializovaná ambulantní péče")</f>
        <v>Specializovaná ambulantní péče</v>
      </c>
      <c r="B18" s="226" t="s">
        <v>94</v>
      </c>
      <c r="C18" s="138">
        <v>1</v>
      </c>
      <c r="D18" s="217">
        <f>IF(ISERROR(VLOOKUP("Specializovaná ambulantní péče",'ZV Vykáz.-A'!$A:$AB,10,0)),"",VLOOKUP("Specializovaná ambulantní péče",'ZV Vykáz.-A'!$A:$AB,10,0))</f>
        <v>1.1695011066874768</v>
      </c>
      <c r="E18" s="134">
        <f t="shared" si="1"/>
        <v>1.1695011066874768</v>
      </c>
    </row>
    <row r="19" spans="1:5" ht="14.4" customHeight="1" x14ac:dyDescent="0.3">
      <c r="A19" s="224" t="str">
        <f>HYPERLINK("#'ZV Vykáz.-A'!A1","Ambulantní péče ve vyjmenovaných odbornostech (§9)")</f>
        <v>Ambulantní péče ve vyjmenovaných odbornostech (§9)</v>
      </c>
      <c r="B19" s="226" t="s">
        <v>94</v>
      </c>
      <c r="C19" s="138">
        <v>1</v>
      </c>
      <c r="D19" s="217" t="str">
        <f>IF(ISERROR(VLOOKUP("Ambulantní péče ve vyjmenovaných odbornostech (§9) *",'ZV Vykáz.-A'!$A:$AB,10,0)),"",VLOOKUP("Ambulantní péče ve vyjmenovaných odbornostech (§9) *",'ZV Vykáz.-A'!$A:$AB,10,0))</f>
        <v/>
      </c>
      <c r="E19" s="134">
        <f>IF(OR(C19=0,D19=""),0,IF(C19="","",D19/C19))</f>
        <v>0</v>
      </c>
    </row>
    <row r="20" spans="1:5" ht="14.4" customHeight="1" x14ac:dyDescent="0.3">
      <c r="A20" s="155" t="str">
        <f>HYPERLINK("#'ZV Vykáz.-H'!A1","Zdravotní výkony vykázané u hospitalizovaných pacientů (max. 85 %)")</f>
        <v>Zdravotní výkony vykázané u hospitalizovaných pacientů (max. 85 %)</v>
      </c>
      <c r="B20" s="226" t="s">
        <v>96</v>
      </c>
      <c r="C20" s="138">
        <v>0.85</v>
      </c>
      <c r="D20" s="138">
        <f>IF(ISERROR(VLOOKUP("Celkem:",'ZV Vykáz.-H'!$A:$S,7,0)),"",VLOOKUP("Celkem:",'ZV Vykáz.-H'!$A:$S,7,0))</f>
        <v>0.46137114558656039</v>
      </c>
      <c r="E20" s="134">
        <f t="shared" si="1"/>
        <v>0.54278958304301228</v>
      </c>
    </row>
    <row r="21" spans="1:5" ht="14.4" customHeight="1" x14ac:dyDescent="0.3">
      <c r="A21" s="156" t="str">
        <f>HYPERLINK("#HI!A1","Hospitalizace (casemix * 30000)")</f>
        <v>Hospitalizace (casemix * 30000)</v>
      </c>
      <c r="B21" s="136"/>
      <c r="C21" s="133">
        <f ca="1">IF(ISERROR(VLOOKUP("Hospitalizace *",INDIRECT("HI!$A:$G"),6,0)),0,VLOOKUP("Hospitalizace *",INDIRECT("HI!$A:$G"),6,0))</f>
        <v>0</v>
      </c>
      <c r="D21" s="133">
        <f ca="1">IF(ISERROR(VLOOKUP("Hospitalizace *",INDIRECT("HI!$A:$G"),5,0)),0,VLOOKUP("Hospitalizace *",INDIRECT("HI!$A:$G"),5,0))</f>
        <v>0</v>
      </c>
      <c r="E21" s="134">
        <f ca="1">IF(C21=0,0,D21/C21)</f>
        <v>0</v>
      </c>
    </row>
    <row r="22" spans="1:5" ht="14.4" customHeight="1" thickBot="1" x14ac:dyDescent="0.35">
      <c r="A22" s="157" t="s">
        <v>109</v>
      </c>
      <c r="B22" s="143"/>
      <c r="C22" s="144"/>
      <c r="D22" s="144"/>
      <c r="E22" s="145"/>
    </row>
    <row r="23" spans="1:5" ht="14.4" customHeight="1" thickBot="1" x14ac:dyDescent="0.35">
      <c r="A23" s="158"/>
      <c r="B23" s="159"/>
      <c r="C23" s="160"/>
      <c r="D23" s="160"/>
      <c r="E23" s="161"/>
    </row>
    <row r="24" spans="1:5" ht="14.4" customHeight="1" thickBot="1" x14ac:dyDescent="0.35">
      <c r="A24" s="162" t="s">
        <v>110</v>
      </c>
      <c r="B24" s="163"/>
      <c r="C24" s="164"/>
      <c r="D24" s="164"/>
      <c r="E24" s="165"/>
    </row>
  </sheetData>
  <mergeCells count="1">
    <mergeCell ref="A1:E1"/>
  </mergeCells>
  <conditionalFormatting sqref="E5">
    <cfRule type="cellIs" dxfId="52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1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9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48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46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 E17:E18">
    <cfRule type="cellIs" dxfId="45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44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7:E18 E20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1" bestFit="1" customWidth="1"/>
    <col min="2" max="2" width="9.5546875" style="101" hidden="1" customWidth="1" outlineLevel="1"/>
    <col min="3" max="3" width="9.5546875" style="101" customWidth="1" collapsed="1"/>
    <col min="4" max="4" width="2.21875" style="101" customWidth="1"/>
    <col min="5" max="8" width="9.5546875" style="101" customWidth="1"/>
    <col min="9" max="10" width="9.77734375" style="101" hidden="1" customWidth="1" outlineLevel="1"/>
    <col min="11" max="11" width="8.88671875" style="101" collapsed="1"/>
    <col min="12" max="16384" width="8.88671875" style="101"/>
  </cols>
  <sheetData>
    <row r="1" spans="1:10" ht="18.600000000000001" customHeight="1" thickBot="1" x14ac:dyDescent="0.4">
      <c r="A1" s="299" t="s">
        <v>101</v>
      </c>
      <c r="B1" s="299"/>
      <c r="C1" s="299"/>
      <c r="D1" s="299"/>
      <c r="E1" s="299"/>
      <c r="F1" s="299"/>
      <c r="G1" s="299"/>
      <c r="H1" s="299"/>
      <c r="I1" s="299"/>
      <c r="J1" s="299"/>
    </row>
    <row r="2" spans="1:10" ht="14.4" customHeight="1" thickBot="1" x14ac:dyDescent="0.35">
      <c r="A2" s="193" t="s">
        <v>220</v>
      </c>
      <c r="B2" s="83"/>
      <c r="C2" s="83"/>
      <c r="D2" s="83"/>
      <c r="E2" s="83"/>
      <c r="F2" s="83"/>
    </row>
    <row r="3" spans="1:10" ht="14.4" customHeight="1" x14ac:dyDescent="0.3">
      <c r="A3" s="290"/>
      <c r="B3" s="79">
        <v>2015</v>
      </c>
      <c r="C3" s="40">
        <v>2016</v>
      </c>
      <c r="D3" s="7"/>
      <c r="E3" s="294">
        <v>2017</v>
      </c>
      <c r="F3" s="295"/>
      <c r="G3" s="295"/>
      <c r="H3" s="296"/>
      <c r="I3" s="297">
        <v>2017</v>
      </c>
      <c r="J3" s="298"/>
    </row>
    <row r="4" spans="1:10" ht="14.4" customHeight="1" thickBot="1" x14ac:dyDescent="0.35">
      <c r="A4" s="291"/>
      <c r="B4" s="292" t="s">
        <v>48</v>
      </c>
      <c r="C4" s="293"/>
      <c r="D4" s="7"/>
      <c r="E4" s="100" t="s">
        <v>48</v>
      </c>
      <c r="F4" s="81" t="s">
        <v>49</v>
      </c>
      <c r="G4" s="81" t="s">
        <v>43</v>
      </c>
      <c r="H4" s="82" t="s">
        <v>50</v>
      </c>
      <c r="I4" s="229" t="s">
        <v>186</v>
      </c>
      <c r="J4" s="230" t="s">
        <v>187</v>
      </c>
    </row>
    <row r="5" spans="1:10" ht="14.4" customHeight="1" x14ac:dyDescent="0.3">
      <c r="A5" s="84" t="str">
        <f>HYPERLINK("#'Léky Žádanky'!A1","Léky (Kč)")</f>
        <v>Léky (Kč)</v>
      </c>
      <c r="B5" s="27">
        <v>0.33858000000000005</v>
      </c>
      <c r="C5" s="29">
        <v>0</v>
      </c>
      <c r="D5" s="8"/>
      <c r="E5" s="89">
        <v>0</v>
      </c>
      <c r="F5" s="28">
        <v>0</v>
      </c>
      <c r="G5" s="88">
        <f>E5-F5</f>
        <v>0</v>
      </c>
      <c r="H5" s="94" t="str">
        <f>IF(F5&lt;0.00000001,"",E5/F5)</f>
        <v/>
      </c>
    </row>
    <row r="6" spans="1:10" ht="14.4" customHeight="1" x14ac:dyDescent="0.3">
      <c r="A6" s="84" t="str">
        <f>HYPERLINK("#'Materiál Žádanky'!A1","Materiál - SZM (Kč)")</f>
        <v>Materiál - SZM (Kč)</v>
      </c>
      <c r="B6" s="10">
        <v>1.01122</v>
      </c>
      <c r="C6" s="31">
        <v>0.16800000000000001</v>
      </c>
      <c r="D6" s="8"/>
      <c r="E6" s="90">
        <v>0</v>
      </c>
      <c r="F6" s="30">
        <v>2.1679983139038086E-2</v>
      </c>
      <c r="G6" s="91">
        <f>E6-F6</f>
        <v>-2.1679983139038086E-2</v>
      </c>
      <c r="H6" s="95">
        <f>IF(F6&lt;0.00000001,"",E6/F6)</f>
        <v>0</v>
      </c>
    </row>
    <row r="7" spans="1:10" ht="14.4" customHeight="1" x14ac:dyDescent="0.3">
      <c r="A7" s="84" t="str">
        <f>HYPERLINK("#'Osobní náklady'!A1","Osobní náklady (Kč) *")</f>
        <v>Osobní náklady (Kč) *</v>
      </c>
      <c r="B7" s="10">
        <v>2696.3835600000002</v>
      </c>
      <c r="C7" s="31">
        <v>2689.3991999999998</v>
      </c>
      <c r="D7" s="8"/>
      <c r="E7" s="90">
        <v>3020.2153600000001</v>
      </c>
      <c r="F7" s="30">
        <v>2794.1665712890626</v>
      </c>
      <c r="G7" s="91">
        <f>E7-F7</f>
        <v>226.04878871093752</v>
      </c>
      <c r="H7" s="95">
        <f>IF(F7&lt;0.00000001,"",E7/F7)</f>
        <v>1.0809002552079965</v>
      </c>
    </row>
    <row r="8" spans="1:10" ht="14.4" customHeight="1" thickBot="1" x14ac:dyDescent="0.35">
      <c r="A8" s="1" t="s">
        <v>51</v>
      </c>
      <c r="B8" s="11">
        <v>190.54181999999986</v>
      </c>
      <c r="C8" s="33">
        <v>169.65036000000021</v>
      </c>
      <c r="D8" s="8"/>
      <c r="E8" s="92">
        <v>176.14917000000014</v>
      </c>
      <c r="F8" s="32">
        <v>177.39408164978033</v>
      </c>
      <c r="G8" s="93">
        <f>E8-F8</f>
        <v>-1.2449116497801924</v>
      </c>
      <c r="H8" s="96">
        <f>IF(F8&lt;0.00000001,"",E8/F8)</f>
        <v>0.99298222557256477</v>
      </c>
    </row>
    <row r="9" spans="1:10" ht="14.4" customHeight="1" thickBot="1" x14ac:dyDescent="0.35">
      <c r="A9" s="2" t="s">
        <v>52</v>
      </c>
      <c r="B9" s="3">
        <v>2888.2751800000001</v>
      </c>
      <c r="C9" s="35">
        <v>2859.21756</v>
      </c>
      <c r="D9" s="8"/>
      <c r="E9" s="3">
        <v>3196.3645300000003</v>
      </c>
      <c r="F9" s="34">
        <v>2971.582332921982</v>
      </c>
      <c r="G9" s="34">
        <f>E9-F9</f>
        <v>224.78219707801827</v>
      </c>
      <c r="H9" s="97">
        <f>IF(F9&lt;0.00000001,"",E9/F9)</f>
        <v>1.0756439404648728</v>
      </c>
    </row>
    <row r="10" spans="1:10" ht="14.4" customHeight="1" thickBot="1" x14ac:dyDescent="0.35">
      <c r="A10" s="12"/>
      <c r="B10" s="12"/>
      <c r="C10" s="80"/>
      <c r="D10" s="8"/>
      <c r="E10" s="12"/>
      <c r="F10" s="13"/>
    </row>
    <row r="11" spans="1:10" ht="14.4" customHeight="1" x14ac:dyDescent="0.3">
      <c r="A11" s="104" t="str">
        <f>HYPERLINK("#'ZV Vykáz.-A'!A1","Ambulance *")</f>
        <v>Ambulance *</v>
      </c>
      <c r="B11" s="9">
        <f>IF(ISERROR(VLOOKUP("Celkem:",'ZV Vykáz.-A'!A:H,2,0)),0,VLOOKUP("Celkem:",'ZV Vykáz.-A'!A:H,2,0)/1000)</f>
        <v>657.56200000000001</v>
      </c>
      <c r="C11" s="29">
        <f>IF(ISERROR(VLOOKUP("Celkem:",'ZV Vykáz.-A'!A:H,5,0)),0,VLOOKUP("Celkem:",'ZV Vykáz.-A'!A:H,5,0)/1000)</f>
        <v>569.20767000000001</v>
      </c>
      <c r="D11" s="8"/>
      <c r="E11" s="89">
        <f>IF(ISERROR(VLOOKUP("Celkem:",'ZV Vykáz.-A'!A:H,8,0)),0,VLOOKUP("Celkem:",'ZV Vykáz.-A'!A:H,8,0)/1000)</f>
        <v>665.68899999999996</v>
      </c>
      <c r="F11" s="28">
        <f>C11</f>
        <v>569.20767000000001</v>
      </c>
      <c r="G11" s="88">
        <f>E11-F11</f>
        <v>96.481329999999957</v>
      </c>
      <c r="H11" s="94">
        <f>IF(F11&lt;0.00000001,"",E11/F11)</f>
        <v>1.1695011066874765</v>
      </c>
      <c r="I11" s="88">
        <f>E11-B11</f>
        <v>8.1269999999999527</v>
      </c>
      <c r="J11" s="94">
        <f>IF(B11&lt;0.00000001,"",E11/B11)</f>
        <v>1.0123592908349326</v>
      </c>
    </row>
    <row r="12" spans="1:10" ht="14.4" customHeight="1" thickBot="1" x14ac:dyDescent="0.35">
      <c r="A12" s="105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2">
        <f>IF(ISERROR(VLOOKUP("Celkem",#REF!,4,0)),0,VLOOKUP("Celkem",#REF!,4,0)*30)</f>
        <v>0</v>
      </c>
      <c r="F12" s="32">
        <f>C12</f>
        <v>0</v>
      </c>
      <c r="G12" s="93">
        <f>E12-F12</f>
        <v>0</v>
      </c>
      <c r="H12" s="96" t="str">
        <f>IF(F12&lt;0.00000001,"",E12/F12)</f>
        <v/>
      </c>
      <c r="I12" s="93">
        <f>E12-B12</f>
        <v>0</v>
      </c>
      <c r="J12" s="96" t="str">
        <f>IF(B12&lt;0.00000001,"",E12/B12)</f>
        <v/>
      </c>
    </row>
    <row r="13" spans="1:10" ht="14.4" customHeight="1" thickBot="1" x14ac:dyDescent="0.35">
      <c r="A13" s="4" t="s">
        <v>55</v>
      </c>
      <c r="B13" s="5">
        <f>SUM(B11:B12)</f>
        <v>657.56200000000001</v>
      </c>
      <c r="C13" s="37">
        <f>SUM(C11:C12)</f>
        <v>569.20767000000001</v>
      </c>
      <c r="D13" s="8"/>
      <c r="E13" s="5">
        <f>SUM(E11:E12)</f>
        <v>665.68899999999996</v>
      </c>
      <c r="F13" s="36">
        <f>SUM(F11:F12)</f>
        <v>569.20767000000001</v>
      </c>
      <c r="G13" s="36">
        <f>E13-F13</f>
        <v>96.481329999999957</v>
      </c>
      <c r="H13" s="98">
        <f>IF(F13&lt;0.00000001,"",E13/F13)</f>
        <v>1.1695011066874765</v>
      </c>
      <c r="I13" s="36">
        <f>SUM(I11:I12)</f>
        <v>8.1269999999999527</v>
      </c>
      <c r="J13" s="98">
        <f>IF(B13&lt;0.00000001,"",E13/B13)</f>
        <v>1.0123592908349326</v>
      </c>
    </row>
    <row r="14" spans="1:10" ht="14.4" customHeight="1" thickBot="1" x14ac:dyDescent="0.35">
      <c r="A14" s="12"/>
      <c r="B14" s="12"/>
      <c r="C14" s="80"/>
      <c r="D14" s="8"/>
      <c r="E14" s="12"/>
      <c r="F14" s="13"/>
    </row>
    <row r="15" spans="1:10" ht="14.4" customHeight="1" thickBot="1" x14ac:dyDescent="0.35">
      <c r="A15" s="106" t="str">
        <f>HYPERLINK("#'HI Graf'!A1","Hospodářský index (Výnosy / Náklady) *")</f>
        <v>Hospodářský index (Výnosy / Náklady) *</v>
      </c>
      <c r="B15" s="6">
        <f>IF(B9=0,"",B13/B9)</f>
        <v>0.22766598022007031</v>
      </c>
      <c r="C15" s="39">
        <f>IF(C9=0,"",C13/C9)</f>
        <v>0.19907812471604994</v>
      </c>
      <c r="D15" s="8"/>
      <c r="E15" s="6">
        <f>IF(E9=0,"",E13/E9)</f>
        <v>0.20826441845167137</v>
      </c>
      <c r="F15" s="38">
        <f>IF(F9=0,"",F13/F9)</f>
        <v>0.19155036146694723</v>
      </c>
      <c r="G15" s="38">
        <f>IF(ISERROR(F15-E15),"",E15-F15)</f>
        <v>1.671405698472414E-2</v>
      </c>
      <c r="H15" s="99">
        <f>IF(ISERROR(F15-E15),"",IF(F15&lt;0.00000001,"",E15/F15))</f>
        <v>1.0872567238021538</v>
      </c>
    </row>
    <row r="17" spans="1:8" ht="14.4" customHeight="1" x14ac:dyDescent="0.3">
      <c r="A17" s="85" t="s">
        <v>113</v>
      </c>
    </row>
    <row r="18" spans="1:8" ht="14.4" customHeight="1" x14ac:dyDescent="0.3">
      <c r="A18" s="196" t="s">
        <v>138</v>
      </c>
      <c r="B18" s="197"/>
      <c r="C18" s="197"/>
      <c r="D18" s="197"/>
      <c r="E18" s="197"/>
      <c r="F18" s="197"/>
      <c r="G18" s="197"/>
      <c r="H18" s="197"/>
    </row>
    <row r="19" spans="1:8" x14ac:dyDescent="0.3">
      <c r="A19" s="195" t="s">
        <v>137</v>
      </c>
      <c r="B19" s="197"/>
      <c r="C19" s="197"/>
      <c r="D19" s="197"/>
      <c r="E19" s="197"/>
      <c r="F19" s="197"/>
      <c r="G19" s="197"/>
      <c r="H19" s="197"/>
    </row>
    <row r="20" spans="1:8" ht="14.4" customHeight="1" x14ac:dyDescent="0.3">
      <c r="A20" s="86" t="s">
        <v>157</v>
      </c>
    </row>
    <row r="21" spans="1:8" ht="14.4" customHeight="1" x14ac:dyDescent="0.3">
      <c r="A21" s="86" t="s">
        <v>114</v>
      </c>
    </row>
    <row r="22" spans="1:8" ht="14.4" customHeight="1" x14ac:dyDescent="0.3">
      <c r="A22" s="87" t="s">
        <v>185</v>
      </c>
    </row>
    <row r="23" spans="1:8" ht="14.4" customHeight="1" x14ac:dyDescent="0.3">
      <c r="A23" s="87" t="s">
        <v>115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8" operator="greaterThan">
      <formula>0</formula>
    </cfRule>
  </conditionalFormatting>
  <conditionalFormatting sqref="G11:G13 G15">
    <cfRule type="cellIs" dxfId="42" priority="7" operator="lessThan">
      <formula>0</formula>
    </cfRule>
  </conditionalFormatting>
  <conditionalFormatting sqref="H5:H9">
    <cfRule type="cellIs" dxfId="41" priority="6" operator="greaterThan">
      <formula>1</formula>
    </cfRule>
  </conditionalFormatting>
  <conditionalFormatting sqref="H11:H13 H15">
    <cfRule type="cellIs" dxfId="40" priority="5" operator="lessThan">
      <formula>1</formula>
    </cfRule>
  </conditionalFormatting>
  <conditionalFormatting sqref="I11:I13">
    <cfRule type="cellIs" dxfId="39" priority="4" operator="lessThan">
      <formula>0</formula>
    </cfRule>
  </conditionalFormatting>
  <conditionalFormatting sqref="J11:J13">
    <cfRule type="cellIs" dxfId="38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1"/>
    <col min="2" max="13" width="8.88671875" style="101" customWidth="1"/>
    <col min="14" max="16384" width="8.88671875" style="101"/>
  </cols>
  <sheetData>
    <row r="1" spans="1:13" ht="18.600000000000001" customHeight="1" thickBot="1" x14ac:dyDescent="0.4">
      <c r="A1" s="288" t="s">
        <v>79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</row>
    <row r="2" spans="1:13" ht="14.4" customHeight="1" x14ac:dyDescent="0.3">
      <c r="A2" s="193" t="s">
        <v>220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ht="14.4" customHeight="1" x14ac:dyDescent="0.3">
      <c r="A3" s="167"/>
      <c r="B3" s="168" t="s">
        <v>57</v>
      </c>
      <c r="C3" s="169" t="s">
        <v>58</v>
      </c>
      <c r="D3" s="169" t="s">
        <v>59</v>
      </c>
      <c r="E3" s="168" t="s">
        <v>60</v>
      </c>
      <c r="F3" s="169" t="s">
        <v>61</v>
      </c>
      <c r="G3" s="169" t="s">
        <v>62</v>
      </c>
      <c r="H3" s="169" t="s">
        <v>63</v>
      </c>
      <c r="I3" s="169" t="s">
        <v>64</v>
      </c>
      <c r="J3" s="169" t="s">
        <v>65</v>
      </c>
      <c r="K3" s="169" t="s">
        <v>66</v>
      </c>
      <c r="L3" s="169" t="s">
        <v>67</v>
      </c>
      <c r="M3" s="169" t="s">
        <v>68</v>
      </c>
    </row>
    <row r="4" spans="1:13" ht="14.4" customHeight="1" x14ac:dyDescent="0.3">
      <c r="A4" s="167" t="s">
        <v>56</v>
      </c>
      <c r="B4" s="170">
        <f>(B10+B8)/B6</f>
        <v>0.25808028262340055</v>
      </c>
      <c r="C4" s="170">
        <f t="shared" ref="C4:M4" si="0">(C10+C8)/C6</f>
        <v>0.24835848647789729</v>
      </c>
      <c r="D4" s="170">
        <f t="shared" si="0"/>
        <v>0.24685044873479267</v>
      </c>
      <c r="E4" s="170">
        <f t="shared" si="0"/>
        <v>0.2405352201841322</v>
      </c>
      <c r="F4" s="170">
        <f t="shared" si="0"/>
        <v>0.25000258758965732</v>
      </c>
      <c r="G4" s="170">
        <f t="shared" si="0"/>
        <v>0.24742931914295929</v>
      </c>
      <c r="H4" s="170">
        <f t="shared" si="0"/>
        <v>0.21577493178315935</v>
      </c>
      <c r="I4" s="170">
        <f t="shared" si="0"/>
        <v>0.20444098888217999</v>
      </c>
      <c r="J4" s="170">
        <f t="shared" si="0"/>
        <v>0.20412375422992449</v>
      </c>
      <c r="K4" s="170">
        <f t="shared" si="0"/>
        <v>0.20826440280889977</v>
      </c>
      <c r="L4" s="170">
        <f t="shared" si="0"/>
        <v>0.20826440280889977</v>
      </c>
      <c r="M4" s="170">
        <f t="shared" si="0"/>
        <v>0.20826440280889977</v>
      </c>
    </row>
    <row r="5" spans="1:13" ht="14.4" customHeight="1" x14ac:dyDescent="0.3">
      <c r="A5" s="171" t="s">
        <v>29</v>
      </c>
      <c r="B5" s="170">
        <f>IF(ISERROR(VLOOKUP($A5,'Man Tab'!$A:$Q,COLUMN()+2,0)),0,VLOOKUP($A5,'Man Tab'!$A:$Q,COLUMN()+2,0))</f>
        <v>324.41192000000001</v>
      </c>
      <c r="C5" s="170">
        <f>IF(ISERROR(VLOOKUP($A5,'Man Tab'!$A:$Q,COLUMN()+2,0)),0,VLOOKUP($A5,'Man Tab'!$A:$Q,COLUMN()+2,0))</f>
        <v>314.48169000000001</v>
      </c>
      <c r="D5" s="170">
        <f>IF(ISERROR(VLOOKUP($A5,'Man Tab'!$A:$Q,COLUMN()+2,0)),0,VLOOKUP($A5,'Man Tab'!$A:$Q,COLUMN()+2,0))</f>
        <v>315.70587000000103</v>
      </c>
      <c r="E5" s="170">
        <f>IF(ISERROR(VLOOKUP($A5,'Man Tab'!$A:$Q,COLUMN()+2,0)),0,VLOOKUP($A5,'Man Tab'!$A:$Q,COLUMN()+2,0))</f>
        <v>313.15240999999997</v>
      </c>
      <c r="F5" s="170">
        <f>IF(ISERROR(VLOOKUP($A5,'Man Tab'!$A:$Q,COLUMN()+2,0)),0,VLOOKUP($A5,'Man Tab'!$A:$Q,COLUMN()+2,0))</f>
        <v>316.73426999999998</v>
      </c>
      <c r="G5" s="170">
        <f>IF(ISERROR(VLOOKUP($A5,'Man Tab'!$A:$Q,COLUMN()+2,0)),0,VLOOKUP($A5,'Man Tab'!$A:$Q,COLUMN()+2,0))</f>
        <v>310.93581999999998</v>
      </c>
      <c r="H5" s="170">
        <f>IF(ISERROR(VLOOKUP($A5,'Man Tab'!$A:$Q,COLUMN()+2,0)),0,VLOOKUP($A5,'Man Tab'!$A:$Q,COLUMN()+2,0))</f>
        <v>420.28552999999999</v>
      </c>
      <c r="I5" s="170">
        <f>IF(ISERROR(VLOOKUP($A5,'Man Tab'!$A:$Q,COLUMN()+2,0)),0,VLOOKUP($A5,'Man Tab'!$A:$Q,COLUMN()+2,0))</f>
        <v>314.33240000000097</v>
      </c>
      <c r="J5" s="170">
        <f>IF(ISERROR(VLOOKUP($A5,'Man Tab'!$A:$Q,COLUMN()+2,0)),0,VLOOKUP($A5,'Man Tab'!$A:$Q,COLUMN()+2,0))</f>
        <v>308.68857000000003</v>
      </c>
      <c r="K5" s="170">
        <f>IF(ISERROR(VLOOKUP($A5,'Man Tab'!$A:$Q,COLUMN()+2,0)),0,VLOOKUP($A5,'Man Tab'!$A:$Q,COLUMN()+2,0))</f>
        <v>257.63605000000001</v>
      </c>
      <c r="L5" s="170">
        <f>IF(ISERROR(VLOOKUP($A5,'Man Tab'!$A:$Q,COLUMN()+2,0)),0,VLOOKUP($A5,'Man Tab'!$A:$Q,COLUMN()+2,0))</f>
        <v>0</v>
      </c>
      <c r="M5" s="170">
        <f>IF(ISERROR(VLOOKUP($A5,'Man Tab'!$A:$Q,COLUMN()+2,0)),0,VLOOKUP($A5,'Man Tab'!$A:$Q,COLUMN()+2,0))</f>
        <v>0</v>
      </c>
    </row>
    <row r="6" spans="1:13" ht="14.4" customHeight="1" x14ac:dyDescent="0.3">
      <c r="A6" s="171" t="s">
        <v>52</v>
      </c>
      <c r="B6" s="172">
        <f>B5</f>
        <v>324.41192000000001</v>
      </c>
      <c r="C6" s="172">
        <f t="shared" ref="C6:M6" si="1">C5+B6</f>
        <v>638.89361000000008</v>
      </c>
      <c r="D6" s="172">
        <f t="shared" si="1"/>
        <v>954.59948000000111</v>
      </c>
      <c r="E6" s="172">
        <f t="shared" si="1"/>
        <v>1267.7518900000011</v>
      </c>
      <c r="F6" s="172">
        <f t="shared" si="1"/>
        <v>1584.4861600000011</v>
      </c>
      <c r="G6" s="172">
        <f t="shared" si="1"/>
        <v>1895.421980000001</v>
      </c>
      <c r="H6" s="172">
        <f t="shared" si="1"/>
        <v>2315.7075100000011</v>
      </c>
      <c r="I6" s="172">
        <f t="shared" si="1"/>
        <v>2630.0399100000022</v>
      </c>
      <c r="J6" s="172">
        <f t="shared" si="1"/>
        <v>2938.7284800000025</v>
      </c>
      <c r="K6" s="172">
        <f t="shared" si="1"/>
        <v>3196.3645300000026</v>
      </c>
      <c r="L6" s="172">
        <f t="shared" si="1"/>
        <v>3196.3645300000026</v>
      </c>
      <c r="M6" s="172">
        <f t="shared" si="1"/>
        <v>3196.3645300000026</v>
      </c>
    </row>
    <row r="7" spans="1:13" ht="14.4" customHeight="1" x14ac:dyDescent="0.3">
      <c r="A7" s="171" t="s">
        <v>77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</row>
    <row r="8" spans="1:13" ht="14.4" customHeight="1" x14ac:dyDescent="0.3">
      <c r="A8" s="171" t="s">
        <v>53</v>
      </c>
      <c r="B8" s="172">
        <f>B7*30</f>
        <v>0</v>
      </c>
      <c r="C8" s="172">
        <f t="shared" ref="C8:M8" si="2">C7*30</f>
        <v>0</v>
      </c>
      <c r="D8" s="172">
        <f t="shared" si="2"/>
        <v>0</v>
      </c>
      <c r="E8" s="172">
        <f t="shared" si="2"/>
        <v>0</v>
      </c>
      <c r="F8" s="172">
        <f t="shared" si="2"/>
        <v>0</v>
      </c>
      <c r="G8" s="172">
        <f t="shared" si="2"/>
        <v>0</v>
      </c>
      <c r="H8" s="172">
        <f t="shared" si="2"/>
        <v>0</v>
      </c>
      <c r="I8" s="172">
        <f t="shared" si="2"/>
        <v>0</v>
      </c>
      <c r="J8" s="172">
        <f t="shared" si="2"/>
        <v>0</v>
      </c>
      <c r="K8" s="172">
        <f t="shared" si="2"/>
        <v>0</v>
      </c>
      <c r="L8" s="172">
        <f t="shared" si="2"/>
        <v>0</v>
      </c>
      <c r="M8" s="172">
        <f t="shared" si="2"/>
        <v>0</v>
      </c>
    </row>
    <row r="9" spans="1:13" ht="14.4" customHeight="1" x14ac:dyDescent="0.3">
      <c r="A9" s="171" t="s">
        <v>78</v>
      </c>
      <c r="B9" s="171">
        <v>83724.320000000007</v>
      </c>
      <c r="C9" s="171">
        <v>74950.33</v>
      </c>
      <c r="D9" s="171">
        <v>76968.66</v>
      </c>
      <c r="E9" s="171">
        <v>69295.67</v>
      </c>
      <c r="F9" s="171">
        <v>91186.66</v>
      </c>
      <c r="G9" s="171">
        <v>72857.33</v>
      </c>
      <c r="H9" s="171">
        <v>30688.660000000003</v>
      </c>
      <c r="I9" s="171">
        <v>38016.329999999994</v>
      </c>
      <c r="J9" s="171">
        <v>62176.33</v>
      </c>
      <c r="K9" s="171">
        <v>65824.66</v>
      </c>
      <c r="L9" s="171">
        <v>0</v>
      </c>
      <c r="M9" s="171">
        <v>0</v>
      </c>
    </row>
    <row r="10" spans="1:13" ht="14.4" customHeight="1" x14ac:dyDescent="0.3">
      <c r="A10" s="171" t="s">
        <v>54</v>
      </c>
      <c r="B10" s="172">
        <f>B9/1000</f>
        <v>83.724320000000006</v>
      </c>
      <c r="C10" s="172">
        <f t="shared" ref="C10:M10" si="3">C9/1000+B10</f>
        <v>158.67465000000001</v>
      </c>
      <c r="D10" s="172">
        <f t="shared" si="3"/>
        <v>235.64331000000001</v>
      </c>
      <c r="E10" s="172">
        <f t="shared" si="3"/>
        <v>304.93898000000002</v>
      </c>
      <c r="F10" s="172">
        <f t="shared" si="3"/>
        <v>396.12564000000003</v>
      </c>
      <c r="G10" s="172">
        <f t="shared" si="3"/>
        <v>468.98297000000002</v>
      </c>
      <c r="H10" s="172">
        <f t="shared" si="3"/>
        <v>499.67163000000005</v>
      </c>
      <c r="I10" s="172">
        <f t="shared" si="3"/>
        <v>537.68796000000009</v>
      </c>
      <c r="J10" s="172">
        <f t="shared" si="3"/>
        <v>599.8642900000001</v>
      </c>
      <c r="K10" s="172">
        <f t="shared" si="3"/>
        <v>665.68895000000009</v>
      </c>
      <c r="L10" s="172">
        <f t="shared" si="3"/>
        <v>665.68895000000009</v>
      </c>
      <c r="M10" s="172">
        <f t="shared" si="3"/>
        <v>665.68895000000009</v>
      </c>
    </row>
    <row r="11" spans="1:13" ht="14.4" customHeight="1" x14ac:dyDescent="0.3">
      <c r="A11" s="167"/>
      <c r="B11" s="167" t="s">
        <v>69</v>
      </c>
      <c r="C11" s="167">
        <f ca="1">IF(MONTH(TODAY())=1,12,MONTH(TODAY())-1)</f>
        <v>10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</row>
    <row r="12" spans="1:13" ht="14.4" customHeight="1" x14ac:dyDescent="0.3">
      <c r="A12" s="167">
        <v>0</v>
      </c>
      <c r="B12" s="170">
        <f>IF(ISERROR(HI!F15),#REF!,HI!F15)</f>
        <v>0.19155036146694723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</row>
    <row r="13" spans="1:13" ht="14.4" customHeight="1" x14ac:dyDescent="0.3">
      <c r="A13" s="167">
        <v>1</v>
      </c>
      <c r="B13" s="170">
        <f>IF(ISERROR(HI!F15),#REF!,HI!F15)</f>
        <v>0.19155036146694723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1" bestFit="1" customWidth="1"/>
    <col min="2" max="2" width="12.77734375" style="101" bestFit="1" customWidth="1"/>
    <col min="3" max="3" width="13.6640625" style="101" bestFit="1" customWidth="1"/>
    <col min="4" max="15" width="7.77734375" style="101" bestFit="1" customWidth="1"/>
    <col min="16" max="16" width="8.88671875" style="101" customWidth="1"/>
    <col min="17" max="17" width="6.6640625" style="101" bestFit="1" customWidth="1"/>
    <col min="18" max="16384" width="8.88671875" style="101"/>
  </cols>
  <sheetData>
    <row r="1" spans="1:17" s="173" customFormat="1" ht="18.600000000000001" customHeight="1" thickBot="1" x14ac:dyDescent="0.4">
      <c r="A1" s="300" t="s">
        <v>222</v>
      </c>
      <c r="B1" s="300"/>
      <c r="C1" s="300"/>
      <c r="D1" s="300"/>
      <c r="E1" s="300"/>
      <c r="F1" s="300"/>
      <c r="G1" s="300"/>
      <c r="H1" s="288"/>
      <c r="I1" s="288"/>
      <c r="J1" s="288"/>
      <c r="K1" s="288"/>
      <c r="L1" s="288"/>
      <c r="M1" s="288"/>
      <c r="N1" s="288"/>
      <c r="O1" s="288"/>
      <c r="P1" s="288"/>
      <c r="Q1" s="288"/>
    </row>
    <row r="2" spans="1:17" s="173" customFormat="1" ht="14.4" customHeight="1" thickBot="1" x14ac:dyDescent="0.3">
      <c r="A2" s="193" t="s">
        <v>220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7" ht="14.4" customHeight="1" x14ac:dyDescent="0.3">
      <c r="A3" s="59"/>
      <c r="B3" s="301" t="s">
        <v>5</v>
      </c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109"/>
      <c r="Q3" s="111"/>
    </row>
    <row r="4" spans="1:17" ht="14.4" customHeight="1" x14ac:dyDescent="0.3">
      <c r="A4" s="60"/>
      <c r="B4" s="20">
        <v>2017</v>
      </c>
      <c r="C4" s="110" t="s">
        <v>6</v>
      </c>
      <c r="D4" s="223" t="s">
        <v>161</v>
      </c>
      <c r="E4" s="223" t="s">
        <v>162</v>
      </c>
      <c r="F4" s="223" t="s">
        <v>163</v>
      </c>
      <c r="G4" s="223" t="s">
        <v>164</v>
      </c>
      <c r="H4" s="223" t="s">
        <v>165</v>
      </c>
      <c r="I4" s="223" t="s">
        <v>166</v>
      </c>
      <c r="J4" s="223" t="s">
        <v>167</v>
      </c>
      <c r="K4" s="223" t="s">
        <v>168</v>
      </c>
      <c r="L4" s="223" t="s">
        <v>169</v>
      </c>
      <c r="M4" s="223" t="s">
        <v>170</v>
      </c>
      <c r="N4" s="223" t="s">
        <v>171</v>
      </c>
      <c r="O4" s="223" t="s">
        <v>172</v>
      </c>
      <c r="P4" s="303" t="s">
        <v>3</v>
      </c>
      <c r="Q4" s="304"/>
    </row>
    <row r="5" spans="1:17" ht="14.4" customHeight="1" thickBot="1" x14ac:dyDescent="0.35">
      <c r="A5" s="61"/>
      <c r="B5" s="21" t="s">
        <v>7</v>
      </c>
      <c r="C5" s="22" t="s">
        <v>7</v>
      </c>
      <c r="D5" s="22" t="s">
        <v>8</v>
      </c>
      <c r="E5" s="22" t="s">
        <v>8</v>
      </c>
      <c r="F5" s="22" t="s">
        <v>8</v>
      </c>
      <c r="G5" s="22" t="s">
        <v>8</v>
      </c>
      <c r="H5" s="22" t="s">
        <v>8</v>
      </c>
      <c r="I5" s="22" t="s">
        <v>8</v>
      </c>
      <c r="J5" s="22" t="s">
        <v>8</v>
      </c>
      <c r="K5" s="22" t="s">
        <v>8</v>
      </c>
      <c r="L5" s="22" t="s">
        <v>8</v>
      </c>
      <c r="M5" s="22" t="s">
        <v>8</v>
      </c>
      <c r="N5" s="22" t="s">
        <v>8</v>
      </c>
      <c r="O5" s="22" t="s">
        <v>8</v>
      </c>
      <c r="P5" s="22" t="s">
        <v>8</v>
      </c>
      <c r="Q5" s="23" t="s">
        <v>9</v>
      </c>
    </row>
    <row r="6" spans="1:17" ht="14.4" customHeight="1" x14ac:dyDescent="0.3">
      <c r="A6" s="14" t="s">
        <v>10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9" t="s">
        <v>221</v>
      </c>
    </row>
    <row r="7" spans="1:17" ht="14.4" customHeight="1" x14ac:dyDescent="0.3">
      <c r="A7" s="15" t="s">
        <v>11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0" t="s">
        <v>221</v>
      </c>
    </row>
    <row r="8" spans="1:17" ht="14.4" customHeight="1" x14ac:dyDescent="0.3">
      <c r="A8" s="15" t="s">
        <v>12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0" t="s">
        <v>221</v>
      </c>
    </row>
    <row r="9" spans="1:17" ht="14.4" customHeight="1" x14ac:dyDescent="0.3">
      <c r="A9" s="15" t="s">
        <v>13</v>
      </c>
      <c r="B9" s="46">
        <v>2.6015981587000001E-2</v>
      </c>
      <c r="C9" s="47">
        <v>2.1679984649999999E-3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70">
        <v>0</v>
      </c>
    </row>
    <row r="10" spans="1:17" ht="14.4" customHeight="1" x14ac:dyDescent="0.3">
      <c r="A10" s="15" t="s">
        <v>14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0" t="s">
        <v>221</v>
      </c>
    </row>
    <row r="11" spans="1:17" ht="14.4" customHeight="1" x14ac:dyDescent="0.3">
      <c r="A11" s="15" t="s">
        <v>15</v>
      </c>
      <c r="B11" s="46">
        <v>11.13397429518</v>
      </c>
      <c r="C11" s="47">
        <v>0.92783119126500002</v>
      </c>
      <c r="D11" s="47">
        <v>0.22444</v>
      </c>
      <c r="E11" s="47">
        <v>1.82284</v>
      </c>
      <c r="F11" s="47">
        <v>1.244</v>
      </c>
      <c r="G11" s="47">
        <v>0</v>
      </c>
      <c r="H11" s="47">
        <v>0.53273000000000004</v>
      </c>
      <c r="I11" s="47">
        <v>2.22553</v>
      </c>
      <c r="J11" s="47">
        <v>0.14499999999999999</v>
      </c>
      <c r="K11" s="47">
        <v>0</v>
      </c>
      <c r="L11" s="47">
        <v>0</v>
      </c>
      <c r="M11" s="47">
        <v>1.48827</v>
      </c>
      <c r="N11" s="47">
        <v>0</v>
      </c>
      <c r="O11" s="47">
        <v>0</v>
      </c>
      <c r="P11" s="48">
        <v>7.6828099999999999</v>
      </c>
      <c r="Q11" s="70">
        <v>0.82803963396799996</v>
      </c>
    </row>
    <row r="12" spans="1:17" ht="14.4" customHeight="1" x14ac:dyDescent="0.3">
      <c r="A12" s="15" t="s">
        <v>16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0" t="s">
        <v>221</v>
      </c>
    </row>
    <row r="13" spans="1:17" ht="14.4" customHeight="1" x14ac:dyDescent="0.3">
      <c r="A13" s="15" t="s">
        <v>17</v>
      </c>
      <c r="B13" s="46">
        <v>2</v>
      </c>
      <c r="C13" s="47">
        <v>0.166666666666</v>
      </c>
      <c r="D13" s="47">
        <v>0.29766999999999999</v>
      </c>
      <c r="E13" s="47">
        <v>0</v>
      </c>
      <c r="F13" s="47">
        <v>0.67639000000000005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0.97406000000000004</v>
      </c>
      <c r="Q13" s="70">
        <v>0.58443599999999996</v>
      </c>
    </row>
    <row r="14" spans="1:17" ht="14.4" customHeight="1" x14ac:dyDescent="0.3">
      <c r="A14" s="15" t="s">
        <v>18</v>
      </c>
      <c r="B14" s="46">
        <v>149.503906610581</v>
      </c>
      <c r="C14" s="47">
        <v>12.458658884215</v>
      </c>
      <c r="D14" s="47">
        <v>18.437999999999999</v>
      </c>
      <c r="E14" s="47">
        <v>14.398999999999999</v>
      </c>
      <c r="F14" s="47">
        <v>13.683999999999999</v>
      </c>
      <c r="G14" s="47">
        <v>10.694000000000001</v>
      </c>
      <c r="H14" s="47">
        <v>10.526999999999999</v>
      </c>
      <c r="I14" s="47">
        <v>8.7750000000000004</v>
      </c>
      <c r="J14" s="47">
        <v>8.0909999999999993</v>
      </c>
      <c r="K14" s="47">
        <v>9.0649999999999995</v>
      </c>
      <c r="L14" s="47">
        <v>9.3940000000000001</v>
      </c>
      <c r="M14" s="47">
        <v>11.801</v>
      </c>
      <c r="N14" s="47">
        <v>0</v>
      </c>
      <c r="O14" s="47">
        <v>0</v>
      </c>
      <c r="P14" s="48">
        <v>114.86799999999999</v>
      </c>
      <c r="Q14" s="70">
        <v>0.92199329853599998</v>
      </c>
    </row>
    <row r="15" spans="1:17" ht="14.4" customHeight="1" x14ac:dyDescent="0.3">
      <c r="A15" s="15" t="s">
        <v>19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0" t="s">
        <v>221</v>
      </c>
    </row>
    <row r="16" spans="1:17" ht="14.4" customHeight="1" x14ac:dyDescent="0.3">
      <c r="A16" s="15" t="s">
        <v>20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0" t="s">
        <v>221</v>
      </c>
    </row>
    <row r="17" spans="1:17" ht="14.4" customHeight="1" x14ac:dyDescent="0.3">
      <c r="A17" s="15" t="s">
        <v>21</v>
      </c>
      <c r="B17" s="46">
        <v>2.124120602439</v>
      </c>
      <c r="C17" s="47">
        <v>0.17701005020300001</v>
      </c>
      <c r="D17" s="47">
        <v>0</v>
      </c>
      <c r="E17" s="47">
        <v>0</v>
      </c>
      <c r="F17" s="47">
        <v>0.26140000000000002</v>
      </c>
      <c r="G17" s="47">
        <v>0</v>
      </c>
      <c r="H17" s="47">
        <v>0</v>
      </c>
      <c r="I17" s="47">
        <v>0.13683000000000001</v>
      </c>
      <c r="J17" s="47">
        <v>0.90991999999999995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1.3081499999999999</v>
      </c>
      <c r="Q17" s="70">
        <v>0.73902583412400003</v>
      </c>
    </row>
    <row r="18" spans="1:17" ht="14.4" customHeight="1" x14ac:dyDescent="0.3">
      <c r="A18" s="15" t="s">
        <v>22</v>
      </c>
      <c r="B18" s="46">
        <v>0</v>
      </c>
      <c r="C18" s="47">
        <v>0</v>
      </c>
      <c r="D18" s="47">
        <v>0.52</v>
      </c>
      <c r="E18" s="47">
        <v>0</v>
      </c>
      <c r="F18" s="47">
        <v>0</v>
      </c>
      <c r="G18" s="47">
        <v>1.6359999999999999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1.1970000000000001</v>
      </c>
      <c r="N18" s="47">
        <v>0</v>
      </c>
      <c r="O18" s="47">
        <v>0</v>
      </c>
      <c r="P18" s="48">
        <v>3.3530000000000002</v>
      </c>
      <c r="Q18" s="70" t="s">
        <v>221</v>
      </c>
    </row>
    <row r="19" spans="1:17" ht="14.4" customHeight="1" x14ac:dyDescent="0.3">
      <c r="A19" s="15" t="s">
        <v>23</v>
      </c>
      <c r="B19" s="46">
        <v>27.110895325348</v>
      </c>
      <c r="C19" s="47">
        <v>2.2592412771119998</v>
      </c>
      <c r="D19" s="47">
        <v>2.7864100000000001</v>
      </c>
      <c r="E19" s="47">
        <v>1.8453200000000001</v>
      </c>
      <c r="F19" s="47">
        <v>1.8263199999999999</v>
      </c>
      <c r="G19" s="47">
        <v>2.8891399999999998</v>
      </c>
      <c r="H19" s="47">
        <v>1.85578</v>
      </c>
      <c r="I19" s="47">
        <v>2.4859399999999998</v>
      </c>
      <c r="J19" s="47">
        <v>3.1084900000000002</v>
      </c>
      <c r="K19" s="47">
        <v>1.9434100000000001</v>
      </c>
      <c r="L19" s="47">
        <v>1.73692</v>
      </c>
      <c r="M19" s="47">
        <v>2.73542</v>
      </c>
      <c r="N19" s="47">
        <v>0</v>
      </c>
      <c r="O19" s="47">
        <v>0</v>
      </c>
      <c r="P19" s="48">
        <v>23.213149999999999</v>
      </c>
      <c r="Q19" s="70">
        <v>1.027475473078</v>
      </c>
    </row>
    <row r="20" spans="1:17" ht="14.4" customHeight="1" x14ac:dyDescent="0.3">
      <c r="A20" s="15" t="s">
        <v>24</v>
      </c>
      <c r="B20" s="46">
        <v>3353</v>
      </c>
      <c r="C20" s="47">
        <v>279.41666666666703</v>
      </c>
      <c r="D20" s="47">
        <v>298.8184</v>
      </c>
      <c r="E20" s="47">
        <v>294.68752999999998</v>
      </c>
      <c r="F20" s="47">
        <v>296.28676000000098</v>
      </c>
      <c r="G20" s="47">
        <v>296.20627000000002</v>
      </c>
      <c r="H20" s="47">
        <v>297.71176000000003</v>
      </c>
      <c r="I20" s="47">
        <v>295.58551999999997</v>
      </c>
      <c r="J20" s="47">
        <v>406.30412000000001</v>
      </c>
      <c r="K20" s="47">
        <v>301.59699000000103</v>
      </c>
      <c r="L20" s="47">
        <v>295.83064999999999</v>
      </c>
      <c r="M20" s="47">
        <v>237.18736000000001</v>
      </c>
      <c r="N20" s="47">
        <v>0</v>
      </c>
      <c r="O20" s="47">
        <v>0</v>
      </c>
      <c r="P20" s="48">
        <v>3020.2153600000001</v>
      </c>
      <c r="Q20" s="70">
        <v>1.0809002183109999</v>
      </c>
    </row>
    <row r="21" spans="1:17" ht="14.4" customHeight="1" x14ac:dyDescent="0.3">
      <c r="A21" s="16" t="s">
        <v>25</v>
      </c>
      <c r="B21" s="46">
        <v>21</v>
      </c>
      <c r="C21" s="47">
        <v>1.75</v>
      </c>
      <c r="D21" s="47">
        <v>1.7270000000000001</v>
      </c>
      <c r="E21" s="47">
        <v>1.7270000000000001</v>
      </c>
      <c r="F21" s="47">
        <v>1.7270000000000001</v>
      </c>
      <c r="G21" s="47">
        <v>1.7270000000000001</v>
      </c>
      <c r="H21" s="47">
        <v>1.7270000000000001</v>
      </c>
      <c r="I21" s="47">
        <v>1.7270000000000001</v>
      </c>
      <c r="J21" s="47">
        <v>1.7270000000000001</v>
      </c>
      <c r="K21" s="47">
        <v>1.7270000000000001</v>
      </c>
      <c r="L21" s="47">
        <v>1.7270000000000001</v>
      </c>
      <c r="M21" s="47">
        <v>1.7270000000000001</v>
      </c>
      <c r="N21" s="47">
        <v>0</v>
      </c>
      <c r="O21" s="47">
        <v>0</v>
      </c>
      <c r="P21" s="48">
        <v>17.27</v>
      </c>
      <c r="Q21" s="70">
        <v>0.98685714285699999</v>
      </c>
    </row>
    <row r="22" spans="1:17" ht="14.4" customHeight="1" x14ac:dyDescent="0.3">
      <c r="A22" s="15" t="s">
        <v>26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4.38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4.38</v>
      </c>
      <c r="Q22" s="70" t="s">
        <v>221</v>
      </c>
    </row>
    <row r="23" spans="1:17" ht="14.4" customHeight="1" x14ac:dyDescent="0.3">
      <c r="A23" s="16" t="s">
        <v>27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0" t="s">
        <v>221</v>
      </c>
    </row>
    <row r="24" spans="1:17" ht="14.4" customHeight="1" x14ac:dyDescent="0.3">
      <c r="A24" s="16" t="s">
        <v>28</v>
      </c>
      <c r="B24" s="46">
        <v>0</v>
      </c>
      <c r="C24" s="47">
        <v>0</v>
      </c>
      <c r="D24" s="47">
        <v>1.6</v>
      </c>
      <c r="E24" s="47">
        <v>0</v>
      </c>
      <c r="F24" s="47">
        <v>0</v>
      </c>
      <c r="G24" s="47">
        <v>5.6843418860808002E-14</v>
      </c>
      <c r="H24" s="47">
        <v>5.6843418860808002E-14</v>
      </c>
      <c r="I24" s="47">
        <v>5.6843418860808002E-14</v>
      </c>
      <c r="J24" s="47">
        <v>0</v>
      </c>
      <c r="K24" s="47">
        <v>-5.6843418860808002E-14</v>
      </c>
      <c r="L24" s="47">
        <v>5.6843418860808002E-14</v>
      </c>
      <c r="M24" s="47">
        <v>1.5</v>
      </c>
      <c r="N24" s="47">
        <v>0</v>
      </c>
      <c r="O24" s="47">
        <v>0</v>
      </c>
      <c r="P24" s="48">
        <v>3.1</v>
      </c>
      <c r="Q24" s="70"/>
    </row>
    <row r="25" spans="1:17" ht="14.4" customHeight="1" x14ac:dyDescent="0.3">
      <c r="A25" s="17" t="s">
        <v>29</v>
      </c>
      <c r="B25" s="49">
        <v>3565.8989128151402</v>
      </c>
      <c r="C25" s="50">
        <v>297.15824273459498</v>
      </c>
      <c r="D25" s="50">
        <v>324.41192000000001</v>
      </c>
      <c r="E25" s="50">
        <v>314.48169000000001</v>
      </c>
      <c r="F25" s="50">
        <v>315.70587000000103</v>
      </c>
      <c r="G25" s="50">
        <v>313.15240999999997</v>
      </c>
      <c r="H25" s="50">
        <v>316.73426999999998</v>
      </c>
      <c r="I25" s="50">
        <v>310.93581999999998</v>
      </c>
      <c r="J25" s="50">
        <v>420.28552999999999</v>
      </c>
      <c r="K25" s="50">
        <v>314.33240000000097</v>
      </c>
      <c r="L25" s="50">
        <v>308.68857000000003</v>
      </c>
      <c r="M25" s="50">
        <v>257.63605000000001</v>
      </c>
      <c r="N25" s="50">
        <v>0</v>
      </c>
      <c r="O25" s="50">
        <v>0</v>
      </c>
      <c r="P25" s="51">
        <v>3196.3645299999998</v>
      </c>
      <c r="Q25" s="71">
        <v>1.0756439062850001</v>
      </c>
    </row>
    <row r="26" spans="1:17" ht="14.4" customHeight="1" x14ac:dyDescent="0.3">
      <c r="A26" s="15" t="s">
        <v>30</v>
      </c>
      <c r="B26" s="46">
        <v>440.28554719296602</v>
      </c>
      <c r="C26" s="47">
        <v>36.690462266079997</v>
      </c>
      <c r="D26" s="47">
        <v>33.292839999999998</v>
      </c>
      <c r="E26" s="47">
        <v>32.205010000000001</v>
      </c>
      <c r="F26" s="47">
        <v>38.443579999999997</v>
      </c>
      <c r="G26" s="47">
        <v>36.743369999999999</v>
      </c>
      <c r="H26" s="47">
        <v>39.903179999999999</v>
      </c>
      <c r="I26" s="47">
        <v>41.738300000000002</v>
      </c>
      <c r="J26" s="47">
        <v>47.331090000000003</v>
      </c>
      <c r="K26" s="47">
        <v>51.25909</v>
      </c>
      <c r="L26" s="47">
        <v>34.099620000000002</v>
      </c>
      <c r="M26" s="47">
        <v>40.421950000000002</v>
      </c>
      <c r="N26" s="47">
        <v>0</v>
      </c>
      <c r="O26" s="47">
        <v>0</v>
      </c>
      <c r="P26" s="48">
        <v>395.43803000000003</v>
      </c>
      <c r="Q26" s="70">
        <v>1.077767914539</v>
      </c>
    </row>
    <row r="27" spans="1:17" ht="14.4" customHeight="1" x14ac:dyDescent="0.3">
      <c r="A27" s="18" t="s">
        <v>31</v>
      </c>
      <c r="B27" s="49">
        <v>4006.1844600080999</v>
      </c>
      <c r="C27" s="50">
        <v>333.84870500067501</v>
      </c>
      <c r="D27" s="50">
        <v>357.70476000000002</v>
      </c>
      <c r="E27" s="50">
        <v>346.68669999999997</v>
      </c>
      <c r="F27" s="50">
        <v>354.14945000000102</v>
      </c>
      <c r="G27" s="50">
        <v>349.89578</v>
      </c>
      <c r="H27" s="50">
        <v>356.63745</v>
      </c>
      <c r="I27" s="50">
        <v>352.67412000000002</v>
      </c>
      <c r="J27" s="50">
        <v>467.61662000000001</v>
      </c>
      <c r="K27" s="50">
        <v>365.59149000000099</v>
      </c>
      <c r="L27" s="50">
        <v>342.78818999999999</v>
      </c>
      <c r="M27" s="50">
        <v>298.05799999999999</v>
      </c>
      <c r="N27" s="50">
        <v>0</v>
      </c>
      <c r="O27" s="50">
        <v>0</v>
      </c>
      <c r="P27" s="51">
        <v>3591.8025600000001</v>
      </c>
      <c r="Q27" s="71">
        <v>1.0758773379069999</v>
      </c>
    </row>
    <row r="28" spans="1:17" ht="14.4" customHeight="1" x14ac:dyDescent="0.3">
      <c r="A28" s="16" t="s">
        <v>32</v>
      </c>
      <c r="B28" s="46">
        <v>1</v>
      </c>
      <c r="C28" s="47">
        <v>8.3333333332999998E-2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70">
        <v>0</v>
      </c>
    </row>
    <row r="29" spans="1:17" ht="14.4" customHeight="1" x14ac:dyDescent="0.3">
      <c r="A29" s="16" t="s">
        <v>33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0" t="s">
        <v>221</v>
      </c>
    </row>
    <row r="30" spans="1:17" ht="14.4" customHeight="1" x14ac:dyDescent="0.3">
      <c r="A30" s="16" t="s">
        <v>34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0">
        <v>0</v>
      </c>
    </row>
    <row r="31" spans="1:17" ht="14.4" customHeight="1" thickBot="1" x14ac:dyDescent="0.35">
      <c r="A31" s="19" t="s">
        <v>35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2" t="s">
        <v>221</v>
      </c>
    </row>
    <row r="32" spans="1:17" ht="14.4" customHeight="1" x14ac:dyDescent="0.3"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</row>
    <row r="33" spans="1:17" ht="14.4" customHeight="1" x14ac:dyDescent="0.3">
      <c r="A33" s="85" t="s">
        <v>113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1:17" ht="14.4" customHeight="1" x14ac:dyDescent="0.3">
      <c r="A34" s="107" t="s">
        <v>173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1:17" ht="14.4" customHeight="1" x14ac:dyDescent="0.3">
      <c r="A35" s="108" t="s">
        <v>36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1" customWidth="1"/>
    <col min="2" max="11" width="10" style="101" customWidth="1"/>
    <col min="12" max="16384" width="8.88671875" style="101"/>
  </cols>
  <sheetData>
    <row r="1" spans="1:11" s="55" customFormat="1" ht="18.600000000000001" customHeight="1" thickBot="1" x14ac:dyDescent="0.4">
      <c r="A1" s="300" t="s">
        <v>37</v>
      </c>
      <c r="B1" s="300"/>
      <c r="C1" s="300"/>
      <c r="D1" s="300"/>
      <c r="E1" s="300"/>
      <c r="F1" s="300"/>
      <c r="G1" s="300"/>
      <c r="H1" s="305"/>
      <c r="I1" s="305"/>
      <c r="J1" s="305"/>
      <c r="K1" s="305"/>
    </row>
    <row r="2" spans="1:11" s="55" customFormat="1" ht="14.4" customHeight="1" thickBot="1" x14ac:dyDescent="0.35">
      <c r="A2" s="193" t="s">
        <v>220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9"/>
      <c r="B3" s="301" t="s">
        <v>38</v>
      </c>
      <c r="C3" s="302"/>
      <c r="D3" s="302"/>
      <c r="E3" s="302"/>
      <c r="F3" s="308" t="s">
        <v>39</v>
      </c>
      <c r="G3" s="302"/>
      <c r="H3" s="302"/>
      <c r="I3" s="302"/>
      <c r="J3" s="302"/>
      <c r="K3" s="309"/>
    </row>
    <row r="4" spans="1:11" ht="14.4" customHeight="1" x14ac:dyDescent="0.3">
      <c r="A4" s="60"/>
      <c r="B4" s="306"/>
      <c r="C4" s="307"/>
      <c r="D4" s="307"/>
      <c r="E4" s="307"/>
      <c r="F4" s="310" t="s">
        <v>174</v>
      </c>
      <c r="G4" s="312" t="s">
        <v>40</v>
      </c>
      <c r="H4" s="112" t="s">
        <v>105</v>
      </c>
      <c r="I4" s="310" t="s">
        <v>41</v>
      </c>
      <c r="J4" s="312" t="s">
        <v>181</v>
      </c>
      <c r="K4" s="313" t="s">
        <v>175</v>
      </c>
    </row>
    <row r="5" spans="1:11" ht="42" thickBot="1" x14ac:dyDescent="0.35">
      <c r="A5" s="61"/>
      <c r="B5" s="24" t="s">
        <v>177</v>
      </c>
      <c r="C5" s="25" t="s">
        <v>178</v>
      </c>
      <c r="D5" s="26" t="s">
        <v>179</v>
      </c>
      <c r="E5" s="26" t="s">
        <v>180</v>
      </c>
      <c r="F5" s="311"/>
      <c r="G5" s="311"/>
      <c r="H5" s="25" t="s">
        <v>176</v>
      </c>
      <c r="I5" s="311"/>
      <c r="J5" s="311"/>
      <c r="K5" s="314"/>
    </row>
    <row r="6" spans="1:11" ht="14.4" customHeight="1" thickBot="1" x14ac:dyDescent="0.35">
      <c r="A6" s="406" t="s">
        <v>223</v>
      </c>
      <c r="B6" s="388">
        <v>3463.4170893518199</v>
      </c>
      <c r="C6" s="388">
        <v>3594.6075000000001</v>
      </c>
      <c r="D6" s="389">
        <v>131.190410648181</v>
      </c>
      <c r="E6" s="390">
        <v>1.0378788945320001</v>
      </c>
      <c r="F6" s="388">
        <v>3565.8989128151402</v>
      </c>
      <c r="G6" s="389">
        <v>2971.5824273459498</v>
      </c>
      <c r="H6" s="391">
        <v>257.63605000000001</v>
      </c>
      <c r="I6" s="388">
        <v>3196.3645299999998</v>
      </c>
      <c r="J6" s="389">
        <v>224.78210265405201</v>
      </c>
      <c r="K6" s="392">
        <v>0.896369921904</v>
      </c>
    </row>
    <row r="7" spans="1:11" ht="14.4" customHeight="1" thickBot="1" x14ac:dyDescent="0.35">
      <c r="A7" s="407" t="s">
        <v>224</v>
      </c>
      <c r="B7" s="388">
        <v>152.785294993881</v>
      </c>
      <c r="C7" s="388">
        <v>154.99132</v>
      </c>
      <c r="D7" s="389">
        <v>2.2060250061179998</v>
      </c>
      <c r="E7" s="390">
        <v>1.0144387259659999</v>
      </c>
      <c r="F7" s="388">
        <v>162.66389688734901</v>
      </c>
      <c r="G7" s="389">
        <v>135.553247406124</v>
      </c>
      <c r="H7" s="391">
        <v>13.28927</v>
      </c>
      <c r="I7" s="388">
        <v>123.52487000000001</v>
      </c>
      <c r="J7" s="389">
        <v>-12.028377406123999</v>
      </c>
      <c r="K7" s="392">
        <v>0.75938713115599998</v>
      </c>
    </row>
    <row r="8" spans="1:11" ht="14.4" customHeight="1" thickBot="1" x14ac:dyDescent="0.35">
      <c r="A8" s="408" t="s">
        <v>225</v>
      </c>
      <c r="B8" s="388">
        <v>10.615760610106999</v>
      </c>
      <c r="C8" s="388">
        <v>10.50732</v>
      </c>
      <c r="D8" s="389">
        <v>-0.108440610107</v>
      </c>
      <c r="E8" s="390">
        <v>0.98978494202199996</v>
      </c>
      <c r="F8" s="388">
        <v>13.159990276766999</v>
      </c>
      <c r="G8" s="389">
        <v>10.966658563973001</v>
      </c>
      <c r="H8" s="391">
        <v>1.48827</v>
      </c>
      <c r="I8" s="388">
        <v>8.6568699999999996</v>
      </c>
      <c r="J8" s="389">
        <v>-2.309788563973</v>
      </c>
      <c r="K8" s="392">
        <v>0.65781735532700003</v>
      </c>
    </row>
    <row r="9" spans="1:11" ht="14.4" customHeight="1" thickBot="1" x14ac:dyDescent="0.35">
      <c r="A9" s="409" t="s">
        <v>226</v>
      </c>
      <c r="B9" s="393">
        <v>0.338580030566</v>
      </c>
      <c r="C9" s="393">
        <v>0</v>
      </c>
      <c r="D9" s="394">
        <v>-0.338580030566</v>
      </c>
      <c r="E9" s="395">
        <v>0</v>
      </c>
      <c r="F9" s="393">
        <v>0</v>
      </c>
      <c r="G9" s="394">
        <v>0</v>
      </c>
      <c r="H9" s="396">
        <v>0</v>
      </c>
      <c r="I9" s="393">
        <v>0</v>
      </c>
      <c r="J9" s="394">
        <v>0</v>
      </c>
      <c r="K9" s="397" t="s">
        <v>221</v>
      </c>
    </row>
    <row r="10" spans="1:11" ht="14.4" customHeight="1" thickBot="1" x14ac:dyDescent="0.35">
      <c r="A10" s="410" t="s">
        <v>227</v>
      </c>
      <c r="B10" s="388">
        <v>0.338580030566</v>
      </c>
      <c r="C10" s="388">
        <v>0</v>
      </c>
      <c r="D10" s="389">
        <v>-0.338580030566</v>
      </c>
      <c r="E10" s="390">
        <v>0</v>
      </c>
      <c r="F10" s="388">
        <v>0</v>
      </c>
      <c r="G10" s="389">
        <v>0</v>
      </c>
      <c r="H10" s="391">
        <v>0</v>
      </c>
      <c r="I10" s="388">
        <v>0</v>
      </c>
      <c r="J10" s="389">
        <v>0</v>
      </c>
      <c r="K10" s="392">
        <v>0</v>
      </c>
    </row>
    <row r="11" spans="1:11" ht="14.4" customHeight="1" thickBot="1" x14ac:dyDescent="0.35">
      <c r="A11" s="409" t="s">
        <v>228</v>
      </c>
      <c r="B11" s="393">
        <v>0.28936002612299999</v>
      </c>
      <c r="C11" s="393">
        <v>0.16800000000000001</v>
      </c>
      <c r="D11" s="394">
        <v>-0.12136002612299999</v>
      </c>
      <c r="E11" s="395">
        <v>0.58059159812299999</v>
      </c>
      <c r="F11" s="393">
        <v>2.6015981587000001E-2</v>
      </c>
      <c r="G11" s="394">
        <v>2.1679984656E-2</v>
      </c>
      <c r="H11" s="396">
        <v>0</v>
      </c>
      <c r="I11" s="393">
        <v>0</v>
      </c>
      <c r="J11" s="394">
        <v>-2.1679984656E-2</v>
      </c>
      <c r="K11" s="398">
        <v>0</v>
      </c>
    </row>
    <row r="12" spans="1:11" ht="14.4" customHeight="1" thickBot="1" x14ac:dyDescent="0.35">
      <c r="A12" s="410" t="s">
        <v>229</v>
      </c>
      <c r="B12" s="388">
        <v>0.28936002612299999</v>
      </c>
      <c r="C12" s="388">
        <v>0</v>
      </c>
      <c r="D12" s="389">
        <v>-0.28936002612299999</v>
      </c>
      <c r="E12" s="390">
        <v>0</v>
      </c>
      <c r="F12" s="388">
        <v>0</v>
      </c>
      <c r="G12" s="389">
        <v>0</v>
      </c>
      <c r="H12" s="391">
        <v>0</v>
      </c>
      <c r="I12" s="388">
        <v>0</v>
      </c>
      <c r="J12" s="389">
        <v>0</v>
      </c>
      <c r="K12" s="392">
        <v>0</v>
      </c>
    </row>
    <row r="13" spans="1:11" ht="14.4" customHeight="1" thickBot="1" x14ac:dyDescent="0.35">
      <c r="A13" s="410" t="s">
        <v>230</v>
      </c>
      <c r="B13" s="388">
        <v>0</v>
      </c>
      <c r="C13" s="388">
        <v>2.5999999999999999E-2</v>
      </c>
      <c r="D13" s="389">
        <v>2.5999999999999999E-2</v>
      </c>
      <c r="E13" s="399" t="s">
        <v>221</v>
      </c>
      <c r="F13" s="388">
        <v>2.6015981587000001E-2</v>
      </c>
      <c r="G13" s="389">
        <v>2.1679984656E-2</v>
      </c>
      <c r="H13" s="391">
        <v>0</v>
      </c>
      <c r="I13" s="388">
        <v>0</v>
      </c>
      <c r="J13" s="389">
        <v>-2.1679984656E-2</v>
      </c>
      <c r="K13" s="392">
        <v>0</v>
      </c>
    </row>
    <row r="14" spans="1:11" ht="14.4" customHeight="1" thickBot="1" x14ac:dyDescent="0.35">
      <c r="A14" s="410" t="s">
        <v>231</v>
      </c>
      <c r="B14" s="388">
        <v>0</v>
      </c>
      <c r="C14" s="388">
        <v>0.14199999999999999</v>
      </c>
      <c r="D14" s="389">
        <v>0.14199999999999999</v>
      </c>
      <c r="E14" s="399" t="s">
        <v>232</v>
      </c>
      <c r="F14" s="388">
        <v>0</v>
      </c>
      <c r="G14" s="389">
        <v>0</v>
      </c>
      <c r="H14" s="391">
        <v>0</v>
      </c>
      <c r="I14" s="388">
        <v>0</v>
      </c>
      <c r="J14" s="389">
        <v>0</v>
      </c>
      <c r="K14" s="400" t="s">
        <v>221</v>
      </c>
    </row>
    <row r="15" spans="1:11" ht="14.4" customHeight="1" thickBot="1" x14ac:dyDescent="0.35">
      <c r="A15" s="409" t="s">
        <v>233</v>
      </c>
      <c r="B15" s="393">
        <v>9.8668176663189993</v>
      </c>
      <c r="C15" s="393">
        <v>9.5951699999999995</v>
      </c>
      <c r="D15" s="394">
        <v>-0.271647666319</v>
      </c>
      <c r="E15" s="395">
        <v>0.97246856326800002</v>
      </c>
      <c r="F15" s="393">
        <v>11.13397429518</v>
      </c>
      <c r="G15" s="394">
        <v>9.2783119126500004</v>
      </c>
      <c r="H15" s="396">
        <v>1.48827</v>
      </c>
      <c r="I15" s="393">
        <v>7.6828099999999999</v>
      </c>
      <c r="J15" s="394">
        <v>-1.5955019126500001</v>
      </c>
      <c r="K15" s="398">
        <v>0.69003302830699997</v>
      </c>
    </row>
    <row r="16" spans="1:11" ht="14.4" customHeight="1" thickBot="1" x14ac:dyDescent="0.35">
      <c r="A16" s="410" t="s">
        <v>234</v>
      </c>
      <c r="B16" s="388">
        <v>1.208739430944</v>
      </c>
      <c r="C16" s="388">
        <v>0</v>
      </c>
      <c r="D16" s="389">
        <v>-1.208739430944</v>
      </c>
      <c r="E16" s="390">
        <v>0</v>
      </c>
      <c r="F16" s="388">
        <v>0</v>
      </c>
      <c r="G16" s="389">
        <v>0</v>
      </c>
      <c r="H16" s="391">
        <v>0</v>
      </c>
      <c r="I16" s="388">
        <v>0.11899999999999999</v>
      </c>
      <c r="J16" s="389">
        <v>0.11899999999999999</v>
      </c>
      <c r="K16" s="400" t="s">
        <v>232</v>
      </c>
    </row>
    <row r="17" spans="1:11" ht="14.4" customHeight="1" thickBot="1" x14ac:dyDescent="0.35">
      <c r="A17" s="410" t="s">
        <v>235</v>
      </c>
      <c r="B17" s="388">
        <v>0</v>
      </c>
      <c r="C17" s="388">
        <v>0</v>
      </c>
      <c r="D17" s="389">
        <v>0</v>
      </c>
      <c r="E17" s="390">
        <v>1</v>
      </c>
      <c r="F17" s="388">
        <v>0</v>
      </c>
      <c r="G17" s="389">
        <v>0</v>
      </c>
      <c r="H17" s="391">
        <v>0</v>
      </c>
      <c r="I17" s="388">
        <v>0.11962</v>
      </c>
      <c r="J17" s="389">
        <v>0.11962</v>
      </c>
      <c r="K17" s="400" t="s">
        <v>232</v>
      </c>
    </row>
    <row r="18" spans="1:11" ht="14.4" customHeight="1" thickBot="1" x14ac:dyDescent="0.35">
      <c r="A18" s="410" t="s">
        <v>236</v>
      </c>
      <c r="B18" s="388">
        <v>1.2532184636679999</v>
      </c>
      <c r="C18" s="388">
        <v>1.6807799999999999</v>
      </c>
      <c r="D18" s="389">
        <v>0.42756153633100002</v>
      </c>
      <c r="E18" s="390">
        <v>1.3411707924239999</v>
      </c>
      <c r="F18" s="388">
        <v>1.6191333473759999</v>
      </c>
      <c r="G18" s="389">
        <v>1.3492777894800001</v>
      </c>
      <c r="H18" s="391">
        <v>0.89690000000000003</v>
      </c>
      <c r="I18" s="388">
        <v>1.7938000000000001</v>
      </c>
      <c r="J18" s="389">
        <v>0.44452221051899998</v>
      </c>
      <c r="K18" s="392">
        <v>1.1078766322160001</v>
      </c>
    </row>
    <row r="19" spans="1:11" ht="14.4" customHeight="1" thickBot="1" x14ac:dyDescent="0.35">
      <c r="A19" s="410" t="s">
        <v>237</v>
      </c>
      <c r="B19" s="388">
        <v>3.3807641541120002</v>
      </c>
      <c r="C19" s="388">
        <v>4.1232199999999999</v>
      </c>
      <c r="D19" s="389">
        <v>0.74245584588699998</v>
      </c>
      <c r="E19" s="390">
        <v>1.2196118427789999</v>
      </c>
      <c r="F19" s="388">
        <v>5</v>
      </c>
      <c r="G19" s="389">
        <v>4.1666666666659999</v>
      </c>
      <c r="H19" s="391">
        <v>0.30070000000000002</v>
      </c>
      <c r="I19" s="388">
        <v>3.0051999999999999</v>
      </c>
      <c r="J19" s="389">
        <v>-1.1614666666660001</v>
      </c>
      <c r="K19" s="392">
        <v>0.60104000000000002</v>
      </c>
    </row>
    <row r="20" spans="1:11" ht="14.4" customHeight="1" thickBot="1" x14ac:dyDescent="0.35">
      <c r="A20" s="410" t="s">
        <v>238</v>
      </c>
      <c r="B20" s="388">
        <v>2.6932863846699999</v>
      </c>
      <c r="C20" s="388">
        <v>1.6990000000000001</v>
      </c>
      <c r="D20" s="389">
        <v>-0.99428638466999997</v>
      </c>
      <c r="E20" s="390">
        <v>0.63082782791600001</v>
      </c>
      <c r="F20" s="388">
        <v>1.8359810398809999</v>
      </c>
      <c r="G20" s="389">
        <v>1.5299841998999999</v>
      </c>
      <c r="H20" s="391">
        <v>0</v>
      </c>
      <c r="I20" s="388">
        <v>0.14499999999999999</v>
      </c>
      <c r="J20" s="389">
        <v>-1.3849841999000001</v>
      </c>
      <c r="K20" s="392">
        <v>7.8976850441000002E-2</v>
      </c>
    </row>
    <row r="21" spans="1:11" ht="14.4" customHeight="1" thickBot="1" x14ac:dyDescent="0.35">
      <c r="A21" s="410" t="s">
        <v>239</v>
      </c>
      <c r="B21" s="388">
        <v>1.284028234082</v>
      </c>
      <c r="C21" s="388">
        <v>1.2801800000000001</v>
      </c>
      <c r="D21" s="389">
        <v>-3.848234082E-3</v>
      </c>
      <c r="E21" s="390">
        <v>0.99700299885900001</v>
      </c>
      <c r="F21" s="388">
        <v>1.3090744554680001</v>
      </c>
      <c r="G21" s="389">
        <v>1.090895379557</v>
      </c>
      <c r="H21" s="391">
        <v>0</v>
      </c>
      <c r="I21" s="388">
        <v>0.30273</v>
      </c>
      <c r="J21" s="389">
        <v>-0.78816537955699995</v>
      </c>
      <c r="K21" s="392">
        <v>0.23125498991599999</v>
      </c>
    </row>
    <row r="22" spans="1:11" ht="14.4" customHeight="1" thickBot="1" x14ac:dyDescent="0.35">
      <c r="A22" s="410" t="s">
        <v>240</v>
      </c>
      <c r="B22" s="388">
        <v>4.6780998841000003E-2</v>
      </c>
      <c r="C22" s="388">
        <v>0.81198999999999999</v>
      </c>
      <c r="D22" s="389">
        <v>0.76520900115799995</v>
      </c>
      <c r="E22" s="390">
        <v>17.357260856263</v>
      </c>
      <c r="F22" s="388">
        <v>1.3697854524540001</v>
      </c>
      <c r="G22" s="389">
        <v>1.1414878770450001</v>
      </c>
      <c r="H22" s="391">
        <v>0.29066999999999998</v>
      </c>
      <c r="I22" s="388">
        <v>2.19746</v>
      </c>
      <c r="J22" s="389">
        <v>1.055972122954</v>
      </c>
      <c r="K22" s="392">
        <v>1.6042366314100001</v>
      </c>
    </row>
    <row r="23" spans="1:11" ht="14.4" customHeight="1" thickBot="1" x14ac:dyDescent="0.35">
      <c r="A23" s="409" t="s">
        <v>241</v>
      </c>
      <c r="B23" s="393">
        <v>0.12100288709699999</v>
      </c>
      <c r="C23" s="393">
        <v>0</v>
      </c>
      <c r="D23" s="394">
        <v>-0.12100288709699999</v>
      </c>
      <c r="E23" s="395">
        <v>0</v>
      </c>
      <c r="F23" s="393">
        <v>0</v>
      </c>
      <c r="G23" s="394">
        <v>0</v>
      </c>
      <c r="H23" s="396">
        <v>0</v>
      </c>
      <c r="I23" s="393">
        <v>0</v>
      </c>
      <c r="J23" s="394">
        <v>0</v>
      </c>
      <c r="K23" s="398">
        <v>0</v>
      </c>
    </row>
    <row r="24" spans="1:11" ht="14.4" customHeight="1" thickBot="1" x14ac:dyDescent="0.35">
      <c r="A24" s="410" t="s">
        <v>242</v>
      </c>
      <c r="B24" s="388">
        <v>0.12100288709699999</v>
      </c>
      <c r="C24" s="388">
        <v>0</v>
      </c>
      <c r="D24" s="389">
        <v>-0.12100288709699999</v>
      </c>
      <c r="E24" s="390">
        <v>0</v>
      </c>
      <c r="F24" s="388">
        <v>0</v>
      </c>
      <c r="G24" s="389">
        <v>0</v>
      </c>
      <c r="H24" s="391">
        <v>0</v>
      </c>
      <c r="I24" s="388">
        <v>0</v>
      </c>
      <c r="J24" s="389">
        <v>0</v>
      </c>
      <c r="K24" s="392">
        <v>0</v>
      </c>
    </row>
    <row r="25" spans="1:11" ht="14.4" customHeight="1" thickBot="1" x14ac:dyDescent="0.35">
      <c r="A25" s="409" t="s">
        <v>243</v>
      </c>
      <c r="B25" s="393">
        <v>0</v>
      </c>
      <c r="C25" s="393">
        <v>0.74414999999999998</v>
      </c>
      <c r="D25" s="394">
        <v>0.74414999999999998</v>
      </c>
      <c r="E25" s="401" t="s">
        <v>221</v>
      </c>
      <c r="F25" s="393">
        <v>2</v>
      </c>
      <c r="G25" s="394">
        <v>1.6666666666659999</v>
      </c>
      <c r="H25" s="396">
        <v>0</v>
      </c>
      <c r="I25" s="393">
        <v>0.97406000000000004</v>
      </c>
      <c r="J25" s="394">
        <v>-0.69260666666600001</v>
      </c>
      <c r="K25" s="398">
        <v>0.48703000000000002</v>
      </c>
    </row>
    <row r="26" spans="1:11" ht="14.4" customHeight="1" thickBot="1" x14ac:dyDescent="0.35">
      <c r="A26" s="410" t="s">
        <v>244</v>
      </c>
      <c r="B26" s="388">
        <v>0</v>
      </c>
      <c r="C26" s="388">
        <v>0</v>
      </c>
      <c r="D26" s="389">
        <v>0</v>
      </c>
      <c r="E26" s="390">
        <v>1</v>
      </c>
      <c r="F26" s="388">
        <v>1</v>
      </c>
      <c r="G26" s="389">
        <v>0.83333333333299997</v>
      </c>
      <c r="H26" s="391">
        <v>0</v>
      </c>
      <c r="I26" s="388">
        <v>0</v>
      </c>
      <c r="J26" s="389">
        <v>-0.83333333333299997</v>
      </c>
      <c r="K26" s="392">
        <v>0</v>
      </c>
    </row>
    <row r="27" spans="1:11" ht="14.4" customHeight="1" thickBot="1" x14ac:dyDescent="0.35">
      <c r="A27" s="410" t="s">
        <v>245</v>
      </c>
      <c r="B27" s="388">
        <v>0</v>
      </c>
      <c r="C27" s="388">
        <v>0.74414999999999998</v>
      </c>
      <c r="D27" s="389">
        <v>0.74414999999999998</v>
      </c>
      <c r="E27" s="399" t="s">
        <v>221</v>
      </c>
      <c r="F27" s="388">
        <v>1</v>
      </c>
      <c r="G27" s="389">
        <v>0.83333333333299997</v>
      </c>
      <c r="H27" s="391">
        <v>0</v>
      </c>
      <c r="I27" s="388">
        <v>0.97406000000000004</v>
      </c>
      <c r="J27" s="389">
        <v>0.14072666666600001</v>
      </c>
      <c r="K27" s="392">
        <v>0.97405999999899995</v>
      </c>
    </row>
    <row r="28" spans="1:11" ht="14.4" customHeight="1" thickBot="1" x14ac:dyDescent="0.35">
      <c r="A28" s="408" t="s">
        <v>18</v>
      </c>
      <c r="B28" s="388">
        <v>142.16953438377399</v>
      </c>
      <c r="C28" s="388">
        <v>144.48400000000001</v>
      </c>
      <c r="D28" s="389">
        <v>2.3144656162250001</v>
      </c>
      <c r="E28" s="390">
        <v>1.016279617333</v>
      </c>
      <c r="F28" s="388">
        <v>149.503906610581</v>
      </c>
      <c r="G28" s="389">
        <v>124.586588842151</v>
      </c>
      <c r="H28" s="391">
        <v>11.801</v>
      </c>
      <c r="I28" s="388">
        <v>114.86799999999999</v>
      </c>
      <c r="J28" s="389">
        <v>-9.71858884215</v>
      </c>
      <c r="K28" s="392">
        <v>0.76832774877999999</v>
      </c>
    </row>
    <row r="29" spans="1:11" ht="14.4" customHeight="1" thickBot="1" x14ac:dyDescent="0.35">
      <c r="A29" s="409" t="s">
        <v>246</v>
      </c>
      <c r="B29" s="393">
        <v>142.16953438377399</v>
      </c>
      <c r="C29" s="393">
        <v>144.48400000000001</v>
      </c>
      <c r="D29" s="394">
        <v>2.3144656162250001</v>
      </c>
      <c r="E29" s="395">
        <v>1.016279617333</v>
      </c>
      <c r="F29" s="393">
        <v>149.503906610581</v>
      </c>
      <c r="G29" s="394">
        <v>124.586588842151</v>
      </c>
      <c r="H29" s="396">
        <v>11.801</v>
      </c>
      <c r="I29" s="393">
        <v>114.86799999999999</v>
      </c>
      <c r="J29" s="394">
        <v>-9.71858884215</v>
      </c>
      <c r="K29" s="398">
        <v>0.76832774877999999</v>
      </c>
    </row>
    <row r="30" spans="1:11" ht="14.4" customHeight="1" thickBot="1" x14ac:dyDescent="0.35">
      <c r="A30" s="410" t="s">
        <v>247</v>
      </c>
      <c r="B30" s="388">
        <v>26.417290932158998</v>
      </c>
      <c r="C30" s="388">
        <v>24.004000000000001</v>
      </c>
      <c r="D30" s="389">
        <v>-2.4132909321590001</v>
      </c>
      <c r="E30" s="390">
        <v>0.908647297016</v>
      </c>
      <c r="F30" s="388">
        <v>24.999999999999002</v>
      </c>
      <c r="G30" s="389">
        <v>20.833333333333002</v>
      </c>
      <c r="H30" s="391">
        <v>2.1389999999999998</v>
      </c>
      <c r="I30" s="388">
        <v>20.954999999999998</v>
      </c>
      <c r="J30" s="389">
        <v>0.121666666666</v>
      </c>
      <c r="K30" s="392">
        <v>0.83819999999999995</v>
      </c>
    </row>
    <row r="31" spans="1:11" ht="14.4" customHeight="1" thickBot="1" x14ac:dyDescent="0.35">
      <c r="A31" s="410" t="s">
        <v>248</v>
      </c>
      <c r="B31" s="388">
        <v>51.881250560989997</v>
      </c>
      <c r="C31" s="388">
        <v>54.173999999999999</v>
      </c>
      <c r="D31" s="389">
        <v>2.292749439009</v>
      </c>
      <c r="E31" s="390">
        <v>1.0441922547010001</v>
      </c>
      <c r="F31" s="388">
        <v>58.503906610580998</v>
      </c>
      <c r="G31" s="389">
        <v>48.753255508816999</v>
      </c>
      <c r="H31" s="391">
        <v>4.3739999999999997</v>
      </c>
      <c r="I31" s="388">
        <v>44.819000000000003</v>
      </c>
      <c r="J31" s="389">
        <v>-3.9342555088169999</v>
      </c>
      <c r="K31" s="392">
        <v>0.76608559319500003</v>
      </c>
    </row>
    <row r="32" spans="1:11" ht="14.4" customHeight="1" thickBot="1" x14ac:dyDescent="0.35">
      <c r="A32" s="410" t="s">
        <v>249</v>
      </c>
      <c r="B32" s="388">
        <v>63.870992890624002</v>
      </c>
      <c r="C32" s="388">
        <v>66.305999999999997</v>
      </c>
      <c r="D32" s="389">
        <v>2.435007109376</v>
      </c>
      <c r="E32" s="390">
        <v>1.0381238336709999</v>
      </c>
      <c r="F32" s="388">
        <v>65.999999999999005</v>
      </c>
      <c r="G32" s="389">
        <v>54.999999999998998</v>
      </c>
      <c r="H32" s="391">
        <v>5.2880000000000003</v>
      </c>
      <c r="I32" s="388">
        <v>49.094000000000001</v>
      </c>
      <c r="J32" s="389">
        <v>-5.9059999999989996</v>
      </c>
      <c r="K32" s="392">
        <v>0.74384848484800004</v>
      </c>
    </row>
    <row r="33" spans="1:11" ht="14.4" customHeight="1" thickBot="1" x14ac:dyDescent="0.35">
      <c r="A33" s="411" t="s">
        <v>250</v>
      </c>
      <c r="B33" s="393">
        <v>31.631453951876999</v>
      </c>
      <c r="C33" s="393">
        <v>37.853439999999999</v>
      </c>
      <c r="D33" s="394">
        <v>6.221986048122</v>
      </c>
      <c r="E33" s="395">
        <v>1.1967024992769999</v>
      </c>
      <c r="F33" s="393">
        <v>29.235015927788002</v>
      </c>
      <c r="G33" s="394">
        <v>24.362513273156999</v>
      </c>
      <c r="H33" s="396">
        <v>3.93242</v>
      </c>
      <c r="I33" s="393">
        <v>27.874300000000002</v>
      </c>
      <c r="J33" s="394">
        <v>3.5117867268429999</v>
      </c>
      <c r="K33" s="398">
        <v>0.95345595394399996</v>
      </c>
    </row>
    <row r="34" spans="1:11" ht="14.4" customHeight="1" thickBot="1" x14ac:dyDescent="0.35">
      <c r="A34" s="408" t="s">
        <v>21</v>
      </c>
      <c r="B34" s="388">
        <v>3.5590760194079998</v>
      </c>
      <c r="C34" s="388">
        <v>3.7953399999999999</v>
      </c>
      <c r="D34" s="389">
        <v>0.23626398059100001</v>
      </c>
      <c r="E34" s="390">
        <v>1.0663835161990001</v>
      </c>
      <c r="F34" s="388">
        <v>2.124120602439</v>
      </c>
      <c r="G34" s="389">
        <v>1.7701005020330001</v>
      </c>
      <c r="H34" s="391">
        <v>0</v>
      </c>
      <c r="I34" s="388">
        <v>1.3081499999999999</v>
      </c>
      <c r="J34" s="389">
        <v>-0.46195050203299998</v>
      </c>
      <c r="K34" s="392">
        <v>0.61585486177000004</v>
      </c>
    </row>
    <row r="35" spans="1:11" ht="14.4" customHeight="1" thickBot="1" x14ac:dyDescent="0.35">
      <c r="A35" s="412" t="s">
        <v>251</v>
      </c>
      <c r="B35" s="388">
        <v>3.5590760194079998</v>
      </c>
      <c r="C35" s="388">
        <v>3.7953399999999999</v>
      </c>
      <c r="D35" s="389">
        <v>0.23626398059100001</v>
      </c>
      <c r="E35" s="390">
        <v>1.0663835161990001</v>
      </c>
      <c r="F35" s="388">
        <v>2.124120602439</v>
      </c>
      <c r="G35" s="389">
        <v>1.7701005020330001</v>
      </c>
      <c r="H35" s="391">
        <v>0</v>
      </c>
      <c r="I35" s="388">
        <v>1.3081499999999999</v>
      </c>
      <c r="J35" s="389">
        <v>-0.46195050203299998</v>
      </c>
      <c r="K35" s="392">
        <v>0.61585486177000004</v>
      </c>
    </row>
    <row r="36" spans="1:11" ht="14.4" customHeight="1" thickBot="1" x14ac:dyDescent="0.35">
      <c r="A36" s="410" t="s">
        <v>252</v>
      </c>
      <c r="B36" s="388">
        <v>0</v>
      </c>
      <c r="C36" s="388">
        <v>0.27366000000000001</v>
      </c>
      <c r="D36" s="389">
        <v>0.27366000000000001</v>
      </c>
      <c r="E36" s="399" t="s">
        <v>221</v>
      </c>
      <c r="F36" s="388">
        <v>0.124120602439</v>
      </c>
      <c r="G36" s="389">
        <v>0.103433835366</v>
      </c>
      <c r="H36" s="391">
        <v>0</v>
      </c>
      <c r="I36" s="388">
        <v>0.13683000000000001</v>
      </c>
      <c r="J36" s="389">
        <v>3.3396164632999999E-2</v>
      </c>
      <c r="K36" s="392">
        <v>1.102395551666</v>
      </c>
    </row>
    <row r="37" spans="1:11" ht="14.4" customHeight="1" thickBot="1" x14ac:dyDescent="0.35">
      <c r="A37" s="410" t="s">
        <v>253</v>
      </c>
      <c r="B37" s="388">
        <v>2.2508507564700002</v>
      </c>
      <c r="C37" s="388">
        <v>0</v>
      </c>
      <c r="D37" s="389">
        <v>-2.2508507564700002</v>
      </c>
      <c r="E37" s="390">
        <v>0</v>
      </c>
      <c r="F37" s="388">
        <v>0</v>
      </c>
      <c r="G37" s="389">
        <v>0</v>
      </c>
      <c r="H37" s="391">
        <v>0</v>
      </c>
      <c r="I37" s="388">
        <v>0</v>
      </c>
      <c r="J37" s="389">
        <v>0</v>
      </c>
      <c r="K37" s="392">
        <v>0</v>
      </c>
    </row>
    <row r="38" spans="1:11" ht="14.4" customHeight="1" thickBot="1" x14ac:dyDescent="0.35">
      <c r="A38" s="410" t="s">
        <v>254</v>
      </c>
      <c r="B38" s="388">
        <v>1.308225262938</v>
      </c>
      <c r="C38" s="388">
        <v>3.5216799999999999</v>
      </c>
      <c r="D38" s="389">
        <v>2.2134547370609998</v>
      </c>
      <c r="E38" s="390">
        <v>2.6919522958069999</v>
      </c>
      <c r="F38" s="388">
        <v>1.9999999999989999</v>
      </c>
      <c r="G38" s="389">
        <v>1.6666666666659999</v>
      </c>
      <c r="H38" s="391">
        <v>0</v>
      </c>
      <c r="I38" s="388">
        <v>1.1713199999999999</v>
      </c>
      <c r="J38" s="389">
        <v>-0.49534666666600002</v>
      </c>
      <c r="K38" s="392">
        <v>0.58565999999999996</v>
      </c>
    </row>
    <row r="39" spans="1:11" ht="14.4" customHeight="1" thickBot="1" x14ac:dyDescent="0.35">
      <c r="A39" s="413" t="s">
        <v>22</v>
      </c>
      <c r="B39" s="393">
        <v>0</v>
      </c>
      <c r="C39" s="393">
        <v>2.8980000000000001</v>
      </c>
      <c r="D39" s="394">
        <v>2.8980000000000001</v>
      </c>
      <c r="E39" s="401" t="s">
        <v>221</v>
      </c>
      <c r="F39" s="393">
        <v>0</v>
      </c>
      <c r="G39" s="394">
        <v>0</v>
      </c>
      <c r="H39" s="396">
        <v>1.1970000000000001</v>
      </c>
      <c r="I39" s="393">
        <v>3.3530000000000002</v>
      </c>
      <c r="J39" s="394">
        <v>3.3530000000000002</v>
      </c>
      <c r="K39" s="397" t="s">
        <v>221</v>
      </c>
    </row>
    <row r="40" spans="1:11" ht="14.4" customHeight="1" thickBot="1" x14ac:dyDescent="0.35">
      <c r="A40" s="409" t="s">
        <v>255</v>
      </c>
      <c r="B40" s="393">
        <v>0</v>
      </c>
      <c r="C40" s="393">
        <v>2.8980000000000001</v>
      </c>
      <c r="D40" s="394">
        <v>2.8980000000000001</v>
      </c>
      <c r="E40" s="401" t="s">
        <v>221</v>
      </c>
      <c r="F40" s="393">
        <v>0</v>
      </c>
      <c r="G40" s="394">
        <v>0</v>
      </c>
      <c r="H40" s="396">
        <v>1.1970000000000001</v>
      </c>
      <c r="I40" s="393">
        <v>3.3530000000000002</v>
      </c>
      <c r="J40" s="394">
        <v>3.3530000000000002</v>
      </c>
      <c r="K40" s="397" t="s">
        <v>221</v>
      </c>
    </row>
    <row r="41" spans="1:11" ht="14.4" customHeight="1" thickBot="1" x14ac:dyDescent="0.35">
      <c r="A41" s="410" t="s">
        <v>256</v>
      </c>
      <c r="B41" s="388">
        <v>0</v>
      </c>
      <c r="C41" s="388">
        <v>2.8980000000000001</v>
      </c>
      <c r="D41" s="389">
        <v>2.8980000000000001</v>
      </c>
      <c r="E41" s="399" t="s">
        <v>221</v>
      </c>
      <c r="F41" s="388">
        <v>0</v>
      </c>
      <c r="G41" s="389">
        <v>0</v>
      </c>
      <c r="H41" s="391">
        <v>1.1970000000000001</v>
      </c>
      <c r="I41" s="388">
        <v>3.3530000000000002</v>
      </c>
      <c r="J41" s="389">
        <v>3.3530000000000002</v>
      </c>
      <c r="K41" s="400" t="s">
        <v>221</v>
      </c>
    </row>
    <row r="42" spans="1:11" ht="14.4" customHeight="1" thickBot="1" x14ac:dyDescent="0.35">
      <c r="A42" s="408" t="s">
        <v>23</v>
      </c>
      <c r="B42" s="388">
        <v>28.072377932468001</v>
      </c>
      <c r="C42" s="388">
        <v>31.1601</v>
      </c>
      <c r="D42" s="389">
        <v>3.0877220675310002</v>
      </c>
      <c r="E42" s="390">
        <v>1.109991468302</v>
      </c>
      <c r="F42" s="388">
        <v>27.110895325348</v>
      </c>
      <c r="G42" s="389">
        <v>22.592412771123001</v>
      </c>
      <c r="H42" s="391">
        <v>2.73542</v>
      </c>
      <c r="I42" s="388">
        <v>23.213149999999999</v>
      </c>
      <c r="J42" s="389">
        <v>0.62073722887600002</v>
      </c>
      <c r="K42" s="392">
        <v>0.85622956089799995</v>
      </c>
    </row>
    <row r="43" spans="1:11" ht="14.4" customHeight="1" thickBot="1" x14ac:dyDescent="0.35">
      <c r="A43" s="409" t="s">
        <v>257</v>
      </c>
      <c r="B43" s="393">
        <v>0.125354203198</v>
      </c>
      <c r="C43" s="393">
        <v>0</v>
      </c>
      <c r="D43" s="394">
        <v>-0.125354203198</v>
      </c>
      <c r="E43" s="395">
        <v>0</v>
      </c>
      <c r="F43" s="393">
        <v>0</v>
      </c>
      <c r="G43" s="394">
        <v>0</v>
      </c>
      <c r="H43" s="396">
        <v>0</v>
      </c>
      <c r="I43" s="393">
        <v>0</v>
      </c>
      <c r="J43" s="394">
        <v>0</v>
      </c>
      <c r="K43" s="398">
        <v>0</v>
      </c>
    </row>
    <row r="44" spans="1:11" ht="14.4" customHeight="1" thickBot="1" x14ac:dyDescent="0.35">
      <c r="A44" s="410" t="s">
        <v>258</v>
      </c>
      <c r="B44" s="388">
        <v>0.125354203198</v>
      </c>
      <c r="C44" s="388">
        <v>0</v>
      </c>
      <c r="D44" s="389">
        <v>-0.125354203198</v>
      </c>
      <c r="E44" s="390">
        <v>0</v>
      </c>
      <c r="F44" s="388">
        <v>0</v>
      </c>
      <c r="G44" s="389">
        <v>0</v>
      </c>
      <c r="H44" s="391">
        <v>0</v>
      </c>
      <c r="I44" s="388">
        <v>0</v>
      </c>
      <c r="J44" s="389">
        <v>0</v>
      </c>
      <c r="K44" s="392">
        <v>0</v>
      </c>
    </row>
    <row r="45" spans="1:11" ht="14.4" customHeight="1" thickBot="1" x14ac:dyDescent="0.35">
      <c r="A45" s="409" t="s">
        <v>259</v>
      </c>
      <c r="B45" s="393">
        <v>1.338398807645</v>
      </c>
      <c r="C45" s="393">
        <v>4.4841699999999998</v>
      </c>
      <c r="D45" s="394">
        <v>3.1457711923540002</v>
      </c>
      <c r="E45" s="395">
        <v>3.3503989800229999</v>
      </c>
      <c r="F45" s="393">
        <v>5.1108953253480003</v>
      </c>
      <c r="G45" s="394">
        <v>4.2590794377899996</v>
      </c>
      <c r="H45" s="396">
        <v>0.27940999999999999</v>
      </c>
      <c r="I45" s="393">
        <v>4.0497199999999998</v>
      </c>
      <c r="J45" s="394">
        <v>-0.20935943778999999</v>
      </c>
      <c r="K45" s="398">
        <v>0.79236997477000004</v>
      </c>
    </row>
    <row r="46" spans="1:11" ht="14.4" customHeight="1" thickBot="1" x14ac:dyDescent="0.35">
      <c r="A46" s="410" t="s">
        <v>260</v>
      </c>
      <c r="B46" s="388">
        <v>6.3936850732000006E-2</v>
      </c>
      <c r="C46" s="388">
        <v>8.3599999999999994E-2</v>
      </c>
      <c r="D46" s="389">
        <v>1.9663149267E-2</v>
      </c>
      <c r="E46" s="390">
        <v>1.307540159427</v>
      </c>
      <c r="F46" s="388">
        <v>9.2530361953000004E-2</v>
      </c>
      <c r="G46" s="389">
        <v>7.7108634960999997E-2</v>
      </c>
      <c r="H46" s="391">
        <v>0</v>
      </c>
      <c r="I46" s="388">
        <v>5.8900000000000001E-2</v>
      </c>
      <c r="J46" s="389">
        <v>-1.8208634961E-2</v>
      </c>
      <c r="K46" s="392">
        <v>0.636547817997</v>
      </c>
    </row>
    <row r="47" spans="1:11" ht="14.4" customHeight="1" thickBot="1" x14ac:dyDescent="0.35">
      <c r="A47" s="410" t="s">
        <v>261</v>
      </c>
      <c r="B47" s="388">
        <v>1.274461956913</v>
      </c>
      <c r="C47" s="388">
        <v>4.4005700000000001</v>
      </c>
      <c r="D47" s="389">
        <v>3.126108043086</v>
      </c>
      <c r="E47" s="390">
        <v>3.4528845495380001</v>
      </c>
      <c r="F47" s="388">
        <v>5.0183649633940002</v>
      </c>
      <c r="G47" s="389">
        <v>4.1819708028290004</v>
      </c>
      <c r="H47" s="391">
        <v>0.27940999999999999</v>
      </c>
      <c r="I47" s="388">
        <v>3.9908199999999998</v>
      </c>
      <c r="J47" s="389">
        <v>-0.19115080282899999</v>
      </c>
      <c r="K47" s="392">
        <v>0.79524307799600003</v>
      </c>
    </row>
    <row r="48" spans="1:11" ht="14.4" customHeight="1" thickBot="1" x14ac:dyDescent="0.35">
      <c r="A48" s="409" t="s">
        <v>262</v>
      </c>
      <c r="B48" s="393">
        <v>3.9999936338570001</v>
      </c>
      <c r="C48" s="393">
        <v>3.78</v>
      </c>
      <c r="D48" s="394">
        <v>-0.21999363385699999</v>
      </c>
      <c r="E48" s="395">
        <v>0.94500150400299998</v>
      </c>
      <c r="F48" s="393">
        <v>4</v>
      </c>
      <c r="G48" s="394">
        <v>3.333333333333</v>
      </c>
      <c r="H48" s="396">
        <v>0.94499999999999995</v>
      </c>
      <c r="I48" s="393">
        <v>3.78</v>
      </c>
      <c r="J48" s="394">
        <v>0.44666666666600002</v>
      </c>
      <c r="K48" s="398">
        <v>0.94499999999899997</v>
      </c>
    </row>
    <row r="49" spans="1:11" ht="14.4" customHeight="1" thickBot="1" x14ac:dyDescent="0.35">
      <c r="A49" s="410" t="s">
        <v>263</v>
      </c>
      <c r="B49" s="388">
        <v>3.9999936338570001</v>
      </c>
      <c r="C49" s="388">
        <v>3.78</v>
      </c>
      <c r="D49" s="389">
        <v>-0.21999363385699999</v>
      </c>
      <c r="E49" s="390">
        <v>0.94500150400299998</v>
      </c>
      <c r="F49" s="388">
        <v>4</v>
      </c>
      <c r="G49" s="389">
        <v>3.333333333333</v>
      </c>
      <c r="H49" s="391">
        <v>0.94499999999999995</v>
      </c>
      <c r="I49" s="388">
        <v>3.78</v>
      </c>
      <c r="J49" s="389">
        <v>0.44666666666600002</v>
      </c>
      <c r="K49" s="392">
        <v>0.94499999999899997</v>
      </c>
    </row>
    <row r="50" spans="1:11" ht="14.4" customHeight="1" thickBot="1" x14ac:dyDescent="0.35">
      <c r="A50" s="409" t="s">
        <v>264</v>
      </c>
      <c r="B50" s="393">
        <v>17.608639245443001</v>
      </c>
      <c r="C50" s="393">
        <v>17.640930000000001</v>
      </c>
      <c r="D50" s="394">
        <v>3.2290754556000001E-2</v>
      </c>
      <c r="E50" s="395">
        <v>1.0018338018120001</v>
      </c>
      <c r="F50" s="393">
        <v>18</v>
      </c>
      <c r="G50" s="394">
        <v>15</v>
      </c>
      <c r="H50" s="396">
        <v>1.51101</v>
      </c>
      <c r="I50" s="393">
        <v>14.68343</v>
      </c>
      <c r="J50" s="394">
        <v>-0.31657000000000002</v>
      </c>
      <c r="K50" s="398">
        <v>0.81574611111100004</v>
      </c>
    </row>
    <row r="51" spans="1:11" ht="14.4" customHeight="1" thickBot="1" x14ac:dyDescent="0.35">
      <c r="A51" s="410" t="s">
        <v>265</v>
      </c>
      <c r="B51" s="388">
        <v>17.608639245443001</v>
      </c>
      <c r="C51" s="388">
        <v>17.640930000000001</v>
      </c>
      <c r="D51" s="389">
        <v>3.2290754556000001E-2</v>
      </c>
      <c r="E51" s="390">
        <v>1.0018338018120001</v>
      </c>
      <c r="F51" s="388">
        <v>18</v>
      </c>
      <c r="G51" s="389">
        <v>15</v>
      </c>
      <c r="H51" s="391">
        <v>1.51101</v>
      </c>
      <c r="I51" s="388">
        <v>14.68343</v>
      </c>
      <c r="J51" s="389">
        <v>-0.31657000000000002</v>
      </c>
      <c r="K51" s="392">
        <v>0.81574611111100004</v>
      </c>
    </row>
    <row r="52" spans="1:11" ht="14.4" customHeight="1" thickBot="1" x14ac:dyDescent="0.35">
      <c r="A52" s="409" t="s">
        <v>266</v>
      </c>
      <c r="B52" s="393">
        <v>4.9999920423219999</v>
      </c>
      <c r="C52" s="393">
        <v>5.2549999999999999</v>
      </c>
      <c r="D52" s="394">
        <v>0.25500795767700002</v>
      </c>
      <c r="E52" s="395">
        <v>1.0510016727060001</v>
      </c>
      <c r="F52" s="393">
        <v>0</v>
      </c>
      <c r="G52" s="394">
        <v>0</v>
      </c>
      <c r="H52" s="396">
        <v>0</v>
      </c>
      <c r="I52" s="393">
        <v>0.7</v>
      </c>
      <c r="J52" s="394">
        <v>0.7</v>
      </c>
      <c r="K52" s="397" t="s">
        <v>221</v>
      </c>
    </row>
    <row r="53" spans="1:11" ht="14.4" customHeight="1" thickBot="1" x14ac:dyDescent="0.35">
      <c r="A53" s="410" t="s">
        <v>267</v>
      </c>
      <c r="B53" s="388">
        <v>4.9999920423219999</v>
      </c>
      <c r="C53" s="388">
        <v>5.0549999999999997</v>
      </c>
      <c r="D53" s="389">
        <v>5.5007957677000001E-2</v>
      </c>
      <c r="E53" s="390">
        <v>1.0110016090439999</v>
      </c>
      <c r="F53" s="388">
        <v>0</v>
      </c>
      <c r="G53" s="389">
        <v>0</v>
      </c>
      <c r="H53" s="391">
        <v>0</v>
      </c>
      <c r="I53" s="388">
        <v>0</v>
      </c>
      <c r="J53" s="389">
        <v>0</v>
      </c>
      <c r="K53" s="400" t="s">
        <v>221</v>
      </c>
    </row>
    <row r="54" spans="1:11" ht="14.4" customHeight="1" thickBot="1" x14ac:dyDescent="0.35">
      <c r="A54" s="410" t="s">
        <v>268</v>
      </c>
      <c r="B54" s="388">
        <v>0</v>
      </c>
      <c r="C54" s="388">
        <v>0.2</v>
      </c>
      <c r="D54" s="389">
        <v>0.2</v>
      </c>
      <c r="E54" s="399" t="s">
        <v>232</v>
      </c>
      <c r="F54" s="388">
        <v>0</v>
      </c>
      <c r="G54" s="389">
        <v>0</v>
      </c>
      <c r="H54" s="391">
        <v>0</v>
      </c>
      <c r="I54" s="388">
        <v>0.7</v>
      </c>
      <c r="J54" s="389">
        <v>0.7</v>
      </c>
      <c r="K54" s="400" t="s">
        <v>232</v>
      </c>
    </row>
    <row r="55" spans="1:11" ht="14.4" customHeight="1" thickBot="1" x14ac:dyDescent="0.35">
      <c r="A55" s="407" t="s">
        <v>24</v>
      </c>
      <c r="B55" s="388">
        <v>3259.0002942208698</v>
      </c>
      <c r="C55" s="388">
        <v>3377.3927399999998</v>
      </c>
      <c r="D55" s="389">
        <v>118.392445779133</v>
      </c>
      <c r="E55" s="390">
        <v>1.0363278413899999</v>
      </c>
      <c r="F55" s="388">
        <v>3353</v>
      </c>
      <c r="G55" s="389">
        <v>2794.1666666666702</v>
      </c>
      <c r="H55" s="391">
        <v>237.18736000000001</v>
      </c>
      <c r="I55" s="388">
        <v>3020.2153600000001</v>
      </c>
      <c r="J55" s="389">
        <v>226.048693333334</v>
      </c>
      <c r="K55" s="392">
        <v>0.90075018192599998</v>
      </c>
    </row>
    <row r="56" spans="1:11" ht="14.4" customHeight="1" thickBot="1" x14ac:dyDescent="0.35">
      <c r="A56" s="413" t="s">
        <v>269</v>
      </c>
      <c r="B56" s="393">
        <v>2407.0002173027401</v>
      </c>
      <c r="C56" s="393">
        <v>2495.9659999999999</v>
      </c>
      <c r="D56" s="394">
        <v>88.965782697259996</v>
      </c>
      <c r="E56" s="395">
        <v>1.0369612690750001</v>
      </c>
      <c r="F56" s="393">
        <v>2468</v>
      </c>
      <c r="G56" s="394">
        <v>2056.6666666666702</v>
      </c>
      <c r="H56" s="396">
        <v>176.39</v>
      </c>
      <c r="I56" s="393">
        <v>2222.741</v>
      </c>
      <c r="J56" s="394">
        <v>166.07433333333299</v>
      </c>
      <c r="K56" s="398">
        <v>0.90062439222000001</v>
      </c>
    </row>
    <row r="57" spans="1:11" ht="14.4" customHeight="1" thickBot="1" x14ac:dyDescent="0.35">
      <c r="A57" s="409" t="s">
        <v>270</v>
      </c>
      <c r="B57" s="393">
        <v>2400.00021667078</v>
      </c>
      <c r="C57" s="393">
        <v>2482.2719999999999</v>
      </c>
      <c r="D57" s="394">
        <v>82.271783329217001</v>
      </c>
      <c r="E57" s="395">
        <v>1.0342799066249999</v>
      </c>
      <c r="F57" s="393">
        <v>2461</v>
      </c>
      <c r="G57" s="394">
        <v>2050.8333333333298</v>
      </c>
      <c r="H57" s="396">
        <v>168.43600000000001</v>
      </c>
      <c r="I57" s="393">
        <v>2214.7869999999998</v>
      </c>
      <c r="J57" s="394">
        <v>163.95366666666601</v>
      </c>
      <c r="K57" s="398">
        <v>0.89995408370499996</v>
      </c>
    </row>
    <row r="58" spans="1:11" ht="14.4" customHeight="1" thickBot="1" x14ac:dyDescent="0.35">
      <c r="A58" s="410" t="s">
        <v>271</v>
      </c>
      <c r="B58" s="388">
        <v>2400.00021667078</v>
      </c>
      <c r="C58" s="388">
        <v>2482.2719999999999</v>
      </c>
      <c r="D58" s="389">
        <v>82.271783329217001</v>
      </c>
      <c r="E58" s="390">
        <v>1.0342799066249999</v>
      </c>
      <c r="F58" s="388">
        <v>2461</v>
      </c>
      <c r="G58" s="389">
        <v>2050.8333333333298</v>
      </c>
      <c r="H58" s="391">
        <v>168.43600000000001</v>
      </c>
      <c r="I58" s="388">
        <v>2214.7869999999998</v>
      </c>
      <c r="J58" s="389">
        <v>163.95366666666601</v>
      </c>
      <c r="K58" s="392">
        <v>0.89995408370499996</v>
      </c>
    </row>
    <row r="59" spans="1:11" ht="14.4" customHeight="1" thickBot="1" x14ac:dyDescent="0.35">
      <c r="A59" s="409" t="s">
        <v>272</v>
      </c>
      <c r="B59" s="393">
        <v>7.0000006319560004</v>
      </c>
      <c r="C59" s="393">
        <v>13.694000000000001</v>
      </c>
      <c r="D59" s="394">
        <v>6.6939993680430003</v>
      </c>
      <c r="E59" s="395">
        <v>1.956285537673</v>
      </c>
      <c r="F59" s="393">
        <v>7</v>
      </c>
      <c r="G59" s="394">
        <v>5.833333333333</v>
      </c>
      <c r="H59" s="396">
        <v>7.9539999999999997</v>
      </c>
      <c r="I59" s="393">
        <v>7.9539999999999997</v>
      </c>
      <c r="J59" s="394">
        <v>2.1206666666660001</v>
      </c>
      <c r="K59" s="398">
        <v>1.136285714285</v>
      </c>
    </row>
    <row r="60" spans="1:11" ht="14.4" customHeight="1" thickBot="1" x14ac:dyDescent="0.35">
      <c r="A60" s="410" t="s">
        <v>273</v>
      </c>
      <c r="B60" s="388">
        <v>7.0000006319560004</v>
      </c>
      <c r="C60" s="388">
        <v>13.694000000000001</v>
      </c>
      <c r="D60" s="389">
        <v>6.6939993680430003</v>
      </c>
      <c r="E60" s="390">
        <v>1.956285537673</v>
      </c>
      <c r="F60" s="388">
        <v>7</v>
      </c>
      <c r="G60" s="389">
        <v>5.833333333333</v>
      </c>
      <c r="H60" s="391">
        <v>7.9539999999999997</v>
      </c>
      <c r="I60" s="388">
        <v>7.9539999999999997</v>
      </c>
      <c r="J60" s="389">
        <v>2.1206666666660001</v>
      </c>
      <c r="K60" s="392">
        <v>1.136285714285</v>
      </c>
    </row>
    <row r="61" spans="1:11" ht="14.4" customHeight="1" thickBot="1" x14ac:dyDescent="0.35">
      <c r="A61" s="408" t="s">
        <v>274</v>
      </c>
      <c r="B61" s="388">
        <v>816.00007366806699</v>
      </c>
      <c r="C61" s="388">
        <v>843.98272999999995</v>
      </c>
      <c r="D61" s="389">
        <v>27.982656331933001</v>
      </c>
      <c r="E61" s="390">
        <v>1.034292467899</v>
      </c>
      <c r="F61" s="388">
        <v>835.99999999999898</v>
      </c>
      <c r="G61" s="389">
        <v>696.66666666666595</v>
      </c>
      <c r="H61" s="391">
        <v>57.268549999999998</v>
      </c>
      <c r="I61" s="388">
        <v>753.02125999999998</v>
      </c>
      <c r="J61" s="389">
        <v>56.354593333334002</v>
      </c>
      <c r="K61" s="392">
        <v>0.90074313397100003</v>
      </c>
    </row>
    <row r="62" spans="1:11" ht="14.4" customHeight="1" thickBot="1" x14ac:dyDescent="0.35">
      <c r="A62" s="409" t="s">
        <v>275</v>
      </c>
      <c r="B62" s="393">
        <v>216.000019500371</v>
      </c>
      <c r="C62" s="393">
        <v>223.41471999999999</v>
      </c>
      <c r="D62" s="394">
        <v>7.4147004996290002</v>
      </c>
      <c r="E62" s="395">
        <v>1.034327314028</v>
      </c>
      <c r="F62" s="393">
        <v>220.99999999999901</v>
      </c>
      <c r="G62" s="394">
        <v>184.166666666666</v>
      </c>
      <c r="H62" s="396">
        <v>15.159549999999999</v>
      </c>
      <c r="I62" s="393">
        <v>199.32451</v>
      </c>
      <c r="J62" s="394">
        <v>15.157843333334</v>
      </c>
      <c r="K62" s="398">
        <v>0.90192085972799996</v>
      </c>
    </row>
    <row r="63" spans="1:11" ht="14.4" customHeight="1" thickBot="1" x14ac:dyDescent="0.35">
      <c r="A63" s="410" t="s">
        <v>276</v>
      </c>
      <c r="B63" s="388">
        <v>216.000019500371</v>
      </c>
      <c r="C63" s="388">
        <v>223.41471999999999</v>
      </c>
      <c r="D63" s="389">
        <v>7.4147004996290002</v>
      </c>
      <c r="E63" s="390">
        <v>1.034327314028</v>
      </c>
      <c r="F63" s="388">
        <v>220.99999999999901</v>
      </c>
      <c r="G63" s="389">
        <v>184.166666666666</v>
      </c>
      <c r="H63" s="391">
        <v>15.159549999999999</v>
      </c>
      <c r="I63" s="388">
        <v>199.32451</v>
      </c>
      <c r="J63" s="389">
        <v>15.157843333334</v>
      </c>
      <c r="K63" s="392">
        <v>0.90192085972799996</v>
      </c>
    </row>
    <row r="64" spans="1:11" ht="14.4" customHeight="1" thickBot="1" x14ac:dyDescent="0.35">
      <c r="A64" s="409" t="s">
        <v>277</v>
      </c>
      <c r="B64" s="393">
        <v>600.00005416769602</v>
      </c>
      <c r="C64" s="393">
        <v>620.56800999999996</v>
      </c>
      <c r="D64" s="394">
        <v>20.567955832304001</v>
      </c>
      <c r="E64" s="395">
        <v>1.0342799232919999</v>
      </c>
      <c r="F64" s="393">
        <v>615</v>
      </c>
      <c r="G64" s="394">
        <v>512.5</v>
      </c>
      <c r="H64" s="396">
        <v>42.109000000000002</v>
      </c>
      <c r="I64" s="393">
        <v>553.69674999999995</v>
      </c>
      <c r="J64" s="394">
        <v>41.196750000000002</v>
      </c>
      <c r="K64" s="398">
        <v>0.90031991869899997</v>
      </c>
    </row>
    <row r="65" spans="1:11" ht="14.4" customHeight="1" thickBot="1" x14ac:dyDescent="0.35">
      <c r="A65" s="410" t="s">
        <v>278</v>
      </c>
      <c r="B65" s="388">
        <v>600.00005416769602</v>
      </c>
      <c r="C65" s="388">
        <v>620.56800999999996</v>
      </c>
      <c r="D65" s="389">
        <v>20.567955832304001</v>
      </c>
      <c r="E65" s="390">
        <v>1.0342799232919999</v>
      </c>
      <c r="F65" s="388">
        <v>615</v>
      </c>
      <c r="G65" s="389">
        <v>512.5</v>
      </c>
      <c r="H65" s="391">
        <v>42.109000000000002</v>
      </c>
      <c r="I65" s="388">
        <v>553.69674999999995</v>
      </c>
      <c r="J65" s="389">
        <v>41.196750000000002</v>
      </c>
      <c r="K65" s="392">
        <v>0.90031991869899997</v>
      </c>
    </row>
    <row r="66" spans="1:11" ht="14.4" customHeight="1" thickBot="1" x14ac:dyDescent="0.35">
      <c r="A66" s="408" t="s">
        <v>279</v>
      </c>
      <c r="B66" s="388">
        <v>36.000003250060999</v>
      </c>
      <c r="C66" s="388">
        <v>37.444009999999999</v>
      </c>
      <c r="D66" s="389">
        <v>1.444006749938</v>
      </c>
      <c r="E66" s="390">
        <v>1.040111294988</v>
      </c>
      <c r="F66" s="388">
        <v>49</v>
      </c>
      <c r="G66" s="389">
        <v>40.833333333333002</v>
      </c>
      <c r="H66" s="391">
        <v>3.52881</v>
      </c>
      <c r="I66" s="388">
        <v>44.453099999999999</v>
      </c>
      <c r="J66" s="389">
        <v>3.619766666666</v>
      </c>
      <c r="K66" s="392">
        <v>0.90720612244800003</v>
      </c>
    </row>
    <row r="67" spans="1:11" ht="14.4" customHeight="1" thickBot="1" x14ac:dyDescent="0.35">
      <c r="A67" s="409" t="s">
        <v>280</v>
      </c>
      <c r="B67" s="393">
        <v>36.000003250060999</v>
      </c>
      <c r="C67" s="393">
        <v>37.444009999999999</v>
      </c>
      <c r="D67" s="394">
        <v>1.444006749938</v>
      </c>
      <c r="E67" s="395">
        <v>1.040111294988</v>
      </c>
      <c r="F67" s="393">
        <v>49</v>
      </c>
      <c r="G67" s="394">
        <v>40.833333333333002</v>
      </c>
      <c r="H67" s="396">
        <v>3.52881</v>
      </c>
      <c r="I67" s="393">
        <v>44.453099999999999</v>
      </c>
      <c r="J67" s="394">
        <v>3.619766666666</v>
      </c>
      <c r="K67" s="398">
        <v>0.90720612244800003</v>
      </c>
    </row>
    <row r="68" spans="1:11" ht="14.4" customHeight="1" thickBot="1" x14ac:dyDescent="0.35">
      <c r="A68" s="410" t="s">
        <v>281</v>
      </c>
      <c r="B68" s="388">
        <v>36.000003250060999</v>
      </c>
      <c r="C68" s="388">
        <v>37.444009999999999</v>
      </c>
      <c r="D68" s="389">
        <v>1.444006749938</v>
      </c>
      <c r="E68" s="390">
        <v>1.040111294988</v>
      </c>
      <c r="F68" s="388">
        <v>49</v>
      </c>
      <c r="G68" s="389">
        <v>40.833333333333002</v>
      </c>
      <c r="H68" s="391">
        <v>3.52881</v>
      </c>
      <c r="I68" s="388">
        <v>44.453099999999999</v>
      </c>
      <c r="J68" s="389">
        <v>3.619766666666</v>
      </c>
      <c r="K68" s="392">
        <v>0.90720612244800003</v>
      </c>
    </row>
    <row r="69" spans="1:11" ht="14.4" customHeight="1" thickBot="1" x14ac:dyDescent="0.35">
      <c r="A69" s="407" t="s">
        <v>282</v>
      </c>
      <c r="B69" s="388">
        <v>0</v>
      </c>
      <c r="C69" s="388">
        <v>4.5</v>
      </c>
      <c r="D69" s="389">
        <v>4.5</v>
      </c>
      <c r="E69" s="399" t="s">
        <v>221</v>
      </c>
      <c r="F69" s="388">
        <v>0</v>
      </c>
      <c r="G69" s="389">
        <v>0</v>
      </c>
      <c r="H69" s="391">
        <v>1.5</v>
      </c>
      <c r="I69" s="388">
        <v>3.1</v>
      </c>
      <c r="J69" s="389">
        <v>3.1</v>
      </c>
      <c r="K69" s="400" t="s">
        <v>221</v>
      </c>
    </row>
    <row r="70" spans="1:11" ht="14.4" customHeight="1" thickBot="1" x14ac:dyDescent="0.35">
      <c r="A70" s="408" t="s">
        <v>283</v>
      </c>
      <c r="B70" s="388">
        <v>0</v>
      </c>
      <c r="C70" s="388">
        <v>4.5</v>
      </c>
      <c r="D70" s="389">
        <v>4.5</v>
      </c>
      <c r="E70" s="399" t="s">
        <v>221</v>
      </c>
      <c r="F70" s="388">
        <v>0</v>
      </c>
      <c r="G70" s="389">
        <v>0</v>
      </c>
      <c r="H70" s="391">
        <v>1.5</v>
      </c>
      <c r="I70" s="388">
        <v>3.1</v>
      </c>
      <c r="J70" s="389">
        <v>3.1</v>
      </c>
      <c r="K70" s="400" t="s">
        <v>221</v>
      </c>
    </row>
    <row r="71" spans="1:11" ht="14.4" customHeight="1" thickBot="1" x14ac:dyDescent="0.35">
      <c r="A71" s="412" t="s">
        <v>284</v>
      </c>
      <c r="B71" s="388">
        <v>0</v>
      </c>
      <c r="C71" s="388">
        <v>0</v>
      </c>
      <c r="D71" s="389">
        <v>0</v>
      </c>
      <c r="E71" s="399" t="s">
        <v>221</v>
      </c>
      <c r="F71" s="388">
        <v>0</v>
      </c>
      <c r="G71" s="389">
        <v>0</v>
      </c>
      <c r="H71" s="391">
        <v>1.5</v>
      </c>
      <c r="I71" s="388">
        <v>1.5</v>
      </c>
      <c r="J71" s="389">
        <v>1.5</v>
      </c>
      <c r="K71" s="400" t="s">
        <v>232</v>
      </c>
    </row>
    <row r="72" spans="1:11" ht="14.4" customHeight="1" thickBot="1" x14ac:dyDescent="0.35">
      <c r="A72" s="410" t="s">
        <v>285</v>
      </c>
      <c r="B72" s="388">
        <v>0</v>
      </c>
      <c r="C72" s="388">
        <v>0</v>
      </c>
      <c r="D72" s="389">
        <v>0</v>
      </c>
      <c r="E72" s="399" t="s">
        <v>221</v>
      </c>
      <c r="F72" s="388">
        <v>0</v>
      </c>
      <c r="G72" s="389">
        <v>0</v>
      </c>
      <c r="H72" s="391">
        <v>1.5</v>
      </c>
      <c r="I72" s="388">
        <v>1.5</v>
      </c>
      <c r="J72" s="389">
        <v>1.5</v>
      </c>
      <c r="K72" s="400" t="s">
        <v>232</v>
      </c>
    </row>
    <row r="73" spans="1:11" ht="14.4" customHeight="1" thickBot="1" x14ac:dyDescent="0.35">
      <c r="A73" s="412" t="s">
        <v>286</v>
      </c>
      <c r="B73" s="388">
        <v>0</v>
      </c>
      <c r="C73" s="388">
        <v>4.5</v>
      </c>
      <c r="D73" s="389">
        <v>4.5</v>
      </c>
      <c r="E73" s="399" t="s">
        <v>232</v>
      </c>
      <c r="F73" s="388">
        <v>0</v>
      </c>
      <c r="G73" s="389">
        <v>0</v>
      </c>
      <c r="H73" s="391">
        <v>0</v>
      </c>
      <c r="I73" s="388">
        <v>1.6</v>
      </c>
      <c r="J73" s="389">
        <v>1.6</v>
      </c>
      <c r="K73" s="400" t="s">
        <v>221</v>
      </c>
    </row>
    <row r="74" spans="1:11" ht="14.4" customHeight="1" thickBot="1" x14ac:dyDescent="0.35">
      <c r="A74" s="410" t="s">
        <v>287</v>
      </c>
      <c r="B74" s="388">
        <v>0</v>
      </c>
      <c r="C74" s="388">
        <v>4.5</v>
      </c>
      <c r="D74" s="389">
        <v>4.5</v>
      </c>
      <c r="E74" s="399" t="s">
        <v>232</v>
      </c>
      <c r="F74" s="388">
        <v>0</v>
      </c>
      <c r="G74" s="389">
        <v>0</v>
      </c>
      <c r="H74" s="391">
        <v>0</v>
      </c>
      <c r="I74" s="388">
        <v>1.6</v>
      </c>
      <c r="J74" s="389">
        <v>1.6</v>
      </c>
      <c r="K74" s="400" t="s">
        <v>221</v>
      </c>
    </row>
    <row r="75" spans="1:11" ht="14.4" customHeight="1" thickBot="1" x14ac:dyDescent="0.35">
      <c r="A75" s="407" t="s">
        <v>288</v>
      </c>
      <c r="B75" s="388">
        <v>20.000046185193</v>
      </c>
      <c r="C75" s="388">
        <v>19.87</v>
      </c>
      <c r="D75" s="389">
        <v>-0.13004618519300001</v>
      </c>
      <c r="E75" s="390">
        <v>0.99349770575499996</v>
      </c>
      <c r="F75" s="388">
        <v>21</v>
      </c>
      <c r="G75" s="389">
        <v>17.5</v>
      </c>
      <c r="H75" s="391">
        <v>1.7270000000000001</v>
      </c>
      <c r="I75" s="388">
        <v>21.65</v>
      </c>
      <c r="J75" s="389">
        <v>4.1499999999990003</v>
      </c>
      <c r="K75" s="392">
        <v>1.030952380952</v>
      </c>
    </row>
    <row r="76" spans="1:11" ht="14.4" customHeight="1" thickBot="1" x14ac:dyDescent="0.35">
      <c r="A76" s="408" t="s">
        <v>289</v>
      </c>
      <c r="B76" s="388">
        <v>20.000046185193</v>
      </c>
      <c r="C76" s="388">
        <v>19.87</v>
      </c>
      <c r="D76" s="389">
        <v>-0.13004618519300001</v>
      </c>
      <c r="E76" s="390">
        <v>0.99349770575499996</v>
      </c>
      <c r="F76" s="388">
        <v>21</v>
      </c>
      <c r="G76" s="389">
        <v>17.5</v>
      </c>
      <c r="H76" s="391">
        <v>1.7270000000000001</v>
      </c>
      <c r="I76" s="388">
        <v>17.27</v>
      </c>
      <c r="J76" s="389">
        <v>-0.23</v>
      </c>
      <c r="K76" s="392">
        <v>0.82238095237999997</v>
      </c>
    </row>
    <row r="77" spans="1:11" ht="14.4" customHeight="1" thickBot="1" x14ac:dyDescent="0.35">
      <c r="A77" s="409" t="s">
        <v>290</v>
      </c>
      <c r="B77" s="393">
        <v>20.000046185193</v>
      </c>
      <c r="C77" s="393">
        <v>19.87</v>
      </c>
      <c r="D77" s="394">
        <v>-0.13004618519300001</v>
      </c>
      <c r="E77" s="395">
        <v>0.99349770575499996</v>
      </c>
      <c r="F77" s="393">
        <v>21</v>
      </c>
      <c r="G77" s="394">
        <v>17.5</v>
      </c>
      <c r="H77" s="396">
        <v>1.7270000000000001</v>
      </c>
      <c r="I77" s="393">
        <v>17.27</v>
      </c>
      <c r="J77" s="394">
        <v>-0.23</v>
      </c>
      <c r="K77" s="398">
        <v>0.82238095237999997</v>
      </c>
    </row>
    <row r="78" spans="1:11" ht="14.4" customHeight="1" thickBot="1" x14ac:dyDescent="0.35">
      <c r="A78" s="410" t="s">
        <v>291</v>
      </c>
      <c r="B78" s="388">
        <v>17.000039257413999</v>
      </c>
      <c r="C78" s="388">
        <v>17.265999999999998</v>
      </c>
      <c r="D78" s="389">
        <v>0.26596074258500002</v>
      </c>
      <c r="E78" s="390">
        <v>1.015644713436</v>
      </c>
      <c r="F78" s="388">
        <v>18</v>
      </c>
      <c r="G78" s="389">
        <v>15</v>
      </c>
      <c r="H78" s="391">
        <v>1.51</v>
      </c>
      <c r="I78" s="388">
        <v>15.1</v>
      </c>
      <c r="J78" s="389">
        <v>9.9999999999E-2</v>
      </c>
      <c r="K78" s="392">
        <v>0.83888888888799995</v>
      </c>
    </row>
    <row r="79" spans="1:11" ht="14.4" customHeight="1" thickBot="1" x14ac:dyDescent="0.35">
      <c r="A79" s="410" t="s">
        <v>292</v>
      </c>
      <c r="B79" s="388">
        <v>3.0000069277780002</v>
      </c>
      <c r="C79" s="388">
        <v>2.6040000000000001</v>
      </c>
      <c r="D79" s="389">
        <v>-0.39600692777800001</v>
      </c>
      <c r="E79" s="390">
        <v>0.86799799556699997</v>
      </c>
      <c r="F79" s="388">
        <v>3</v>
      </c>
      <c r="G79" s="389">
        <v>2.5</v>
      </c>
      <c r="H79" s="391">
        <v>0.217</v>
      </c>
      <c r="I79" s="388">
        <v>2.17</v>
      </c>
      <c r="J79" s="389">
        <v>-0.33</v>
      </c>
      <c r="K79" s="392">
        <v>0.72333333333299998</v>
      </c>
    </row>
    <row r="80" spans="1:11" ht="14.4" customHeight="1" thickBot="1" x14ac:dyDescent="0.35">
      <c r="A80" s="408" t="s">
        <v>293</v>
      </c>
      <c r="B80" s="388">
        <v>0</v>
      </c>
      <c r="C80" s="388">
        <v>0</v>
      </c>
      <c r="D80" s="389">
        <v>0</v>
      </c>
      <c r="E80" s="399" t="s">
        <v>221</v>
      </c>
      <c r="F80" s="388">
        <v>0</v>
      </c>
      <c r="G80" s="389">
        <v>0</v>
      </c>
      <c r="H80" s="391">
        <v>0</v>
      </c>
      <c r="I80" s="388">
        <v>4.38</v>
      </c>
      <c r="J80" s="389">
        <v>4.38</v>
      </c>
      <c r="K80" s="400" t="s">
        <v>232</v>
      </c>
    </row>
    <row r="81" spans="1:11" ht="14.4" customHeight="1" thickBot="1" x14ac:dyDescent="0.35">
      <c r="A81" s="409" t="s">
        <v>294</v>
      </c>
      <c r="B81" s="393">
        <v>0</v>
      </c>
      <c r="C81" s="393">
        <v>0</v>
      </c>
      <c r="D81" s="394">
        <v>0</v>
      </c>
      <c r="E81" s="395">
        <v>1</v>
      </c>
      <c r="F81" s="393">
        <v>0</v>
      </c>
      <c r="G81" s="394">
        <v>0</v>
      </c>
      <c r="H81" s="396">
        <v>0</v>
      </c>
      <c r="I81" s="393">
        <v>4.38</v>
      </c>
      <c r="J81" s="394">
        <v>4.38</v>
      </c>
      <c r="K81" s="397" t="s">
        <v>232</v>
      </c>
    </row>
    <row r="82" spans="1:11" ht="14.4" customHeight="1" thickBot="1" x14ac:dyDescent="0.35">
      <c r="A82" s="410" t="s">
        <v>295</v>
      </c>
      <c r="B82" s="388">
        <v>0</v>
      </c>
      <c r="C82" s="388">
        <v>0</v>
      </c>
      <c r="D82" s="389">
        <v>0</v>
      </c>
      <c r="E82" s="390">
        <v>1</v>
      </c>
      <c r="F82" s="388">
        <v>0</v>
      </c>
      <c r="G82" s="389">
        <v>0</v>
      </c>
      <c r="H82" s="391">
        <v>0</v>
      </c>
      <c r="I82" s="388">
        <v>4.38</v>
      </c>
      <c r="J82" s="389">
        <v>4.38</v>
      </c>
      <c r="K82" s="400" t="s">
        <v>232</v>
      </c>
    </row>
    <row r="83" spans="1:11" ht="14.4" customHeight="1" thickBot="1" x14ac:dyDescent="0.35">
      <c r="A83" s="406" t="s">
        <v>296</v>
      </c>
      <c r="B83" s="388">
        <v>2339.7759372309401</v>
      </c>
      <c r="C83" s="388">
        <v>2117.8037199999999</v>
      </c>
      <c r="D83" s="389">
        <v>-221.97221723093801</v>
      </c>
      <c r="E83" s="390">
        <v>0.905130994084</v>
      </c>
      <c r="F83" s="388">
        <v>2518.9065441647999</v>
      </c>
      <c r="G83" s="389">
        <v>2099.0887868039999</v>
      </c>
      <c r="H83" s="391">
        <v>141.38871</v>
      </c>
      <c r="I83" s="388">
        <v>1654.73323</v>
      </c>
      <c r="J83" s="389">
        <v>-444.35555680400398</v>
      </c>
      <c r="K83" s="392">
        <v>0.65692521774299995</v>
      </c>
    </row>
    <row r="84" spans="1:11" ht="14.4" customHeight="1" thickBot="1" x14ac:dyDescent="0.35">
      <c r="A84" s="407" t="s">
        <v>297</v>
      </c>
      <c r="B84" s="388">
        <v>2333.9616925863502</v>
      </c>
      <c r="C84" s="388">
        <v>2112.3078700000001</v>
      </c>
      <c r="D84" s="389">
        <v>-221.65382258635</v>
      </c>
      <c r="E84" s="390">
        <v>0.90503107943399996</v>
      </c>
      <c r="F84" s="388">
        <v>2513.8388968996701</v>
      </c>
      <c r="G84" s="389">
        <v>2094.8657474163901</v>
      </c>
      <c r="H84" s="391">
        <v>141.38871</v>
      </c>
      <c r="I84" s="388">
        <v>1654.73323</v>
      </c>
      <c r="J84" s="389">
        <v>-440.13251741639402</v>
      </c>
      <c r="K84" s="392">
        <v>0.658249513141</v>
      </c>
    </row>
    <row r="85" spans="1:11" ht="14.4" customHeight="1" thickBot="1" x14ac:dyDescent="0.35">
      <c r="A85" s="408" t="s">
        <v>298</v>
      </c>
      <c r="B85" s="388">
        <v>2333.9616925863502</v>
      </c>
      <c r="C85" s="388">
        <v>2112.3078700000001</v>
      </c>
      <c r="D85" s="389">
        <v>-221.65382258635</v>
      </c>
      <c r="E85" s="390">
        <v>0.90503107943399996</v>
      </c>
      <c r="F85" s="388">
        <v>2513.8388968996701</v>
      </c>
      <c r="G85" s="389">
        <v>2094.8657474163901</v>
      </c>
      <c r="H85" s="391">
        <v>141.38871</v>
      </c>
      <c r="I85" s="388">
        <v>1654.73323</v>
      </c>
      <c r="J85" s="389">
        <v>-440.13251741639402</v>
      </c>
      <c r="K85" s="392">
        <v>0.658249513141</v>
      </c>
    </row>
    <row r="86" spans="1:11" ht="14.4" customHeight="1" thickBot="1" x14ac:dyDescent="0.35">
      <c r="A86" s="409" t="s">
        <v>299</v>
      </c>
      <c r="B86" s="393">
        <v>0.96145865957300003</v>
      </c>
      <c r="C86" s="393">
        <v>0.76524000000000003</v>
      </c>
      <c r="D86" s="394">
        <v>-0.196218659573</v>
      </c>
      <c r="E86" s="395">
        <v>0.79591565625899996</v>
      </c>
      <c r="F86" s="393">
        <v>1</v>
      </c>
      <c r="G86" s="394">
        <v>0.83333333333299997</v>
      </c>
      <c r="H86" s="396">
        <v>0</v>
      </c>
      <c r="I86" s="393">
        <v>0</v>
      </c>
      <c r="J86" s="394">
        <v>-0.83333333333299997</v>
      </c>
      <c r="K86" s="398">
        <v>0</v>
      </c>
    </row>
    <row r="87" spans="1:11" ht="14.4" customHeight="1" thickBot="1" x14ac:dyDescent="0.35">
      <c r="A87" s="410" t="s">
        <v>300</v>
      </c>
      <c r="B87" s="388">
        <v>0.96145865957300003</v>
      </c>
      <c r="C87" s="388">
        <v>0.76524000000000003</v>
      </c>
      <c r="D87" s="389">
        <v>-0.196218659573</v>
      </c>
      <c r="E87" s="390">
        <v>0.79591565625899996</v>
      </c>
      <c r="F87" s="388">
        <v>1</v>
      </c>
      <c r="G87" s="389">
        <v>0.83333333333299997</v>
      </c>
      <c r="H87" s="391">
        <v>0</v>
      </c>
      <c r="I87" s="388">
        <v>0</v>
      </c>
      <c r="J87" s="389">
        <v>-0.83333333333299997</v>
      </c>
      <c r="K87" s="392">
        <v>0</v>
      </c>
    </row>
    <row r="88" spans="1:11" ht="14.4" customHeight="1" thickBot="1" x14ac:dyDescent="0.35">
      <c r="A88" s="409" t="s">
        <v>301</v>
      </c>
      <c r="B88" s="393">
        <v>7.0000007018800003</v>
      </c>
      <c r="C88" s="393">
        <v>9.1344600000000007</v>
      </c>
      <c r="D88" s="394">
        <v>2.1344592981189998</v>
      </c>
      <c r="E88" s="395">
        <v>1.3049227263000001</v>
      </c>
      <c r="F88" s="393">
        <v>11.838896899672999</v>
      </c>
      <c r="G88" s="394">
        <v>9.8657474163940009</v>
      </c>
      <c r="H88" s="396">
        <v>0</v>
      </c>
      <c r="I88" s="393">
        <v>7.25868</v>
      </c>
      <c r="J88" s="394">
        <v>-2.607067416394</v>
      </c>
      <c r="K88" s="398">
        <v>0.61312131201999998</v>
      </c>
    </row>
    <row r="89" spans="1:11" ht="14.4" customHeight="1" thickBot="1" x14ac:dyDescent="0.35">
      <c r="A89" s="410" t="s">
        <v>302</v>
      </c>
      <c r="B89" s="388">
        <v>7.0000007018800003</v>
      </c>
      <c r="C89" s="388">
        <v>9.1344600000000007</v>
      </c>
      <c r="D89" s="389">
        <v>2.1344592981189998</v>
      </c>
      <c r="E89" s="390">
        <v>1.3049227263000001</v>
      </c>
      <c r="F89" s="388">
        <v>11.838896899672999</v>
      </c>
      <c r="G89" s="389">
        <v>9.8657474163940009</v>
      </c>
      <c r="H89" s="391">
        <v>0</v>
      </c>
      <c r="I89" s="388">
        <v>7.25868</v>
      </c>
      <c r="J89" s="389">
        <v>-2.607067416394</v>
      </c>
      <c r="K89" s="392">
        <v>0.61312131201999998</v>
      </c>
    </row>
    <row r="90" spans="1:11" ht="14.4" customHeight="1" thickBot="1" x14ac:dyDescent="0.35">
      <c r="A90" s="409" t="s">
        <v>303</v>
      </c>
      <c r="B90" s="393">
        <v>0</v>
      </c>
      <c r="C90" s="393">
        <v>0</v>
      </c>
      <c r="D90" s="394">
        <v>0</v>
      </c>
      <c r="E90" s="401" t="s">
        <v>221</v>
      </c>
      <c r="F90" s="393">
        <v>0</v>
      </c>
      <c r="G90" s="394">
        <v>0</v>
      </c>
      <c r="H90" s="396">
        <v>0</v>
      </c>
      <c r="I90" s="393">
        <v>0.81921999999999995</v>
      </c>
      <c r="J90" s="394">
        <v>0.81921999999999995</v>
      </c>
      <c r="K90" s="397" t="s">
        <v>232</v>
      </c>
    </row>
    <row r="91" spans="1:11" ht="14.4" customHeight="1" thickBot="1" x14ac:dyDescent="0.35">
      <c r="A91" s="410" t="s">
        <v>304</v>
      </c>
      <c r="B91" s="388">
        <v>0</v>
      </c>
      <c r="C91" s="388">
        <v>0</v>
      </c>
      <c r="D91" s="389">
        <v>0</v>
      </c>
      <c r="E91" s="390">
        <v>1</v>
      </c>
      <c r="F91" s="388">
        <v>0</v>
      </c>
      <c r="G91" s="389">
        <v>0</v>
      </c>
      <c r="H91" s="391">
        <v>0</v>
      </c>
      <c r="I91" s="388">
        <v>0.81921999999999995</v>
      </c>
      <c r="J91" s="389">
        <v>0.81921999999999995</v>
      </c>
      <c r="K91" s="400" t="s">
        <v>232</v>
      </c>
    </row>
    <row r="92" spans="1:11" ht="14.4" customHeight="1" thickBot="1" x14ac:dyDescent="0.35">
      <c r="A92" s="409" t="s">
        <v>305</v>
      </c>
      <c r="B92" s="393">
        <v>2326.0002332249001</v>
      </c>
      <c r="C92" s="393">
        <v>1945.33905</v>
      </c>
      <c r="D92" s="394">
        <v>-380.661183224897</v>
      </c>
      <c r="E92" s="395">
        <v>0.83634516549500004</v>
      </c>
      <c r="F92" s="393">
        <v>2501</v>
      </c>
      <c r="G92" s="394">
        <v>2084.1666666666702</v>
      </c>
      <c r="H92" s="396">
        <v>135.71824000000001</v>
      </c>
      <c r="I92" s="393">
        <v>1585.6601499999999</v>
      </c>
      <c r="J92" s="394">
        <v>-498.50651666666602</v>
      </c>
      <c r="K92" s="398">
        <v>0.634010455817</v>
      </c>
    </row>
    <row r="93" spans="1:11" ht="14.4" customHeight="1" thickBot="1" x14ac:dyDescent="0.35">
      <c r="A93" s="410" t="s">
        <v>306</v>
      </c>
      <c r="B93" s="388">
        <v>1000.00010026866</v>
      </c>
      <c r="C93" s="388">
        <v>777.89266999999995</v>
      </c>
      <c r="D93" s="389">
        <v>-222.107430268657</v>
      </c>
      <c r="E93" s="390">
        <v>0.77789259200100003</v>
      </c>
      <c r="F93" s="388">
        <v>1057</v>
      </c>
      <c r="G93" s="389">
        <v>880.83333333333303</v>
      </c>
      <c r="H93" s="391">
        <v>36.971879999999999</v>
      </c>
      <c r="I93" s="388">
        <v>546.18919000000005</v>
      </c>
      <c r="J93" s="389">
        <v>-334.64414333333298</v>
      </c>
      <c r="K93" s="392">
        <v>0.51673527909100003</v>
      </c>
    </row>
    <row r="94" spans="1:11" ht="14.4" customHeight="1" thickBot="1" x14ac:dyDescent="0.35">
      <c r="A94" s="410" t="s">
        <v>307</v>
      </c>
      <c r="B94" s="388">
        <v>1326.0001329562399</v>
      </c>
      <c r="C94" s="388">
        <v>1167.4463800000001</v>
      </c>
      <c r="D94" s="389">
        <v>-158.55375295624</v>
      </c>
      <c r="E94" s="390">
        <v>0.88042704595900001</v>
      </c>
      <c r="F94" s="388">
        <v>1444</v>
      </c>
      <c r="G94" s="389">
        <v>1203.3333333333301</v>
      </c>
      <c r="H94" s="391">
        <v>98.746359999999996</v>
      </c>
      <c r="I94" s="388">
        <v>1039.4709600000001</v>
      </c>
      <c r="J94" s="389">
        <v>-163.86237333333301</v>
      </c>
      <c r="K94" s="392">
        <v>0.71985523545700003</v>
      </c>
    </row>
    <row r="95" spans="1:11" ht="14.4" customHeight="1" thickBot="1" x14ac:dyDescent="0.35">
      <c r="A95" s="409" t="s">
        <v>308</v>
      </c>
      <c r="B95" s="393">
        <v>0</v>
      </c>
      <c r="C95" s="393">
        <v>157.06912</v>
      </c>
      <c r="D95" s="394">
        <v>157.06912</v>
      </c>
      <c r="E95" s="401" t="s">
        <v>221</v>
      </c>
      <c r="F95" s="393">
        <v>0</v>
      </c>
      <c r="G95" s="394">
        <v>0</v>
      </c>
      <c r="H95" s="396">
        <v>5.6704699999999999</v>
      </c>
      <c r="I95" s="393">
        <v>60.995179999999998</v>
      </c>
      <c r="J95" s="394">
        <v>60.995179999999998</v>
      </c>
      <c r="K95" s="397" t="s">
        <v>221</v>
      </c>
    </row>
    <row r="96" spans="1:11" ht="14.4" customHeight="1" thickBot="1" x14ac:dyDescent="0.35">
      <c r="A96" s="410" t="s">
        <v>309</v>
      </c>
      <c r="B96" s="388">
        <v>0</v>
      </c>
      <c r="C96" s="388">
        <v>15.700760000000001</v>
      </c>
      <c r="D96" s="389">
        <v>15.700760000000001</v>
      </c>
      <c r="E96" s="399" t="s">
        <v>221</v>
      </c>
      <c r="F96" s="388">
        <v>0</v>
      </c>
      <c r="G96" s="389">
        <v>0</v>
      </c>
      <c r="H96" s="391">
        <v>0</v>
      </c>
      <c r="I96" s="388">
        <v>43.506160000000001</v>
      </c>
      <c r="J96" s="389">
        <v>43.506160000000001</v>
      </c>
      <c r="K96" s="400" t="s">
        <v>221</v>
      </c>
    </row>
    <row r="97" spans="1:11" ht="14.4" customHeight="1" thickBot="1" x14ac:dyDescent="0.35">
      <c r="A97" s="410" t="s">
        <v>310</v>
      </c>
      <c r="B97" s="388">
        <v>0</v>
      </c>
      <c r="C97" s="388">
        <v>141.36836</v>
      </c>
      <c r="D97" s="389">
        <v>141.36836</v>
      </c>
      <c r="E97" s="399" t="s">
        <v>221</v>
      </c>
      <c r="F97" s="388">
        <v>0</v>
      </c>
      <c r="G97" s="389">
        <v>0</v>
      </c>
      <c r="H97" s="391">
        <v>5.6704699999999999</v>
      </c>
      <c r="I97" s="388">
        <v>17.48902</v>
      </c>
      <c r="J97" s="389">
        <v>17.48902</v>
      </c>
      <c r="K97" s="400" t="s">
        <v>221</v>
      </c>
    </row>
    <row r="98" spans="1:11" ht="14.4" customHeight="1" thickBot="1" x14ac:dyDescent="0.35">
      <c r="A98" s="407" t="s">
        <v>311</v>
      </c>
      <c r="B98" s="388">
        <v>5.8142446445880003</v>
      </c>
      <c r="C98" s="388">
        <v>5.4958499999999999</v>
      </c>
      <c r="D98" s="389">
        <v>-0.31839464458799999</v>
      </c>
      <c r="E98" s="390">
        <v>0.94523886350599995</v>
      </c>
      <c r="F98" s="388">
        <v>5.0676472651309998</v>
      </c>
      <c r="G98" s="389">
        <v>4.223039387609</v>
      </c>
      <c r="H98" s="391">
        <v>0</v>
      </c>
      <c r="I98" s="388">
        <v>0</v>
      </c>
      <c r="J98" s="389">
        <v>-4.223039387609</v>
      </c>
      <c r="K98" s="392">
        <v>0</v>
      </c>
    </row>
    <row r="99" spans="1:11" ht="14.4" customHeight="1" thickBot="1" x14ac:dyDescent="0.35">
      <c r="A99" s="413" t="s">
        <v>312</v>
      </c>
      <c r="B99" s="393">
        <v>5.8142446445880003</v>
      </c>
      <c r="C99" s="393">
        <v>5.4958499999999999</v>
      </c>
      <c r="D99" s="394">
        <v>-0.31839464458799999</v>
      </c>
      <c r="E99" s="395">
        <v>0.94523886350599995</v>
      </c>
      <c r="F99" s="393">
        <v>5.0676472651309998</v>
      </c>
      <c r="G99" s="394">
        <v>4.223039387609</v>
      </c>
      <c r="H99" s="396">
        <v>0</v>
      </c>
      <c r="I99" s="393">
        <v>0</v>
      </c>
      <c r="J99" s="394">
        <v>-4.223039387609</v>
      </c>
      <c r="K99" s="398">
        <v>0</v>
      </c>
    </row>
    <row r="100" spans="1:11" ht="14.4" customHeight="1" thickBot="1" x14ac:dyDescent="0.35">
      <c r="A100" s="409" t="s">
        <v>313</v>
      </c>
      <c r="B100" s="393">
        <v>0</v>
      </c>
      <c r="C100" s="393">
        <v>-9.0000000000000006E-5</v>
      </c>
      <c r="D100" s="394">
        <v>-9.0000000000000006E-5</v>
      </c>
      <c r="E100" s="401" t="s">
        <v>221</v>
      </c>
      <c r="F100" s="393">
        <v>0</v>
      </c>
      <c r="G100" s="394">
        <v>0</v>
      </c>
      <c r="H100" s="396">
        <v>0</v>
      </c>
      <c r="I100" s="393">
        <v>0</v>
      </c>
      <c r="J100" s="394">
        <v>0</v>
      </c>
      <c r="K100" s="397" t="s">
        <v>221</v>
      </c>
    </row>
    <row r="101" spans="1:11" ht="14.4" customHeight="1" thickBot="1" x14ac:dyDescent="0.35">
      <c r="A101" s="410" t="s">
        <v>314</v>
      </c>
      <c r="B101" s="388">
        <v>0</v>
      </c>
      <c r="C101" s="388">
        <v>-9.0000000000000006E-5</v>
      </c>
      <c r="D101" s="389">
        <v>-9.0000000000000006E-5</v>
      </c>
      <c r="E101" s="399" t="s">
        <v>221</v>
      </c>
      <c r="F101" s="388">
        <v>0</v>
      </c>
      <c r="G101" s="389">
        <v>0</v>
      </c>
      <c r="H101" s="391">
        <v>0</v>
      </c>
      <c r="I101" s="388">
        <v>0</v>
      </c>
      <c r="J101" s="389">
        <v>0</v>
      </c>
      <c r="K101" s="400" t="s">
        <v>221</v>
      </c>
    </row>
    <row r="102" spans="1:11" ht="14.4" customHeight="1" thickBot="1" x14ac:dyDescent="0.35">
      <c r="A102" s="409" t="s">
        <v>315</v>
      </c>
      <c r="B102" s="393">
        <v>5.8142446445880003</v>
      </c>
      <c r="C102" s="393">
        <v>5.49594</v>
      </c>
      <c r="D102" s="394">
        <v>-0.31830464458800001</v>
      </c>
      <c r="E102" s="395">
        <v>0.94525434273099995</v>
      </c>
      <c r="F102" s="393">
        <v>5.0676472651309998</v>
      </c>
      <c r="G102" s="394">
        <v>4.223039387609</v>
      </c>
      <c r="H102" s="396">
        <v>0</v>
      </c>
      <c r="I102" s="393">
        <v>0</v>
      </c>
      <c r="J102" s="394">
        <v>-4.223039387609</v>
      </c>
      <c r="K102" s="398">
        <v>0</v>
      </c>
    </row>
    <row r="103" spans="1:11" ht="14.4" customHeight="1" thickBot="1" x14ac:dyDescent="0.35">
      <c r="A103" s="410" t="s">
        <v>316</v>
      </c>
      <c r="B103" s="388">
        <v>5.8142446445880003</v>
      </c>
      <c r="C103" s="388">
        <v>5.49594</v>
      </c>
      <c r="D103" s="389">
        <v>-0.31830464458800001</v>
      </c>
      <c r="E103" s="390">
        <v>0.94525434273099995</v>
      </c>
      <c r="F103" s="388">
        <v>5.0676472651309998</v>
      </c>
      <c r="G103" s="389">
        <v>4.223039387609</v>
      </c>
      <c r="H103" s="391">
        <v>0</v>
      </c>
      <c r="I103" s="388">
        <v>0</v>
      </c>
      <c r="J103" s="389">
        <v>-4.223039387609</v>
      </c>
      <c r="K103" s="392">
        <v>0</v>
      </c>
    </row>
    <row r="104" spans="1:11" ht="14.4" customHeight="1" thickBot="1" x14ac:dyDescent="0.35">
      <c r="A104" s="406" t="s">
        <v>317</v>
      </c>
      <c r="B104" s="388">
        <v>472.64610348198801</v>
      </c>
      <c r="C104" s="388">
        <v>467.05306999999999</v>
      </c>
      <c r="D104" s="389">
        <v>-5.5930334819879999</v>
      </c>
      <c r="E104" s="390">
        <v>0.98816655116600005</v>
      </c>
      <c r="F104" s="388">
        <v>440.28554719296602</v>
      </c>
      <c r="G104" s="389">
        <v>366.90462266080499</v>
      </c>
      <c r="H104" s="391">
        <v>40.421950000000002</v>
      </c>
      <c r="I104" s="388">
        <v>395.43803000000003</v>
      </c>
      <c r="J104" s="389">
        <v>28.533407339195001</v>
      </c>
      <c r="K104" s="392">
        <v>0.898139928782</v>
      </c>
    </row>
    <row r="105" spans="1:11" ht="14.4" customHeight="1" thickBot="1" x14ac:dyDescent="0.35">
      <c r="A105" s="411" t="s">
        <v>318</v>
      </c>
      <c r="B105" s="393">
        <v>472.64610348198801</v>
      </c>
      <c r="C105" s="393">
        <v>467.05306999999999</v>
      </c>
      <c r="D105" s="394">
        <v>-5.5930334819879999</v>
      </c>
      <c r="E105" s="395">
        <v>0.98816655116600005</v>
      </c>
      <c r="F105" s="393">
        <v>440.28554719296602</v>
      </c>
      <c r="G105" s="394">
        <v>366.90462266080499</v>
      </c>
      <c r="H105" s="396">
        <v>40.421950000000002</v>
      </c>
      <c r="I105" s="393">
        <v>395.43803000000003</v>
      </c>
      <c r="J105" s="394">
        <v>28.533407339195001</v>
      </c>
      <c r="K105" s="398">
        <v>0.898139928782</v>
      </c>
    </row>
    <row r="106" spans="1:11" ht="14.4" customHeight="1" thickBot="1" x14ac:dyDescent="0.35">
      <c r="A106" s="413" t="s">
        <v>30</v>
      </c>
      <c r="B106" s="393">
        <v>472.64610348198801</v>
      </c>
      <c r="C106" s="393">
        <v>467.05306999999999</v>
      </c>
      <c r="D106" s="394">
        <v>-5.5930334819879999</v>
      </c>
      <c r="E106" s="395">
        <v>0.98816655116600005</v>
      </c>
      <c r="F106" s="393">
        <v>440.28554719296602</v>
      </c>
      <c r="G106" s="394">
        <v>366.90462266080499</v>
      </c>
      <c r="H106" s="396">
        <v>40.421950000000002</v>
      </c>
      <c r="I106" s="393">
        <v>395.43803000000003</v>
      </c>
      <c r="J106" s="394">
        <v>28.533407339195001</v>
      </c>
      <c r="K106" s="398">
        <v>0.898139928782</v>
      </c>
    </row>
    <row r="107" spans="1:11" ht="14.4" customHeight="1" thickBot="1" x14ac:dyDescent="0.35">
      <c r="A107" s="409" t="s">
        <v>319</v>
      </c>
      <c r="B107" s="393">
        <v>6.7729266926160001</v>
      </c>
      <c r="C107" s="393">
        <v>6.2640000000000002</v>
      </c>
      <c r="D107" s="394">
        <v>-0.50892669261599999</v>
      </c>
      <c r="E107" s="395">
        <v>0.92485867399499999</v>
      </c>
      <c r="F107" s="393">
        <v>6.7666194913769999</v>
      </c>
      <c r="G107" s="394">
        <v>5.6388495761469999</v>
      </c>
      <c r="H107" s="396">
        <v>0.60799999999999998</v>
      </c>
      <c r="I107" s="393">
        <v>6.08</v>
      </c>
      <c r="J107" s="394">
        <v>0.44115042385199998</v>
      </c>
      <c r="K107" s="398">
        <v>0.89852843177399999</v>
      </c>
    </row>
    <row r="108" spans="1:11" ht="14.4" customHeight="1" thickBot="1" x14ac:dyDescent="0.35">
      <c r="A108" s="410" t="s">
        <v>320</v>
      </c>
      <c r="B108" s="388">
        <v>6.7729266926160001</v>
      </c>
      <c r="C108" s="388">
        <v>6.2640000000000002</v>
      </c>
      <c r="D108" s="389">
        <v>-0.50892669261599999</v>
      </c>
      <c r="E108" s="390">
        <v>0.92485867399499999</v>
      </c>
      <c r="F108" s="388">
        <v>6.7666194913769999</v>
      </c>
      <c r="G108" s="389">
        <v>5.6388495761469999</v>
      </c>
      <c r="H108" s="391">
        <v>0.60799999999999998</v>
      </c>
      <c r="I108" s="388">
        <v>6.08</v>
      </c>
      <c r="J108" s="389">
        <v>0.44115042385199998</v>
      </c>
      <c r="K108" s="392">
        <v>0.89852843177399999</v>
      </c>
    </row>
    <row r="109" spans="1:11" ht="14.4" customHeight="1" thickBot="1" x14ac:dyDescent="0.35">
      <c r="A109" s="409" t="s">
        <v>321</v>
      </c>
      <c r="B109" s="393">
        <v>0</v>
      </c>
      <c r="C109" s="393">
        <v>0.36749999999999999</v>
      </c>
      <c r="D109" s="394">
        <v>0.36749999999999999</v>
      </c>
      <c r="E109" s="401" t="s">
        <v>232</v>
      </c>
      <c r="F109" s="393">
        <v>0.39345567570899997</v>
      </c>
      <c r="G109" s="394">
        <v>0.32787972975700003</v>
      </c>
      <c r="H109" s="396">
        <v>0</v>
      </c>
      <c r="I109" s="393">
        <v>7.3499999999999996E-2</v>
      </c>
      <c r="J109" s="394">
        <v>-0.25437972975700002</v>
      </c>
      <c r="K109" s="398">
        <v>0.18680630255799999</v>
      </c>
    </row>
    <row r="110" spans="1:11" ht="14.4" customHeight="1" thickBot="1" x14ac:dyDescent="0.35">
      <c r="A110" s="410" t="s">
        <v>322</v>
      </c>
      <c r="B110" s="388">
        <v>0</v>
      </c>
      <c r="C110" s="388">
        <v>0.36749999999999999</v>
      </c>
      <c r="D110" s="389">
        <v>0.36749999999999999</v>
      </c>
      <c r="E110" s="399" t="s">
        <v>232</v>
      </c>
      <c r="F110" s="388">
        <v>0.39345567570899997</v>
      </c>
      <c r="G110" s="389">
        <v>0.32787972975700003</v>
      </c>
      <c r="H110" s="391">
        <v>0</v>
      </c>
      <c r="I110" s="388">
        <v>7.3499999999999996E-2</v>
      </c>
      <c r="J110" s="389">
        <v>-0.25437972975700002</v>
      </c>
      <c r="K110" s="392">
        <v>0.18680630255799999</v>
      </c>
    </row>
    <row r="111" spans="1:11" ht="14.4" customHeight="1" thickBot="1" x14ac:dyDescent="0.35">
      <c r="A111" s="409" t="s">
        <v>323</v>
      </c>
      <c r="B111" s="393">
        <v>1.7545519285610001</v>
      </c>
      <c r="C111" s="393">
        <v>1.7290000000000001</v>
      </c>
      <c r="D111" s="394">
        <v>-2.5551928561000001E-2</v>
      </c>
      <c r="E111" s="395">
        <v>0.98543677838999999</v>
      </c>
      <c r="F111" s="393">
        <v>1.691866545791</v>
      </c>
      <c r="G111" s="394">
        <v>1.4098887881590001</v>
      </c>
      <c r="H111" s="396">
        <v>0.193</v>
      </c>
      <c r="I111" s="393">
        <v>1.8968</v>
      </c>
      <c r="J111" s="394">
        <v>0.48691121184000002</v>
      </c>
      <c r="K111" s="398">
        <v>1.1211286166259999</v>
      </c>
    </row>
    <row r="112" spans="1:11" ht="14.4" customHeight="1" thickBot="1" x14ac:dyDescent="0.35">
      <c r="A112" s="410" t="s">
        <v>324</v>
      </c>
      <c r="B112" s="388">
        <v>1.7545519285610001</v>
      </c>
      <c r="C112" s="388">
        <v>1.7290000000000001</v>
      </c>
      <c r="D112" s="389">
        <v>-2.5551928561000001E-2</v>
      </c>
      <c r="E112" s="390">
        <v>0.98543677838999999</v>
      </c>
      <c r="F112" s="388">
        <v>1.691866545791</v>
      </c>
      <c r="G112" s="389">
        <v>1.4098887881590001</v>
      </c>
      <c r="H112" s="391">
        <v>0.193</v>
      </c>
      <c r="I112" s="388">
        <v>1.8968</v>
      </c>
      <c r="J112" s="389">
        <v>0.48691121184000002</v>
      </c>
      <c r="K112" s="392">
        <v>1.1211286166259999</v>
      </c>
    </row>
    <row r="113" spans="1:11" ht="14.4" customHeight="1" thickBot="1" x14ac:dyDescent="0.35">
      <c r="A113" s="409" t="s">
        <v>325</v>
      </c>
      <c r="B113" s="393">
        <v>117.687631564019</v>
      </c>
      <c r="C113" s="393">
        <v>112.60208</v>
      </c>
      <c r="D113" s="394">
        <v>-5.0855515640190001</v>
      </c>
      <c r="E113" s="395">
        <v>0.95678771425300002</v>
      </c>
      <c r="F113" s="393">
        <v>91.343141290572007</v>
      </c>
      <c r="G113" s="394">
        <v>76.119284408810003</v>
      </c>
      <c r="H113" s="396">
        <v>6.4218999999999999</v>
      </c>
      <c r="I113" s="393">
        <v>77.656779999999998</v>
      </c>
      <c r="J113" s="394">
        <v>1.537495591189</v>
      </c>
      <c r="K113" s="398">
        <v>0.85016541912999999</v>
      </c>
    </row>
    <row r="114" spans="1:11" ht="14.4" customHeight="1" thickBot="1" x14ac:dyDescent="0.35">
      <c r="A114" s="410" t="s">
        <v>326</v>
      </c>
      <c r="B114" s="388">
        <v>117.687631564019</v>
      </c>
      <c r="C114" s="388">
        <v>112.60208</v>
      </c>
      <c r="D114" s="389">
        <v>-5.0855515640190001</v>
      </c>
      <c r="E114" s="390">
        <v>0.95678771425300002</v>
      </c>
      <c r="F114" s="388">
        <v>91.343141290572007</v>
      </c>
      <c r="G114" s="389">
        <v>76.119284408810003</v>
      </c>
      <c r="H114" s="391">
        <v>6.4218999999999999</v>
      </c>
      <c r="I114" s="388">
        <v>77.656779999999998</v>
      </c>
      <c r="J114" s="389">
        <v>1.537495591189</v>
      </c>
      <c r="K114" s="392">
        <v>0.85016541912999999</v>
      </c>
    </row>
    <row r="115" spans="1:11" ht="14.4" customHeight="1" thickBot="1" x14ac:dyDescent="0.35">
      <c r="A115" s="409" t="s">
        <v>327</v>
      </c>
      <c r="B115" s="393">
        <v>346.43099329679097</v>
      </c>
      <c r="C115" s="393">
        <v>346.09048999999999</v>
      </c>
      <c r="D115" s="394">
        <v>-0.34050329679000002</v>
      </c>
      <c r="E115" s="395">
        <v>0.99901711075599997</v>
      </c>
      <c r="F115" s="393">
        <v>340.09046418951499</v>
      </c>
      <c r="G115" s="394">
        <v>283.408720157929</v>
      </c>
      <c r="H115" s="396">
        <v>33.19905</v>
      </c>
      <c r="I115" s="393">
        <v>309.73095000000001</v>
      </c>
      <c r="J115" s="394">
        <v>26.322229842071</v>
      </c>
      <c r="K115" s="398">
        <v>0.91073106309499996</v>
      </c>
    </row>
    <row r="116" spans="1:11" ht="14.4" customHeight="1" thickBot="1" x14ac:dyDescent="0.35">
      <c r="A116" s="410" t="s">
        <v>328</v>
      </c>
      <c r="B116" s="388">
        <v>346.43099329679097</v>
      </c>
      <c r="C116" s="388">
        <v>346.09048999999999</v>
      </c>
      <c r="D116" s="389">
        <v>-0.34050329679000002</v>
      </c>
      <c r="E116" s="390">
        <v>0.99901711075599997</v>
      </c>
      <c r="F116" s="388">
        <v>340.09046418951499</v>
      </c>
      <c r="G116" s="389">
        <v>283.408720157929</v>
      </c>
      <c r="H116" s="391">
        <v>33.19905</v>
      </c>
      <c r="I116" s="388">
        <v>309.73095000000001</v>
      </c>
      <c r="J116" s="389">
        <v>26.322229842071</v>
      </c>
      <c r="K116" s="392">
        <v>0.91073106309499996</v>
      </c>
    </row>
    <row r="117" spans="1:11" ht="14.4" customHeight="1" thickBot="1" x14ac:dyDescent="0.35">
      <c r="A117" s="414"/>
      <c r="B117" s="388">
        <v>-1596.2872556028699</v>
      </c>
      <c r="C117" s="388">
        <v>-1943.8568499999999</v>
      </c>
      <c r="D117" s="389">
        <v>-347.56959439713103</v>
      </c>
      <c r="E117" s="390">
        <v>1.2177362458900001</v>
      </c>
      <c r="F117" s="388">
        <v>-1487.2779158433</v>
      </c>
      <c r="G117" s="389">
        <v>-1239.3982632027501</v>
      </c>
      <c r="H117" s="391">
        <v>-156.66928999999999</v>
      </c>
      <c r="I117" s="388">
        <v>-1937.06933</v>
      </c>
      <c r="J117" s="389">
        <v>-697.67106679725202</v>
      </c>
      <c r="K117" s="392">
        <v>1.3024259349009999</v>
      </c>
    </row>
    <row r="118" spans="1:11" ht="14.4" customHeight="1" thickBot="1" x14ac:dyDescent="0.35">
      <c r="A118" s="415" t="s">
        <v>42</v>
      </c>
      <c r="B118" s="402">
        <v>-1596.2872556028699</v>
      </c>
      <c r="C118" s="402">
        <v>-1943.8568499999999</v>
      </c>
      <c r="D118" s="403">
        <v>-347.56959439713199</v>
      </c>
      <c r="E118" s="404">
        <v>-1.1209144516139999</v>
      </c>
      <c r="F118" s="402">
        <v>-1487.2779158433</v>
      </c>
      <c r="G118" s="403">
        <v>-1239.3982632027501</v>
      </c>
      <c r="H118" s="402">
        <v>-156.66928999999999</v>
      </c>
      <c r="I118" s="402">
        <v>-1937.06933</v>
      </c>
      <c r="J118" s="403">
        <v>-697.67106679725202</v>
      </c>
      <c r="K118" s="405">
        <v>1.3024259349009999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77" customWidth="1"/>
    <col min="2" max="2" width="61.109375" style="177" customWidth="1"/>
    <col min="3" max="3" width="9.5546875" style="101" hidden="1" customWidth="1" outlineLevel="1"/>
    <col min="4" max="4" width="9.5546875" style="178" customWidth="1" collapsed="1"/>
    <col min="5" max="5" width="2.21875" style="178" customWidth="1"/>
    <col min="6" max="6" width="9.5546875" style="179" customWidth="1"/>
    <col min="7" max="7" width="9.5546875" style="176" customWidth="1"/>
    <col min="8" max="9" width="9.5546875" style="101" customWidth="1"/>
    <col min="10" max="10" width="0" style="101" hidden="1" customWidth="1"/>
    <col min="11" max="16384" width="8.88671875" style="101"/>
  </cols>
  <sheetData>
    <row r="1" spans="1:10" ht="18.600000000000001" customHeight="1" thickBot="1" x14ac:dyDescent="0.4">
      <c r="A1" s="318" t="s">
        <v>102</v>
      </c>
      <c r="B1" s="319"/>
      <c r="C1" s="319"/>
      <c r="D1" s="319"/>
      <c r="E1" s="319"/>
      <c r="F1" s="319"/>
      <c r="G1" s="289"/>
      <c r="H1" s="320"/>
      <c r="I1" s="320"/>
    </row>
    <row r="2" spans="1:10" ht="14.4" customHeight="1" thickBot="1" x14ac:dyDescent="0.35">
      <c r="A2" s="193" t="s">
        <v>220</v>
      </c>
      <c r="B2" s="175"/>
      <c r="C2" s="175"/>
      <c r="D2" s="175"/>
      <c r="E2" s="175"/>
      <c r="F2" s="175"/>
    </row>
    <row r="3" spans="1:10" ht="14.4" customHeight="1" thickBot="1" x14ac:dyDescent="0.35">
      <c r="A3" s="193"/>
      <c r="B3" s="232"/>
      <c r="C3" s="231">
        <v>2015</v>
      </c>
      <c r="D3" s="200">
        <v>2016</v>
      </c>
      <c r="E3" s="7"/>
      <c r="F3" s="297">
        <v>2017</v>
      </c>
      <c r="G3" s="315"/>
      <c r="H3" s="315"/>
      <c r="I3" s="298"/>
    </row>
    <row r="4" spans="1:10" ht="14.4" customHeight="1" thickBot="1" x14ac:dyDescent="0.35">
      <c r="A4" s="204" t="s">
        <v>0</v>
      </c>
      <c r="B4" s="205" t="s">
        <v>145</v>
      </c>
      <c r="C4" s="316" t="s">
        <v>48</v>
      </c>
      <c r="D4" s="317"/>
      <c r="E4" s="206"/>
      <c r="F4" s="201" t="s">
        <v>48</v>
      </c>
      <c r="G4" s="202" t="s">
        <v>49</v>
      </c>
      <c r="H4" s="202" t="s">
        <v>43</v>
      </c>
      <c r="I4" s="203" t="s">
        <v>50</v>
      </c>
    </row>
    <row r="5" spans="1:10" ht="14.4" customHeight="1" x14ac:dyDescent="0.3">
      <c r="A5" s="416" t="s">
        <v>329</v>
      </c>
      <c r="B5" s="417" t="s">
        <v>330</v>
      </c>
      <c r="C5" s="418" t="s">
        <v>331</v>
      </c>
      <c r="D5" s="418" t="s">
        <v>331</v>
      </c>
      <c r="E5" s="418"/>
      <c r="F5" s="418" t="s">
        <v>331</v>
      </c>
      <c r="G5" s="418" t="s">
        <v>331</v>
      </c>
      <c r="H5" s="418" t="s">
        <v>331</v>
      </c>
      <c r="I5" s="419" t="s">
        <v>331</v>
      </c>
      <c r="J5" s="420" t="s">
        <v>44</v>
      </c>
    </row>
    <row r="6" spans="1:10" ht="14.4" customHeight="1" x14ac:dyDescent="0.3">
      <c r="A6" s="416" t="s">
        <v>329</v>
      </c>
      <c r="B6" s="417" t="s">
        <v>332</v>
      </c>
      <c r="C6" s="418">
        <v>0.33858000000000005</v>
      </c>
      <c r="D6" s="418">
        <v>0</v>
      </c>
      <c r="E6" s="418"/>
      <c r="F6" s="418">
        <v>0</v>
      </c>
      <c r="G6" s="418">
        <v>0</v>
      </c>
      <c r="H6" s="418">
        <v>0</v>
      </c>
      <c r="I6" s="419" t="s">
        <v>331</v>
      </c>
      <c r="J6" s="420" t="s">
        <v>1</v>
      </c>
    </row>
    <row r="7" spans="1:10" ht="14.4" customHeight="1" x14ac:dyDescent="0.3">
      <c r="A7" s="416" t="s">
        <v>329</v>
      </c>
      <c r="B7" s="417" t="s">
        <v>333</v>
      </c>
      <c r="C7" s="418">
        <v>0.33858000000000005</v>
      </c>
      <c r="D7" s="418">
        <v>0</v>
      </c>
      <c r="E7" s="418"/>
      <c r="F7" s="418">
        <v>0</v>
      </c>
      <c r="G7" s="418">
        <v>0</v>
      </c>
      <c r="H7" s="418">
        <v>0</v>
      </c>
      <c r="I7" s="419" t="s">
        <v>331</v>
      </c>
      <c r="J7" s="420" t="s">
        <v>334</v>
      </c>
    </row>
    <row r="9" spans="1:10" ht="14.4" customHeight="1" x14ac:dyDescent="0.3">
      <c r="A9" s="416" t="s">
        <v>329</v>
      </c>
      <c r="B9" s="417" t="s">
        <v>330</v>
      </c>
      <c r="C9" s="418" t="s">
        <v>331</v>
      </c>
      <c r="D9" s="418" t="s">
        <v>331</v>
      </c>
      <c r="E9" s="418"/>
      <c r="F9" s="418" t="s">
        <v>331</v>
      </c>
      <c r="G9" s="418" t="s">
        <v>331</v>
      </c>
      <c r="H9" s="418" t="s">
        <v>331</v>
      </c>
      <c r="I9" s="419" t="s">
        <v>331</v>
      </c>
      <c r="J9" s="420" t="s">
        <v>44</v>
      </c>
    </row>
    <row r="10" spans="1:10" ht="14.4" customHeight="1" x14ac:dyDescent="0.3">
      <c r="A10" s="416" t="s">
        <v>335</v>
      </c>
      <c r="B10" s="417" t="s">
        <v>336</v>
      </c>
      <c r="C10" s="418" t="s">
        <v>331</v>
      </c>
      <c r="D10" s="418" t="s">
        <v>331</v>
      </c>
      <c r="E10" s="418"/>
      <c r="F10" s="418" t="s">
        <v>331</v>
      </c>
      <c r="G10" s="418" t="s">
        <v>331</v>
      </c>
      <c r="H10" s="418" t="s">
        <v>331</v>
      </c>
      <c r="I10" s="419" t="s">
        <v>331</v>
      </c>
      <c r="J10" s="420" t="s">
        <v>0</v>
      </c>
    </row>
    <row r="11" spans="1:10" ht="14.4" customHeight="1" x14ac:dyDescent="0.3">
      <c r="A11" s="416" t="s">
        <v>335</v>
      </c>
      <c r="B11" s="417" t="s">
        <v>332</v>
      </c>
      <c r="C11" s="418">
        <v>0.33858000000000005</v>
      </c>
      <c r="D11" s="418">
        <v>0</v>
      </c>
      <c r="E11" s="418"/>
      <c r="F11" s="418">
        <v>0</v>
      </c>
      <c r="G11" s="418">
        <v>0</v>
      </c>
      <c r="H11" s="418">
        <v>0</v>
      </c>
      <c r="I11" s="419" t="s">
        <v>331</v>
      </c>
      <c r="J11" s="420" t="s">
        <v>1</v>
      </c>
    </row>
    <row r="12" spans="1:10" ht="14.4" customHeight="1" x14ac:dyDescent="0.3">
      <c r="A12" s="416" t="s">
        <v>335</v>
      </c>
      <c r="B12" s="417" t="s">
        <v>337</v>
      </c>
      <c r="C12" s="418">
        <v>0.33858000000000005</v>
      </c>
      <c r="D12" s="418">
        <v>0</v>
      </c>
      <c r="E12" s="418"/>
      <c r="F12" s="418">
        <v>0</v>
      </c>
      <c r="G12" s="418">
        <v>0</v>
      </c>
      <c r="H12" s="418">
        <v>0</v>
      </c>
      <c r="I12" s="419" t="s">
        <v>331</v>
      </c>
      <c r="J12" s="420" t="s">
        <v>338</v>
      </c>
    </row>
    <row r="13" spans="1:10" ht="14.4" customHeight="1" x14ac:dyDescent="0.3">
      <c r="A13" s="416" t="s">
        <v>331</v>
      </c>
      <c r="B13" s="417" t="s">
        <v>331</v>
      </c>
      <c r="C13" s="418" t="s">
        <v>331</v>
      </c>
      <c r="D13" s="418" t="s">
        <v>331</v>
      </c>
      <c r="E13" s="418"/>
      <c r="F13" s="418" t="s">
        <v>331</v>
      </c>
      <c r="G13" s="418" t="s">
        <v>331</v>
      </c>
      <c r="H13" s="418" t="s">
        <v>331</v>
      </c>
      <c r="I13" s="419" t="s">
        <v>331</v>
      </c>
      <c r="J13" s="420" t="s">
        <v>339</v>
      </c>
    </row>
    <row r="14" spans="1:10" ht="14.4" customHeight="1" x14ac:dyDescent="0.3">
      <c r="A14" s="416" t="s">
        <v>329</v>
      </c>
      <c r="B14" s="417" t="s">
        <v>333</v>
      </c>
      <c r="C14" s="418">
        <v>0.33858000000000005</v>
      </c>
      <c r="D14" s="418">
        <v>0</v>
      </c>
      <c r="E14" s="418"/>
      <c r="F14" s="418">
        <v>0</v>
      </c>
      <c r="G14" s="418">
        <v>0</v>
      </c>
      <c r="H14" s="418">
        <v>0</v>
      </c>
      <c r="I14" s="419" t="s">
        <v>331</v>
      </c>
      <c r="J14" s="420" t="s">
        <v>334</v>
      </c>
    </row>
  </sheetData>
  <mergeCells count="3">
    <mergeCell ref="F3:I3"/>
    <mergeCell ref="C4:D4"/>
    <mergeCell ref="A1:I1"/>
  </mergeCells>
  <conditionalFormatting sqref="F8 F15:F65537">
    <cfRule type="cellIs" dxfId="37" priority="18" stopIfTrue="1" operator="greaterThan">
      <formula>1</formula>
    </cfRule>
  </conditionalFormatting>
  <conditionalFormatting sqref="H5:H7">
    <cfRule type="expression" dxfId="36" priority="14">
      <formula>$H5&gt;0</formula>
    </cfRule>
  </conditionalFormatting>
  <conditionalFormatting sqref="I5:I7">
    <cfRule type="expression" dxfId="35" priority="15">
      <formula>$I5&gt;1</formula>
    </cfRule>
  </conditionalFormatting>
  <conditionalFormatting sqref="B5:B7">
    <cfRule type="expression" dxfId="34" priority="11">
      <formula>OR($J5="NS",$J5="SumaNS",$J5="Účet")</formula>
    </cfRule>
  </conditionalFormatting>
  <conditionalFormatting sqref="B5:D7 F5:I7">
    <cfRule type="expression" dxfId="33" priority="17">
      <formula>AND($J5&lt;&gt;"",$J5&lt;&gt;"mezeraKL")</formula>
    </cfRule>
  </conditionalFormatting>
  <conditionalFormatting sqref="B5:D7 F5:I7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1" priority="13">
      <formula>OR($J5="SumaNS",$J5="NS")</formula>
    </cfRule>
  </conditionalFormatting>
  <conditionalFormatting sqref="A5:A7">
    <cfRule type="expression" dxfId="30" priority="9">
      <formula>AND($J5&lt;&gt;"mezeraKL",$J5&lt;&gt;"")</formula>
    </cfRule>
  </conditionalFormatting>
  <conditionalFormatting sqref="A5:A7">
    <cfRule type="expression" dxfId="29" priority="10">
      <formula>AND($J5&lt;&gt;"",$J5&lt;&gt;"mezeraKL")</formula>
    </cfRule>
  </conditionalFormatting>
  <conditionalFormatting sqref="H9:H14">
    <cfRule type="expression" dxfId="28" priority="5">
      <formula>$H9&gt;0</formula>
    </cfRule>
  </conditionalFormatting>
  <conditionalFormatting sqref="A9:A14">
    <cfRule type="expression" dxfId="27" priority="2">
      <formula>AND($J9&lt;&gt;"mezeraKL",$J9&lt;&gt;"")</formula>
    </cfRule>
  </conditionalFormatting>
  <conditionalFormatting sqref="I9:I14">
    <cfRule type="expression" dxfId="26" priority="6">
      <formula>$I9&gt;1</formula>
    </cfRule>
  </conditionalFormatting>
  <conditionalFormatting sqref="B9:B14">
    <cfRule type="expression" dxfId="25" priority="1">
      <formula>OR($J9="NS",$J9="SumaNS",$J9="Účet")</formula>
    </cfRule>
  </conditionalFormatting>
  <conditionalFormatting sqref="A9:D14 F9:I14">
    <cfRule type="expression" dxfId="24" priority="8">
      <formula>AND($J9&lt;&gt;"",$J9&lt;&gt;"mezeraKL")</formula>
    </cfRule>
  </conditionalFormatting>
  <conditionalFormatting sqref="B9:D14 F9:I14">
    <cfRule type="expression" dxfId="23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2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19" customWidth="1"/>
    <col min="2" max="2" width="5.44140625" style="176" bestFit="1" customWidth="1"/>
    <col min="3" max="3" width="6.109375" style="176" bestFit="1" customWidth="1"/>
    <col min="4" max="4" width="7.44140625" style="176" bestFit="1" customWidth="1"/>
    <col min="5" max="5" width="6.21875" style="176" bestFit="1" customWidth="1"/>
    <col min="6" max="6" width="6.33203125" style="179" bestFit="1" customWidth="1"/>
    <col min="7" max="7" width="6.109375" style="179" bestFit="1" customWidth="1"/>
    <col min="8" max="8" width="7.44140625" style="179" bestFit="1" customWidth="1"/>
    <col min="9" max="9" width="6.21875" style="179" bestFit="1" customWidth="1"/>
    <col min="10" max="10" width="5.44140625" style="176" bestFit="1" customWidth="1"/>
    <col min="11" max="11" width="6.109375" style="176" bestFit="1" customWidth="1"/>
    <col min="12" max="12" width="7.44140625" style="176" bestFit="1" customWidth="1"/>
    <col min="13" max="13" width="6.21875" style="176" bestFit="1" customWidth="1"/>
    <col min="14" max="14" width="5.33203125" style="179" bestFit="1" customWidth="1"/>
    <col min="15" max="15" width="6.109375" style="179" bestFit="1" customWidth="1"/>
    <col min="16" max="16" width="7.44140625" style="179" bestFit="1" customWidth="1"/>
    <col min="17" max="17" width="6.21875" style="179" bestFit="1" customWidth="1"/>
    <col min="18" max="16384" width="8.88671875" style="101"/>
  </cols>
  <sheetData>
    <row r="1" spans="1:17" ht="18.600000000000001" customHeight="1" thickBot="1" x14ac:dyDescent="0.4">
      <c r="A1" s="321" t="s">
        <v>146</v>
      </c>
      <c r="B1" s="321"/>
      <c r="C1" s="321"/>
      <c r="D1" s="321"/>
      <c r="E1" s="321"/>
      <c r="F1" s="289"/>
      <c r="G1" s="289"/>
      <c r="H1" s="289"/>
      <c r="I1" s="289"/>
      <c r="J1" s="320"/>
      <c r="K1" s="320"/>
      <c r="L1" s="320"/>
      <c r="M1" s="320"/>
      <c r="N1" s="320"/>
      <c r="O1" s="320"/>
      <c r="P1" s="320"/>
      <c r="Q1" s="320"/>
    </row>
    <row r="2" spans="1:17" ht="14.4" customHeight="1" thickBot="1" x14ac:dyDescent="0.35">
      <c r="A2" s="193" t="s">
        <v>220</v>
      </c>
      <c r="B2" s="180"/>
      <c r="C2" s="180"/>
      <c r="D2" s="180"/>
      <c r="E2" s="180"/>
    </row>
    <row r="3" spans="1:17" ht="14.4" customHeight="1" thickBot="1" x14ac:dyDescent="0.35">
      <c r="A3" s="208" t="s">
        <v>3</v>
      </c>
      <c r="B3" s="212">
        <f>SUM(B6:B1048576)</f>
        <v>4</v>
      </c>
      <c r="C3" s="213">
        <f>SUM(C6:C1048576)</f>
        <v>0</v>
      </c>
      <c r="D3" s="213">
        <f>SUM(D6:D1048576)</f>
        <v>0</v>
      </c>
      <c r="E3" s="214">
        <f>SUM(E6:E1048576)</f>
        <v>0</v>
      </c>
      <c r="F3" s="211">
        <f>IF(SUM($B3:$E3)=0,"",B3/SUM($B3:$E3))</f>
        <v>1</v>
      </c>
      <c r="G3" s="209">
        <f t="shared" ref="G3:I3" si="0">IF(SUM($B3:$E3)=0,"",C3/SUM($B3:$E3))</f>
        <v>0</v>
      </c>
      <c r="H3" s="209">
        <f t="shared" si="0"/>
        <v>0</v>
      </c>
      <c r="I3" s="210">
        <f t="shared" si="0"/>
        <v>0</v>
      </c>
      <c r="J3" s="213">
        <f>SUM(J6:J1048576)</f>
        <v>2</v>
      </c>
      <c r="K3" s="213">
        <f>SUM(K6:K1048576)</f>
        <v>0</v>
      </c>
      <c r="L3" s="213">
        <f>SUM(L6:L1048576)</f>
        <v>0</v>
      </c>
      <c r="M3" s="214">
        <f>SUM(M6:M1048576)</f>
        <v>0</v>
      </c>
      <c r="N3" s="211">
        <f>IF(SUM($J3:$M3)=0,"",J3/SUM($J3:$M3))</f>
        <v>1</v>
      </c>
      <c r="O3" s="209">
        <f t="shared" ref="O3:Q3" si="1">IF(SUM($J3:$M3)=0,"",K3/SUM($J3:$M3))</f>
        <v>0</v>
      </c>
      <c r="P3" s="209">
        <f t="shared" si="1"/>
        <v>0</v>
      </c>
      <c r="Q3" s="210">
        <f t="shared" si="1"/>
        <v>0</v>
      </c>
    </row>
    <row r="4" spans="1:17" ht="14.4" customHeight="1" thickBot="1" x14ac:dyDescent="0.35">
      <c r="A4" s="207"/>
      <c r="B4" s="325" t="s">
        <v>148</v>
      </c>
      <c r="C4" s="326"/>
      <c r="D4" s="326"/>
      <c r="E4" s="327"/>
      <c r="F4" s="322" t="s">
        <v>153</v>
      </c>
      <c r="G4" s="323"/>
      <c r="H4" s="323"/>
      <c r="I4" s="324"/>
      <c r="J4" s="325" t="s">
        <v>154</v>
      </c>
      <c r="K4" s="326"/>
      <c r="L4" s="326"/>
      <c r="M4" s="327"/>
      <c r="N4" s="322" t="s">
        <v>155</v>
      </c>
      <c r="O4" s="323"/>
      <c r="P4" s="323"/>
      <c r="Q4" s="324"/>
    </row>
    <row r="5" spans="1:17" ht="14.4" customHeight="1" thickBot="1" x14ac:dyDescent="0.35">
      <c r="A5" s="421" t="s">
        <v>147</v>
      </c>
      <c r="B5" s="422" t="s">
        <v>149</v>
      </c>
      <c r="C5" s="422" t="s">
        <v>150</v>
      </c>
      <c r="D5" s="422" t="s">
        <v>151</v>
      </c>
      <c r="E5" s="423" t="s">
        <v>152</v>
      </c>
      <c r="F5" s="424" t="s">
        <v>149</v>
      </c>
      <c r="G5" s="425" t="s">
        <v>150</v>
      </c>
      <c r="H5" s="425" t="s">
        <v>151</v>
      </c>
      <c r="I5" s="426" t="s">
        <v>152</v>
      </c>
      <c r="J5" s="422" t="s">
        <v>149</v>
      </c>
      <c r="K5" s="422" t="s">
        <v>150</v>
      </c>
      <c r="L5" s="422" t="s">
        <v>151</v>
      </c>
      <c r="M5" s="423" t="s">
        <v>152</v>
      </c>
      <c r="N5" s="424" t="s">
        <v>149</v>
      </c>
      <c r="O5" s="425" t="s">
        <v>150</v>
      </c>
      <c r="P5" s="425" t="s">
        <v>151</v>
      </c>
      <c r="Q5" s="426" t="s">
        <v>152</v>
      </c>
    </row>
    <row r="6" spans="1:17" ht="14.4" customHeight="1" x14ac:dyDescent="0.3">
      <c r="A6" s="434" t="s">
        <v>340</v>
      </c>
      <c r="B6" s="438"/>
      <c r="C6" s="428"/>
      <c r="D6" s="428"/>
      <c r="E6" s="440"/>
      <c r="F6" s="436"/>
      <c r="G6" s="429"/>
      <c r="H6" s="429"/>
      <c r="I6" s="442"/>
      <c r="J6" s="438"/>
      <c r="K6" s="428"/>
      <c r="L6" s="428"/>
      <c r="M6" s="440"/>
      <c r="N6" s="436"/>
      <c r="O6" s="429"/>
      <c r="P6" s="429"/>
      <c r="Q6" s="430"/>
    </row>
    <row r="7" spans="1:17" ht="14.4" customHeight="1" thickBot="1" x14ac:dyDescent="0.35">
      <c r="A7" s="435" t="s">
        <v>341</v>
      </c>
      <c r="B7" s="439">
        <v>4</v>
      </c>
      <c r="C7" s="431"/>
      <c r="D7" s="431"/>
      <c r="E7" s="441"/>
      <c r="F7" s="437">
        <v>1</v>
      </c>
      <c r="G7" s="432">
        <v>0</v>
      </c>
      <c r="H7" s="432">
        <v>0</v>
      </c>
      <c r="I7" s="443">
        <v>0</v>
      </c>
      <c r="J7" s="439">
        <v>2</v>
      </c>
      <c r="K7" s="431"/>
      <c r="L7" s="431"/>
      <c r="M7" s="441"/>
      <c r="N7" s="437">
        <v>1</v>
      </c>
      <c r="O7" s="432">
        <v>0</v>
      </c>
      <c r="P7" s="432">
        <v>0</v>
      </c>
      <c r="Q7" s="43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77" customWidth="1"/>
    <col min="2" max="2" width="61.109375" style="177" customWidth="1"/>
    <col min="3" max="3" width="9.5546875" style="101" hidden="1" customWidth="1" outlineLevel="1"/>
    <col min="4" max="4" width="9.5546875" style="178" customWidth="1" collapsed="1"/>
    <col min="5" max="5" width="2.21875" style="178" customWidth="1"/>
    <col min="6" max="6" width="9.5546875" style="179" customWidth="1"/>
    <col min="7" max="7" width="9.5546875" style="176" customWidth="1"/>
    <col min="8" max="9" width="9.5546875" style="101" customWidth="1"/>
    <col min="10" max="10" width="0" style="101" hidden="1" customWidth="1"/>
    <col min="11" max="16384" width="8.88671875" style="101"/>
  </cols>
  <sheetData>
    <row r="1" spans="1:10" ht="18.600000000000001" customHeight="1" thickBot="1" x14ac:dyDescent="0.4">
      <c r="A1" s="318" t="s">
        <v>103</v>
      </c>
      <c r="B1" s="319"/>
      <c r="C1" s="319"/>
      <c r="D1" s="319"/>
      <c r="E1" s="319"/>
      <c r="F1" s="319"/>
      <c r="G1" s="289"/>
      <c r="H1" s="320"/>
      <c r="I1" s="320"/>
    </row>
    <row r="2" spans="1:10" ht="14.4" customHeight="1" thickBot="1" x14ac:dyDescent="0.35">
      <c r="A2" s="193" t="s">
        <v>220</v>
      </c>
      <c r="B2" s="175"/>
      <c r="C2" s="175"/>
      <c r="D2" s="175"/>
      <c r="E2" s="175"/>
      <c r="F2" s="175"/>
    </row>
    <row r="3" spans="1:10" ht="14.4" customHeight="1" thickBot="1" x14ac:dyDescent="0.35">
      <c r="A3" s="193"/>
      <c r="B3" s="232"/>
      <c r="C3" s="199">
        <v>2015</v>
      </c>
      <c r="D3" s="200">
        <v>2016</v>
      </c>
      <c r="E3" s="7"/>
      <c r="F3" s="297">
        <v>2017</v>
      </c>
      <c r="G3" s="315"/>
      <c r="H3" s="315"/>
      <c r="I3" s="298"/>
    </row>
    <row r="4" spans="1:10" ht="14.4" customHeight="1" thickBot="1" x14ac:dyDescent="0.35">
      <c r="A4" s="204" t="s">
        <v>0</v>
      </c>
      <c r="B4" s="205" t="s">
        <v>145</v>
      </c>
      <c r="C4" s="316" t="s">
        <v>48</v>
      </c>
      <c r="D4" s="317"/>
      <c r="E4" s="206"/>
      <c r="F4" s="201" t="s">
        <v>48</v>
      </c>
      <c r="G4" s="202" t="s">
        <v>49</v>
      </c>
      <c r="H4" s="202" t="s">
        <v>43</v>
      </c>
      <c r="I4" s="203" t="s">
        <v>50</v>
      </c>
    </row>
    <row r="5" spans="1:10" ht="14.4" customHeight="1" x14ac:dyDescent="0.3">
      <c r="A5" s="416" t="s">
        <v>329</v>
      </c>
      <c r="B5" s="417" t="s">
        <v>330</v>
      </c>
      <c r="C5" s="418" t="s">
        <v>331</v>
      </c>
      <c r="D5" s="418" t="s">
        <v>331</v>
      </c>
      <c r="E5" s="418"/>
      <c r="F5" s="418" t="s">
        <v>331</v>
      </c>
      <c r="G5" s="418" t="s">
        <v>331</v>
      </c>
      <c r="H5" s="418" t="s">
        <v>331</v>
      </c>
      <c r="I5" s="419" t="s">
        <v>331</v>
      </c>
      <c r="J5" s="420" t="s">
        <v>44</v>
      </c>
    </row>
    <row r="6" spans="1:10" ht="14.4" customHeight="1" x14ac:dyDescent="0.3">
      <c r="A6" s="416" t="s">
        <v>329</v>
      </c>
      <c r="B6" s="417" t="s">
        <v>342</v>
      </c>
      <c r="C6" s="418">
        <v>0.28936000000000001</v>
      </c>
      <c r="D6" s="418">
        <v>0</v>
      </c>
      <c r="E6" s="418"/>
      <c r="F6" s="418">
        <v>0</v>
      </c>
      <c r="G6" s="418">
        <v>0</v>
      </c>
      <c r="H6" s="418">
        <v>0</v>
      </c>
      <c r="I6" s="419" t="s">
        <v>331</v>
      </c>
      <c r="J6" s="420" t="s">
        <v>1</v>
      </c>
    </row>
    <row r="7" spans="1:10" ht="14.4" customHeight="1" x14ac:dyDescent="0.3">
      <c r="A7" s="416" t="s">
        <v>329</v>
      </c>
      <c r="B7" s="417" t="s">
        <v>343</v>
      </c>
      <c r="C7" s="418">
        <v>0.72186000000000006</v>
      </c>
      <c r="D7" s="418">
        <v>2.5999999999999999E-2</v>
      </c>
      <c r="E7" s="418"/>
      <c r="F7" s="418">
        <v>0</v>
      </c>
      <c r="G7" s="418">
        <v>2.1679983139038086E-2</v>
      </c>
      <c r="H7" s="418">
        <v>-2.1679983139038086E-2</v>
      </c>
      <c r="I7" s="419">
        <v>0</v>
      </c>
      <c r="J7" s="420" t="s">
        <v>1</v>
      </c>
    </row>
    <row r="8" spans="1:10" ht="14.4" customHeight="1" x14ac:dyDescent="0.3">
      <c r="A8" s="416" t="s">
        <v>329</v>
      </c>
      <c r="B8" s="417" t="s">
        <v>344</v>
      </c>
      <c r="C8" s="418">
        <v>0</v>
      </c>
      <c r="D8" s="418">
        <v>0.14199999999999999</v>
      </c>
      <c r="E8" s="418"/>
      <c r="F8" s="418">
        <v>0</v>
      </c>
      <c r="G8" s="418">
        <v>0</v>
      </c>
      <c r="H8" s="418">
        <v>0</v>
      </c>
      <c r="I8" s="419" t="s">
        <v>331</v>
      </c>
      <c r="J8" s="420" t="s">
        <v>1</v>
      </c>
    </row>
    <row r="9" spans="1:10" ht="14.4" customHeight="1" x14ac:dyDescent="0.3">
      <c r="A9" s="416" t="s">
        <v>329</v>
      </c>
      <c r="B9" s="417" t="s">
        <v>333</v>
      </c>
      <c r="C9" s="418">
        <v>1.01122</v>
      </c>
      <c r="D9" s="418">
        <v>0.16799999999999998</v>
      </c>
      <c r="E9" s="418"/>
      <c r="F9" s="418">
        <v>0</v>
      </c>
      <c r="G9" s="418">
        <v>2.1679983139038086E-2</v>
      </c>
      <c r="H9" s="418">
        <v>-2.1679983139038086E-2</v>
      </c>
      <c r="I9" s="419">
        <v>0</v>
      </c>
      <c r="J9" s="420" t="s">
        <v>334</v>
      </c>
    </row>
    <row r="11" spans="1:10" ht="14.4" customHeight="1" x14ac:dyDescent="0.3">
      <c r="A11" s="416" t="s">
        <v>329</v>
      </c>
      <c r="B11" s="417" t="s">
        <v>330</v>
      </c>
      <c r="C11" s="418" t="s">
        <v>331</v>
      </c>
      <c r="D11" s="418" t="s">
        <v>331</v>
      </c>
      <c r="E11" s="418"/>
      <c r="F11" s="418" t="s">
        <v>331</v>
      </c>
      <c r="G11" s="418" t="s">
        <v>331</v>
      </c>
      <c r="H11" s="418" t="s">
        <v>331</v>
      </c>
      <c r="I11" s="419" t="s">
        <v>331</v>
      </c>
      <c r="J11" s="420" t="s">
        <v>44</v>
      </c>
    </row>
    <row r="12" spans="1:10" ht="14.4" customHeight="1" x14ac:dyDescent="0.3">
      <c r="A12" s="416" t="s">
        <v>335</v>
      </c>
      <c r="B12" s="417" t="s">
        <v>336</v>
      </c>
      <c r="C12" s="418" t="s">
        <v>331</v>
      </c>
      <c r="D12" s="418" t="s">
        <v>331</v>
      </c>
      <c r="E12" s="418"/>
      <c r="F12" s="418" t="s">
        <v>331</v>
      </c>
      <c r="G12" s="418" t="s">
        <v>331</v>
      </c>
      <c r="H12" s="418" t="s">
        <v>331</v>
      </c>
      <c r="I12" s="419" t="s">
        <v>331</v>
      </c>
      <c r="J12" s="420" t="s">
        <v>0</v>
      </c>
    </row>
    <row r="13" spans="1:10" ht="14.4" customHeight="1" x14ac:dyDescent="0.3">
      <c r="A13" s="416" t="s">
        <v>335</v>
      </c>
      <c r="B13" s="417" t="s">
        <v>342</v>
      </c>
      <c r="C13" s="418">
        <v>0.28936000000000001</v>
      </c>
      <c r="D13" s="418">
        <v>0</v>
      </c>
      <c r="E13" s="418"/>
      <c r="F13" s="418">
        <v>0</v>
      </c>
      <c r="G13" s="418">
        <v>0</v>
      </c>
      <c r="H13" s="418">
        <v>0</v>
      </c>
      <c r="I13" s="419" t="s">
        <v>331</v>
      </c>
      <c r="J13" s="420" t="s">
        <v>1</v>
      </c>
    </row>
    <row r="14" spans="1:10" ht="14.4" customHeight="1" x14ac:dyDescent="0.3">
      <c r="A14" s="416" t="s">
        <v>335</v>
      </c>
      <c r="B14" s="417" t="s">
        <v>343</v>
      </c>
      <c r="C14" s="418">
        <v>0.72186000000000006</v>
      </c>
      <c r="D14" s="418">
        <v>2.5999999999999999E-2</v>
      </c>
      <c r="E14" s="418"/>
      <c r="F14" s="418">
        <v>0</v>
      </c>
      <c r="G14" s="418">
        <v>0</v>
      </c>
      <c r="H14" s="418">
        <v>0</v>
      </c>
      <c r="I14" s="419" t="s">
        <v>331</v>
      </c>
      <c r="J14" s="420" t="s">
        <v>1</v>
      </c>
    </row>
    <row r="15" spans="1:10" ht="14.4" customHeight="1" x14ac:dyDescent="0.3">
      <c r="A15" s="416" t="s">
        <v>335</v>
      </c>
      <c r="B15" s="417" t="s">
        <v>344</v>
      </c>
      <c r="C15" s="418">
        <v>0</v>
      </c>
      <c r="D15" s="418">
        <v>0.14199999999999999</v>
      </c>
      <c r="E15" s="418"/>
      <c r="F15" s="418">
        <v>0</v>
      </c>
      <c r="G15" s="418">
        <v>0</v>
      </c>
      <c r="H15" s="418">
        <v>0</v>
      </c>
      <c r="I15" s="419" t="s">
        <v>331</v>
      </c>
      <c r="J15" s="420" t="s">
        <v>1</v>
      </c>
    </row>
    <row r="16" spans="1:10" ht="14.4" customHeight="1" x14ac:dyDescent="0.3">
      <c r="A16" s="416" t="s">
        <v>335</v>
      </c>
      <c r="B16" s="417" t="s">
        <v>337</v>
      </c>
      <c r="C16" s="418">
        <v>1.01122</v>
      </c>
      <c r="D16" s="418">
        <v>0.16799999999999998</v>
      </c>
      <c r="E16" s="418"/>
      <c r="F16" s="418">
        <v>0</v>
      </c>
      <c r="G16" s="418">
        <v>0</v>
      </c>
      <c r="H16" s="418">
        <v>0</v>
      </c>
      <c r="I16" s="419" t="s">
        <v>331</v>
      </c>
      <c r="J16" s="420" t="s">
        <v>338</v>
      </c>
    </row>
    <row r="17" spans="1:10" ht="14.4" customHeight="1" x14ac:dyDescent="0.3">
      <c r="A17" s="416" t="s">
        <v>331</v>
      </c>
      <c r="B17" s="417" t="s">
        <v>331</v>
      </c>
      <c r="C17" s="418" t="s">
        <v>331</v>
      </c>
      <c r="D17" s="418" t="s">
        <v>331</v>
      </c>
      <c r="E17" s="418"/>
      <c r="F17" s="418" t="s">
        <v>331</v>
      </c>
      <c r="G17" s="418" t="s">
        <v>331</v>
      </c>
      <c r="H17" s="418" t="s">
        <v>331</v>
      </c>
      <c r="I17" s="419" t="s">
        <v>331</v>
      </c>
      <c r="J17" s="420" t="s">
        <v>339</v>
      </c>
    </row>
    <row r="18" spans="1:10" ht="14.4" customHeight="1" x14ac:dyDescent="0.3">
      <c r="A18" s="416" t="s">
        <v>329</v>
      </c>
      <c r="B18" s="417" t="s">
        <v>333</v>
      </c>
      <c r="C18" s="418">
        <v>1.01122</v>
      </c>
      <c r="D18" s="418">
        <v>0.16799999999999998</v>
      </c>
      <c r="E18" s="418"/>
      <c r="F18" s="418">
        <v>0</v>
      </c>
      <c r="G18" s="418">
        <v>0</v>
      </c>
      <c r="H18" s="418">
        <v>0</v>
      </c>
      <c r="I18" s="419" t="s">
        <v>331</v>
      </c>
      <c r="J18" s="420" t="s">
        <v>334</v>
      </c>
    </row>
  </sheetData>
  <mergeCells count="3">
    <mergeCell ref="A1:I1"/>
    <mergeCell ref="F3:I3"/>
    <mergeCell ref="C4:D4"/>
  </mergeCells>
  <conditionalFormatting sqref="F10 F19:F65537">
    <cfRule type="cellIs" dxfId="20" priority="18" stopIfTrue="1" operator="greaterThan">
      <formula>1</formula>
    </cfRule>
  </conditionalFormatting>
  <conditionalFormatting sqref="H5:H9">
    <cfRule type="expression" dxfId="19" priority="14">
      <formula>$H5&gt;0</formula>
    </cfRule>
  </conditionalFormatting>
  <conditionalFormatting sqref="I5:I9">
    <cfRule type="expression" dxfId="18" priority="15">
      <formula>$I5&gt;1</formula>
    </cfRule>
  </conditionalFormatting>
  <conditionalFormatting sqref="B5:B9">
    <cfRule type="expression" dxfId="17" priority="11">
      <formula>OR($J5="NS",$J5="SumaNS",$J5="Účet")</formula>
    </cfRule>
  </conditionalFormatting>
  <conditionalFormatting sqref="F5:I9 B5:D9">
    <cfRule type="expression" dxfId="16" priority="17">
      <formula>AND($J5&lt;&gt;"",$J5&lt;&gt;"mezeraKL")</formula>
    </cfRule>
  </conditionalFormatting>
  <conditionalFormatting sqref="B5:D9 F5:I9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9 F5:I9">
    <cfRule type="expression" dxfId="14" priority="13">
      <formula>OR($J5="SumaNS",$J5="NS")</formula>
    </cfRule>
  </conditionalFormatting>
  <conditionalFormatting sqref="A5:A9">
    <cfRule type="expression" dxfId="13" priority="9">
      <formula>AND($J5&lt;&gt;"mezeraKL",$J5&lt;&gt;"")</formula>
    </cfRule>
  </conditionalFormatting>
  <conditionalFormatting sqref="A5:A9">
    <cfRule type="expression" dxfId="12" priority="10">
      <formula>AND($J5&lt;&gt;"",$J5&lt;&gt;"mezeraKL")</formula>
    </cfRule>
  </conditionalFormatting>
  <conditionalFormatting sqref="H11:H18">
    <cfRule type="expression" dxfId="11" priority="6">
      <formula>$H11&gt;0</formula>
    </cfRule>
  </conditionalFormatting>
  <conditionalFormatting sqref="A11:A18">
    <cfRule type="expression" dxfId="10" priority="5">
      <formula>AND($J11&lt;&gt;"mezeraKL",$J11&lt;&gt;"")</formula>
    </cfRule>
  </conditionalFormatting>
  <conditionalFormatting sqref="I11:I18">
    <cfRule type="expression" dxfId="9" priority="7">
      <formula>$I11&gt;1</formula>
    </cfRule>
  </conditionalFormatting>
  <conditionalFormatting sqref="B11:B18">
    <cfRule type="expression" dxfId="8" priority="4">
      <formula>OR($J11="NS",$J11="SumaNS",$J11="Účet")</formula>
    </cfRule>
  </conditionalFormatting>
  <conditionalFormatting sqref="A11:D18 F11:I18">
    <cfRule type="expression" dxfId="7" priority="8">
      <formula>AND($J11&lt;&gt;"",$J11&lt;&gt;"mezeraKL")</formula>
    </cfRule>
  </conditionalFormatting>
  <conditionalFormatting sqref="B11:D18 F11:I18">
    <cfRule type="expression" dxfId="6" priority="1">
      <formula>OR($J11="KL",$J11="SumaKL")</formula>
    </cfRule>
    <cfRule type="expression" priority="3" stopIfTrue="1">
      <formula>OR($J11="mezeraNS",$J11="mezeraKL")</formula>
    </cfRule>
  </conditionalFormatting>
  <conditionalFormatting sqref="B11:D18 F11:I18">
    <cfRule type="expression" dxfId="5" priority="2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3</vt:i4>
      </vt:variant>
    </vt:vector>
  </HeadingPairs>
  <TitlesOfParts>
    <vt:vector size="20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Statim</vt:lpstr>
      <vt:lpstr>Materiál Žádanky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2017-11-27T10:40:21Z</dcterms:modified>
</cp:coreProperties>
</file>