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Osobní náklady" sheetId="419" r:id="rId10"/>
    <sheet name="ON Data" sheetId="418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8" i="414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18" i="383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3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AP6" i="419" l="1"/>
  <c r="AL6" i="419"/>
  <c r="AH6" i="419"/>
  <c r="AD6" i="419"/>
  <c r="Z6" i="419"/>
  <c r="V6" i="419"/>
  <c r="R6" i="419"/>
  <c r="N6" i="419"/>
  <c r="J6" i="419"/>
  <c r="F6" i="419"/>
  <c r="AO6" i="419"/>
  <c r="AK6" i="419"/>
  <c r="AG6" i="419"/>
  <c r="U6" i="419"/>
  <c r="M6" i="419"/>
  <c r="AS6" i="419"/>
  <c r="Y6" i="419"/>
  <c r="I6" i="419"/>
  <c r="AR6" i="419"/>
  <c r="AN6" i="419"/>
  <c r="AJ6" i="419"/>
  <c r="AF6" i="419"/>
  <c r="AB6" i="419"/>
  <c r="X6" i="419"/>
  <c r="T6" i="419"/>
  <c r="P6" i="419"/>
  <c r="L6" i="419"/>
  <c r="H6" i="419"/>
  <c r="AQ6" i="419"/>
  <c r="AM6" i="419"/>
  <c r="AI6" i="419"/>
  <c r="AE6" i="419"/>
  <c r="AA6" i="419"/>
  <c r="W6" i="419"/>
  <c r="S6" i="419"/>
  <c r="O6" i="419"/>
  <c r="K6" i="419"/>
  <c r="G6" i="419"/>
  <c r="AC6" i="419"/>
  <c r="Q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0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16" i="414"/>
  <c r="D4" i="414"/>
  <c r="C13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1" i="414"/>
  <c r="D21" i="414"/>
  <c r="I12" i="339" l="1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<sst xmlns="http://schemas.openxmlformats.org/spreadsheetml/2006/main" count="977" uniqueCount="408">
  <si>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</si>
  <si>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</si>
  <si>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</si>
  <si>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</si>
  <si>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</si>
  <si>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</si>
  <si>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</si>
  <si>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</si>
  <si>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</si>
  <si>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</si>
  <si>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</si>
  <si>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</si>
  <si>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</si>
  <si>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</si>
  <si>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</si>
  <si>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</si>
  <si>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</si>
  <si>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</si>
  <si>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</si>
  <si>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</si>
  <si>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</si>
  <si>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</si>
  <si>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</si>
  <si>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</si>
  <si>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</si>
  <si>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</si>
  <si>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</si>
  <si>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</si>
  <si>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</si>
  <si>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</si>
  <si>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</si>
  <si>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</si>
  <si>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</si>
  <si>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</si>
  <si>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</si>
  <si>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</si>
  <si>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</si>
  <si>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</si>
  <si>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</si>
  <si>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</si>
  <si>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</si>
  <si>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</si>
  <si>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</si>
  <si>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</si>
  <si>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</si>
  <si>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</si>
  <si>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</si>
  <si>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</si>
  <si>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</si>
  <si>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</si>
  <si>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</si>
  <si>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</si>
  <si>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</si>
  <si>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</si>
  <si>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</si>
  <si>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</si>
  <si>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</si>
  <si>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</si>
  <si>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</si>
  <si>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</si>
  <si>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</si>
  <si>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</si>
  <si>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</si>
  <si>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</si>
  <si>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</si>
  <si>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</si>
  <si>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</si>
  <si>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</si>
  <si>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</si>
  <si>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</si>
  <si>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</si>
  <si>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</si>
  <si>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</si>
  <si>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</si>
  <si>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</si>
  <si>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</si>
  <si>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</si>
  <si>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</si>
  <si>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</si>
  <si>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</si>
  <si>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</si>
  <si>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</si>
  <si>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</si>
  <si>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</si>
  <si>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</si>
  <si>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</si>
  <si>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</si>
  <si>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</si>
  <si>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</si>
  <si>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</si>
  <si>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</si>
  <si>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</si>
  <si>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</si>
  <si>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</si>
  <si>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</si>
  <si>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</si>
  <si>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</si>
  <si>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</si>
  <si>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</si>
  <si>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</si>
  <si>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</si>
  <si>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</si>
  <si>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</si>
  <si>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</si>
  <si>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</si>
  <si>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</si>
  <si>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</si>
  <si>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</si>
  <si>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</si>
  <si>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</si>
  <si>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</si>
  <si>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</si>
  <si>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</si>
  <si>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</si>
  <si>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</si>
  <si>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</si>
  <si>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</si>
  <si>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</si>
  <si>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</si>
  <si>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</si>
  <si>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</si>
  <si>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</si>
  <si>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</si>
  <si>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</si>
  <si>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</si>
  <si>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</si>
  <si>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</si>
  <si>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</si>
  <si>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</si>
  <si>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</si>
  <si>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</si>
  <si>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</si>
  <si>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</si>
  <si>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</si>
  <si>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</si>
  <si>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</si>
  <si>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</si>
  <si>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</si>
  <si>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</si>
  <si>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</si>
  <si>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</si>
  <si>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</si>
  <si>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</si>
  <si>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</si>
  <si>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</si>
  <si>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</si>
  <si>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</si>
  <si>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</si>
  <si>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</si>
  <si>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</si>
  <si>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</si>
  <si>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</si>
  <si>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</si>
  <si>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</si>
  <si>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</si>
  <si>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</si>
  <si>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</si>
  <si>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</si>
  <si>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</si>
  <si>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</si>
  <si>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</si>
  <si>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</si>
  <si>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</si>
  <si>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</si>
  <si>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</si>
  <si>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</si>
  <si>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</si>
  <si>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</si>
  <si>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</si>
  <si>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</si>
  <si>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</si>
  <si>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</si>
  <si>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</si>
  <si>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</si>
  <si>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</si>
  <si>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</si>
  <si>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</si>
  <si>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</si>
  <si>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</si>
  <si>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</si>
  <si>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</si>
  <si>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</si>
  <si>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</si>
  <si>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</si>
  <si>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</si>
  <si>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</si>
  <si>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</si>
  <si>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</si>
  <si>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</si>
  <si>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</si>
  <si>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</si>
  <si>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</si>
  <si>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</si>
  <si>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</si>
  <si>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</si>
  <si>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</si>
  <si>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</si>
  <si>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</si>
  <si>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</si>
  <si>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</si>
  <si>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</si>
  <si>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</si>
  <si>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</si>
  <si>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</si>
  <si>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</si>
  <si>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</si>
  <si>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</si>
  <si>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</si>
  <si>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</si>
  <si>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</si>
  <si>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</si>
  <si>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</si>
  <si>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</si>
  <si>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</si>
  <si>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</si>
  <si>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</si>
  <si>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</si>
  <si>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</si>
  <si>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</si>
  <si>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</si>
  <si>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</si>
  <si>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</si>
  <si>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</si>
  <si>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</si>
  <si>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</si>
  <si>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</si>
  <si>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</si>
  <si>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</si>
  <si>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</si>
  <si>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</si>
  <si>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</si>
  <si>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</si>
  <si>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</si>
  <si>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</si>
  <si>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</si>
  <si>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</si>
  <si>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</si>
  <si>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</si>
  <si>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</si>
  <si>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</si>
  <si>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</si>
  <si>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</si>
  <si>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</si>
  <si>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</si>
  <si>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</si>
  <si>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</si>
  <si>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</si>
  <si>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klinické logopedie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</si>
  <si>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</si>
  <si>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</si>
  <si>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</si>
  <si>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</si>
  <si>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</si>
  <si>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</si>
  <si>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</si>
  <si>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</si>
  <si>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50115050     obvazový materiál (Z502)</t>
  </si>
  <si>
    <t>50115060     ZPr - ostatní (Z503)</t>
  </si>
  <si>
    <t>50115067     ZPr - rukavice (Z532)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</si>
  <si>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</si>
  <si>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</si>
  <si>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</si>
  <si>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</si>
  <si>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</si>
  <si>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</si>
  <si>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</si>
  <si>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</si>
  <si>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</si>
  <si>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</si>
  <si>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</si>
  <si>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</si>
  <si>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</si>
  <si>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</si>
  <si>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</si>
  <si>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</si>
  <si>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</si>
  <si>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</si>
  <si>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</si>
  <si>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</si>
  <si>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</si>
  <si>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</si>
  <si>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</si>
  <si>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</si>
  <si>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</si>
  <si>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</si>
  <si>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</si>
  <si>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</si>
  <si>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</si>
  <si>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</si>
  <si>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</si>
  <si>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</si>
  <si>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</si>
  <si>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</si>
  <si>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</si>
  <si>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</si>
  <si>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51808008     revize, tech.kontroly, prev.prohl.-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</si>
  <si>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</si>
  <si>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</si>
  <si>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</si>
  <si>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</si>
  <si>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</si>
  <si>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</si>
  <si>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</si>
  <si>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</si>
  <si>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</si>
  <si>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</si>
  <si>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</si>
  <si>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</si>
  <si>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</si>
  <si>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</si>
  <si>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</si>
  <si>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</si>
  <si>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</si>
  <si>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</si>
  <si>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</si>
  <si>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</si>
  <si>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</si>
  <si>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</si>
  <si>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</si>
  <si>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</si>
  <si>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</si>
  <si>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</si>
  <si>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60210359     zdr.služby - tuzemci (plastika atd. ...)</t>
  </si>
  <si>
    <t>60228     Zdr. výkony - VZP sledov.položky    OZPI</t>
  </si>
  <si>
    <t>60228190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</si>
  <si>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</si>
  <si>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</si>
  <si>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</si>
  <si>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</si>
  <si>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</si>
  <si>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</si>
  <si>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</si>
  <si>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</si>
  <si>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</si>
  <si>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</si>
  <si>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</si>
  <si>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</si>
  <si>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</si>
  <si>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</si>
  <si>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</si>
  <si>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</si>
  <si>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</si>
  <si>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</si>
  <si>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</si>
  <si>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</si>
  <si>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</si>
  <si>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</si>
  <si>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</si>
  <si>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</si>
  <si>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</t>
  </si>
  <si>
    <t>Oddělení klinické logopedie</t>
  </si>
  <si>
    <t/>
  </si>
  <si>
    <t>Oddělení klinické logopedie Celkem</t>
  </si>
  <si>
    <t>SumaKL</t>
  </si>
  <si>
    <t>3621</t>
  </si>
  <si>
    <t>ambulance</t>
  </si>
  <si>
    <t>ambulance Celkem</t>
  </si>
  <si>
    <t>SumaNS</t>
  </si>
  <si>
    <t>mezeraNS</t>
  </si>
  <si>
    <t>36 - Oddělení klinické logopedie</t>
  </si>
  <si>
    <t>3621 - ambulance</t>
  </si>
  <si>
    <t>ON Data</t>
  </si>
  <si>
    <t>Specializovaná ambulantní péče</t>
  </si>
  <si>
    <t>903 - Pracoviště klinické logopedie</t>
  </si>
  <si>
    <t>Zdravotní výkony vykázané na pracovišti v rámci ambulantní péče *</t>
  </si>
  <si>
    <t>beze jména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</si>
  <si>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</si>
  <si>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</si>
  <si>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</si>
  <si>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</si>
  <si>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</si>
  <si>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06</t>
  </si>
  <si>
    <t>903</t>
  </si>
  <si>
    <t>V</t>
  </si>
  <si>
    <t>09511</t>
  </si>
  <si>
    <t>MINIMÁLNÍ KONTAKT LÉKAŘE S PACIENTEM</t>
  </si>
  <si>
    <t>72017</t>
  </si>
  <si>
    <t>KONTROLNÍ VYŠETŘENÍ KLINICKÝM LOGOPEDEM</t>
  </si>
  <si>
    <t>72211</t>
  </si>
  <si>
    <t>LOGOPEDICKÁ TERAPIE VAD A PORUCH ŘEČI PROVÁDĚNÁ KL</t>
  </si>
  <si>
    <t>72213</t>
  </si>
  <si>
    <t>LOGOPEDICKÁ TERAPIE ZVLÁŠTĚ NÁROČNÁ  U DĚTÍ, DOROS</t>
  </si>
  <si>
    <t>09543</t>
  </si>
  <si>
    <t>Signalni kod</t>
  </si>
  <si>
    <t>72015</t>
  </si>
  <si>
    <t>KOMPLEXNÍ VYŠETŘENÍ KLINICKÝM LOGOPEDEM</t>
  </si>
  <si>
    <t>72215</t>
  </si>
  <si>
    <t>LOGOPEDICKÁ TERAPIE STŘEDNĚ NÁROČNÁ PROVÁDĚNÁ KLIN</t>
  </si>
  <si>
    <t>72016</t>
  </si>
  <si>
    <t>CÍLENÉ VYŠETŘENÍ KLINICKÝM LOGOPEDEM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</si>
  <si>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</si>
  <si>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lékaře</t>
  </si>
  <si>
    <t>01 - I. interní klinika - kardiologická</t>
  </si>
  <si>
    <t>03 - III. interní klinika - nefrologická, revmatologická a endokrinologická</t>
  </si>
  <si>
    <t>05 - II. chirurgická klinika - cévně-transplantační</t>
  </si>
  <si>
    <t>06 - Neurochirurgická klinika</t>
  </si>
  <si>
    <t>17 - Neurologická klinika</t>
  </si>
  <si>
    <t>21 - Onkologická klinika</t>
  </si>
  <si>
    <t>26 - Oddělení rehabilitace</t>
  </si>
  <si>
    <t>30 - Oddělení geriatrie</t>
  </si>
  <si>
    <t>01</t>
  </si>
  <si>
    <t>03</t>
  </si>
  <si>
    <t>05</t>
  </si>
  <si>
    <t>17</t>
  </si>
  <si>
    <t>21</t>
  </si>
  <si>
    <t>26</t>
  </si>
  <si>
    <t>30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</si>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</sst>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1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0" xfId="0" applyNumberFormat="1" applyFont="1" applyFill="1" applyBorder="1"/>
    <xf numFmtId="3" fontId="52" fillId="8" borderId="61" xfId="0" applyNumberFormat="1" applyFont="1" applyFill="1" applyBorder="1"/>
    <xf numFmtId="3" fontId="52" fillId="8" borderId="60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4" xfId="0" applyNumberFormat="1" applyFont="1" applyFill="1" applyBorder="1" applyAlignment="1">
      <alignment horizontal="center" vertical="center"/>
    </xf>
    <xf numFmtId="0" fontId="39" fillId="2" borderId="65" xfId="0" applyFont="1" applyFill="1" applyBorder="1" applyAlignment="1">
      <alignment horizontal="center" vertical="center"/>
    </xf>
    <xf numFmtId="3" fontId="54" fillId="2" borderId="67" xfId="0" applyNumberFormat="1" applyFont="1" applyFill="1" applyBorder="1" applyAlignment="1">
      <alignment horizontal="center" vertical="center" wrapText="1"/>
    </xf>
    <xf numFmtId="0" fontId="54" fillId="2" borderId="68" xfId="0" applyFont="1" applyFill="1" applyBorder="1" applyAlignment="1">
      <alignment horizontal="center" vertical="center" wrapText="1"/>
    </xf>
    <xf numFmtId="0" fontId="39" fillId="2" borderId="70" xfId="0" applyFont="1" applyFill="1" applyBorder="1" applyAlignment="1"/>
    <xf numFmtId="0" fontId="39" fillId="2" borderId="72" xfId="0" applyFont="1" applyFill="1" applyBorder="1" applyAlignment="1">
      <alignment horizontal="left" indent="1"/>
    </xf>
    <xf numFmtId="0" fontId="39" fillId="2" borderId="78" xfId="0" applyFont="1" applyFill="1" applyBorder="1" applyAlignment="1">
      <alignment horizontal="left" indent="1"/>
    </xf>
    <xf numFmtId="0" fontId="39" fillId="4" borderId="70" xfId="0" applyFont="1" applyFill="1" applyBorder="1" applyAlignment="1"/>
    <xf numFmtId="0" fontId="39" fillId="4" borderId="72" xfId="0" applyFont="1" applyFill="1" applyBorder="1" applyAlignment="1">
      <alignment horizontal="left" indent="1"/>
    </xf>
    <xf numFmtId="0" fontId="39" fillId="4" borderId="83" xfId="0" applyFont="1" applyFill="1" applyBorder="1" applyAlignment="1">
      <alignment horizontal="left" indent="1"/>
    </xf>
    <xf numFmtId="0" fontId="32" fillId="2" borderId="72" xfId="0" quotePrefix="1" applyFont="1" applyFill="1" applyBorder="1" applyAlignment="1">
      <alignment horizontal="left" indent="2"/>
    </xf>
    <xf numFmtId="0" fontId="32" fillId="2" borderId="78" xfId="0" quotePrefix="1" applyFont="1" applyFill="1" applyBorder="1" applyAlignment="1">
      <alignment horizontal="left" indent="2"/>
    </xf>
    <xf numFmtId="0" fontId="39" fillId="2" borderId="70" xfId="0" applyFont="1" applyFill="1" applyBorder="1" applyAlignment="1">
      <alignment horizontal="left" indent="1"/>
    </xf>
    <xf numFmtId="0" fontId="39" fillId="2" borderId="83" xfId="0" applyFont="1" applyFill="1" applyBorder="1" applyAlignment="1">
      <alignment horizontal="left" indent="1"/>
    </xf>
    <xf numFmtId="0" fontId="39" fillId="4" borderId="78" xfId="0" applyFont="1" applyFill="1" applyBorder="1" applyAlignment="1">
      <alignment horizontal="left" indent="1"/>
    </xf>
    <xf numFmtId="0" fontId="32" fillId="0" borderId="88" xfId="0" applyFont="1" applyBorder="1"/>
    <xf numFmtId="3" fontId="32" fillId="0" borderId="88" xfId="0" applyNumberFormat="1" applyFont="1" applyBorder="1"/>
    <xf numFmtId="0" fontId="39" fillId="4" borderId="62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7" xfId="0" applyNumberFormat="1" applyFont="1" applyFill="1" applyBorder="1" applyAlignment="1">
      <alignment horizontal="center" vertical="center"/>
    </xf>
    <xf numFmtId="3" fontId="54" fillId="2" borderId="85" xfId="0" applyNumberFormat="1" applyFont="1" applyFill="1" applyBorder="1" applyAlignment="1">
      <alignment horizontal="center" vertical="center" wrapText="1"/>
    </xf>
    <xf numFmtId="173" fontId="39" fillId="4" borderId="71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4" borderId="65" xfId="0" applyNumberFormat="1" applyFont="1" applyFill="1" applyBorder="1" applyAlignment="1"/>
    <xf numFmtId="173" fontId="39" fillId="0" borderId="73" xfId="0" applyNumberFormat="1" applyFont="1" applyBorder="1"/>
    <xf numFmtId="173" fontId="32" fillId="0" borderId="77" xfId="0" applyNumberFormat="1" applyFont="1" applyBorder="1"/>
    <xf numFmtId="173" fontId="32" fillId="0" borderId="75" xfId="0" applyNumberFormat="1" applyFont="1" applyBorder="1"/>
    <xf numFmtId="173" fontId="32" fillId="0" borderId="76" xfId="0" applyNumberFormat="1" applyFont="1" applyBorder="1"/>
    <xf numFmtId="173" fontId="39" fillId="0" borderId="84" xfId="0" applyNumberFormat="1" applyFont="1" applyBorder="1"/>
    <xf numFmtId="173" fontId="32" fillId="0" borderId="85" xfId="0" applyNumberFormat="1" applyFont="1" applyBorder="1"/>
    <xf numFmtId="173" fontId="32" fillId="0" borderId="68" xfId="0" applyNumberFormat="1" applyFont="1" applyBorder="1"/>
    <xf numFmtId="173" fontId="32" fillId="0" borderId="69" xfId="0" applyNumberFormat="1" applyFont="1" applyBorder="1"/>
    <xf numFmtId="173" fontId="39" fillId="2" borderId="86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2" borderId="65" xfId="0" applyNumberFormat="1" applyFont="1" applyFill="1" applyBorder="1" applyAlignment="1"/>
    <xf numFmtId="173" fontId="39" fillId="0" borderId="79" xfId="0" applyNumberFormat="1" applyFont="1" applyBorder="1"/>
    <xf numFmtId="173" fontId="32" fillId="0" borderId="80" xfId="0" applyNumberFormat="1" applyFont="1" applyBorder="1"/>
    <xf numFmtId="173" fontId="32" fillId="0" borderId="81" xfId="0" applyNumberFormat="1" applyFont="1" applyBorder="1"/>
    <xf numFmtId="173" fontId="39" fillId="0" borderId="71" xfId="0" applyNumberFormat="1" applyFont="1" applyBorder="1"/>
    <xf numFmtId="173" fontId="32" fillId="0" borderId="87" xfId="0" applyNumberFormat="1" applyFont="1" applyBorder="1"/>
    <xf numFmtId="173" fontId="32" fillId="0" borderId="65" xfId="0" applyNumberFormat="1" applyFont="1" applyBorder="1"/>
    <xf numFmtId="174" fontId="39" fillId="2" borderId="71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2" fillId="2" borderId="65" xfId="0" applyNumberFormat="1" applyFont="1" applyFill="1" applyBorder="1" applyAlignment="1"/>
    <xf numFmtId="174" fontId="39" fillId="0" borderId="73" xfId="0" applyNumberFormat="1" applyFont="1" applyBorder="1"/>
    <xf numFmtId="174" fontId="32" fillId="0" borderId="74" xfId="0" applyNumberFormat="1" applyFont="1" applyBorder="1"/>
    <xf numFmtId="174" fontId="32" fillId="0" borderId="75" xfId="0" applyNumberFormat="1" applyFont="1" applyBorder="1"/>
    <xf numFmtId="174" fontId="32" fillId="0" borderId="77" xfId="0" applyNumberFormat="1" applyFont="1" applyBorder="1"/>
    <xf numFmtId="174" fontId="39" fillId="0" borderId="79" xfId="0" applyNumberFormat="1" applyFont="1" applyBorder="1"/>
    <xf numFmtId="174" fontId="32" fillId="0" borderId="80" xfId="0" applyNumberFormat="1" applyFont="1" applyBorder="1"/>
    <xf numFmtId="174" fontId="32" fillId="0" borderId="81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1" xfId="0" applyNumberFormat="1" applyFont="1" applyFill="1" applyBorder="1" applyAlignment="1">
      <alignment horizontal="center"/>
    </xf>
    <xf numFmtId="175" fontId="39" fillId="0" borderId="79" xfId="0" applyNumberFormat="1" applyFont="1" applyBorder="1"/>
    <xf numFmtId="0" fontId="31" fillId="2" borderId="94" xfId="74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6" xfId="0" applyFont="1" applyFill="1" applyBorder="1"/>
    <xf numFmtId="0" fontId="32" fillId="0" borderId="77" xfId="0" applyFont="1" applyBorder="1" applyAlignment="1"/>
    <xf numFmtId="9" fontId="32" fillId="0" borderId="75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3" xfId="0" applyNumberFormat="1" applyFont="1" applyBorder="1"/>
    <xf numFmtId="9" fontId="32" fillId="0" borderId="77" xfId="0" applyNumberFormat="1" applyFont="1" applyBorder="1"/>
    <xf numFmtId="9" fontId="32" fillId="0" borderId="75" xfId="0" applyNumberFormat="1" applyFont="1" applyBorder="1"/>
    <xf numFmtId="9" fontId="32" fillId="0" borderId="76" xfId="0" applyNumberFormat="1" applyFont="1" applyBorder="1"/>
    <xf numFmtId="0" fontId="54" fillId="2" borderId="85" xfId="0" applyFont="1" applyFill="1" applyBorder="1" applyAlignment="1">
      <alignment horizontal="center" vertical="center" wrapText="1"/>
    </xf>
    <xf numFmtId="174" fontId="32" fillId="2" borderId="87" xfId="0" applyNumberFormat="1" applyFont="1" applyFill="1" applyBorder="1" applyAlignment="1"/>
    <xf numFmtId="173" fontId="39" fillId="4" borderId="87" xfId="0" applyNumberFormat="1" applyFont="1" applyFill="1" applyBorder="1" applyAlignment="1"/>
    <xf numFmtId="173" fontId="39" fillId="2" borderId="87" xfId="0" applyNumberFormat="1" applyFont="1" applyFill="1" applyBorder="1" applyAlignment="1"/>
    <xf numFmtId="49" fontId="37" fillId="2" borderId="75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4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3" fontId="39" fillId="2" borderId="65" xfId="0" applyNumberFormat="1" applyFont="1" applyFill="1" applyBorder="1" applyAlignment="1">
      <alignment horizontal="center" vertical="center"/>
    </xf>
    <xf numFmtId="3" fontId="54" fillId="2" borderId="68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2" xfId="81" applyFont="1" applyFill="1" applyBorder="1" applyAlignment="1">
      <alignment horizontal="center"/>
    </xf>
    <xf numFmtId="0" fontId="31" fillId="2" borderId="9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0" fontId="5" fillId="0" borderId="1" xfId="14" applyFont="1" applyFill="1" applyBorder="1" applyAlignment="1"/>
    <xf numFmtId="9" fontId="3" fillId="2" borderId="97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6" xfId="80" applyNumberFormat="1" applyFont="1" applyFill="1" applyBorder="1" applyAlignment="1">
      <alignment horizontal="left"/>
    </xf>
    <xf numFmtId="3" fontId="3" fillId="2" borderId="86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3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5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3" fontId="33" fillId="9" borderId="99" xfId="0" applyNumberFormat="1" applyFont="1" applyFill="1" applyBorder="1" applyAlignment="1">
      <alignment horizontal="right" vertical="top"/>
    </xf>
    <xf numFmtId="3" fontId="33" fillId="9" borderId="100" xfId="0" applyNumberFormat="1" applyFont="1" applyFill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3" fillId="0" borderId="99" xfId="0" applyNumberFormat="1" applyFont="1" applyBorder="1" applyAlignment="1">
      <alignment horizontal="right" vertical="top"/>
    </xf>
    <xf numFmtId="176" fontId="33" fillId="9" borderId="102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3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0" fontId="35" fillId="9" borderId="107" xfId="0" applyFont="1" applyFill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0" fontId="33" fillId="9" borderId="102" xfId="0" applyFont="1" applyFill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176" fontId="35" fillId="9" borderId="111" xfId="0" applyNumberFormat="1" applyFont="1" applyFill="1" applyBorder="1" applyAlignment="1">
      <alignment horizontal="right" vertical="top"/>
    </xf>
    <xf numFmtId="0" fontId="37" fillId="10" borderId="98" xfId="0" applyFont="1" applyFill="1" applyBorder="1" applyAlignment="1">
      <alignment vertical="top"/>
    </xf>
    <xf numFmtId="0" fontId="37" fillId="10" borderId="98" xfId="0" applyFont="1" applyFill="1" applyBorder="1" applyAlignment="1">
      <alignment vertical="top" indent="2"/>
    </xf>
    <xf numFmtId="0" fontId="37" fillId="10" borderId="98" xfId="0" applyFont="1" applyFill="1" applyBorder="1" applyAlignment="1">
      <alignment vertical="top" indent="4"/>
    </xf>
    <xf numFmtId="0" fontId="38" fillId="10" borderId="103" xfId="0" applyFont="1" applyFill="1" applyBorder="1" applyAlignment="1">
      <alignment vertical="top" indent="6"/>
    </xf>
    <xf numFmtId="0" fontId="37" fillId="10" borderId="98" xfId="0" applyFont="1" applyFill="1" applyBorder="1" applyAlignment="1">
      <alignment vertical="top" indent="8"/>
    </xf>
    <xf numFmtId="0" fontId="38" fillId="10" borderId="103" xfId="0" applyFont="1" applyFill="1" applyBorder="1" applyAlignment="1">
      <alignment vertical="top" indent="2"/>
    </xf>
    <xf numFmtId="0" fontId="37" fillId="10" borderId="98" xfId="0" applyFont="1" applyFill="1" applyBorder="1" applyAlignment="1">
      <alignment vertical="top" indent="6"/>
    </xf>
    <xf numFmtId="0" fontId="38" fillId="10" borderId="103" xfId="0" applyFont="1" applyFill="1" applyBorder="1" applyAlignment="1">
      <alignment vertical="top" indent="4"/>
    </xf>
    <xf numFmtId="0" fontId="32" fillId="10" borderId="98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112" xfId="79" applyFont="1" applyFill="1" applyBorder="1" applyAlignment="1">
      <alignment horizontal="left"/>
    </xf>
    <xf numFmtId="3" fontId="3" fillId="2" borderId="81" xfId="80" applyNumberFormat="1" applyFont="1" applyFill="1" applyBorder="1"/>
    <xf numFmtId="3" fontId="3" fillId="2" borderId="82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9" fontId="3" fillId="2" borderId="82" xfId="80" applyNumberFormat="1" applyFont="1" applyFill="1" applyBorder="1"/>
    <xf numFmtId="0" fontId="39" fillId="0" borderId="64" xfId="0" applyFont="1" applyFill="1" applyBorder="1"/>
    <xf numFmtId="3" fontId="32" fillId="0" borderId="65" xfId="0" applyNumberFormat="1" applyFont="1" applyFill="1" applyBorder="1"/>
    <xf numFmtId="9" fontId="32" fillId="0" borderId="65" xfId="0" applyNumberFormat="1" applyFont="1" applyFill="1" applyBorder="1"/>
    <xf numFmtId="9" fontId="32" fillId="0" borderId="66" xfId="0" applyNumberFormat="1" applyFont="1" applyFill="1" applyBorder="1"/>
    <xf numFmtId="3" fontId="32" fillId="0" borderId="68" xfId="0" applyNumberFormat="1" applyFont="1" applyFill="1" applyBorder="1"/>
    <xf numFmtId="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94" xfId="0" applyFont="1" applyFill="1" applyBorder="1"/>
    <xf numFmtId="0" fontId="39" fillId="0" borderId="93" xfId="0" applyFont="1" applyFill="1" applyBorder="1" applyAlignment="1">
      <alignment horizontal="left" indent="1"/>
    </xf>
    <xf numFmtId="9" fontId="32" fillId="0" borderId="87" xfId="0" applyNumberFormat="1" applyFont="1" applyFill="1" applyBorder="1"/>
    <xf numFmtId="9" fontId="32" fillId="0" borderId="85" xfId="0" applyNumberFormat="1" applyFont="1" applyFill="1" applyBorder="1"/>
    <xf numFmtId="3" fontId="32" fillId="0" borderId="64" xfId="0" applyNumberFormat="1" applyFont="1" applyFill="1" applyBorder="1"/>
    <xf numFmtId="3" fontId="32" fillId="0" borderId="6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1" xfId="0" applyNumberFormat="1" applyFont="1" applyFill="1" applyBorder="1"/>
    <xf numFmtId="9" fontId="32" fillId="0" borderId="90" xfId="0" applyNumberFormat="1" applyFont="1" applyFill="1" applyBorder="1"/>
    <xf numFmtId="0" fontId="0" fillId="0" borderId="113" xfId="0" applyBorder="1" applyAlignment="1">
      <alignment horizontal="center"/>
    </xf>
    <xf numFmtId="0" fontId="0" fillId="0" borderId="114" xfId="0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5" xfId="0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6" xfId="0" applyNumberFormat="1" applyFont="1" applyBorder="1" applyAlignment="1">
      <alignment horizontal="right"/>
    </xf>
    <xf numFmtId="0" fontId="0" fillId="0" borderId="117" xfId="0" applyBorder="1" applyAlignment="1">
      <alignment horizontal="right"/>
    </xf>
    <xf numFmtId="0" fontId="0" fillId="0" borderId="118" xfId="0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1" xfId="0" applyFont="1" applyFill="1" applyBorder="1" applyAlignment="1">
      <alignment horizontal="center" vertical="center"/>
    </xf>
    <xf numFmtId="0" fontId="54" fillId="2" borderId="90" xfId="0" applyFont="1" applyFill="1" applyBorder="1" applyAlignment="1">
      <alignment horizontal="center" vertical="center" wrapText="1"/>
    </xf>
    <xf numFmtId="174" fontId="32" fillId="2" borderId="91" xfId="0" applyNumberFormat="1" applyFont="1" applyFill="1" applyBorder="1" applyAlignment="1"/>
    <xf numFmtId="174" fontId="32" fillId="0" borderId="89" xfId="0" applyNumberFormat="1" applyFont="1" applyBorder="1"/>
    <xf numFmtId="174" fontId="32" fillId="0" borderId="120" xfId="0" applyNumberFormat="1" applyFont="1" applyBorder="1"/>
    <xf numFmtId="173" fontId="39" fillId="4" borderId="91" xfId="0" applyNumberFormat="1" applyFont="1" applyFill="1" applyBorder="1" applyAlignment="1"/>
    <xf numFmtId="173" fontId="32" fillId="0" borderId="89" xfId="0" applyNumberFormat="1" applyFont="1" applyBorder="1"/>
    <xf numFmtId="173" fontId="32" fillId="0" borderId="90" xfId="0" applyNumberFormat="1" applyFont="1" applyBorder="1"/>
    <xf numFmtId="173" fontId="39" fillId="2" borderId="91" xfId="0" applyNumberFormat="1" applyFont="1" applyFill="1" applyBorder="1" applyAlignment="1"/>
    <xf numFmtId="173" fontId="32" fillId="0" borderId="120" xfId="0" applyNumberFormat="1" applyFont="1" applyBorder="1"/>
    <xf numFmtId="173" fontId="32" fillId="0" borderId="91" xfId="0" applyNumberFormat="1" applyFont="1" applyBorder="1"/>
    <xf numFmtId="0" fontId="0" fillId="0" borderId="121" xfId="0" applyBorder="1" applyAlignment="1">
      <alignment horizontal="center"/>
    </xf>
    <xf numFmtId="0" fontId="0" fillId="0" borderId="122" xfId="0" applyBorder="1" applyAlignment="1">
      <alignment horizontal="right"/>
    </xf>
    <xf numFmtId="0" fontId="0" fillId="0" borderId="122" xfId="0" applyBorder="1" applyAlignment="1">
      <alignment horizontal="right" wrapText="1"/>
    </xf>
    <xf numFmtId="0" fontId="0" fillId="0" borderId="123" xfId="0" applyBorder="1" applyAlignment="1">
      <alignment horizontal="right"/>
    </xf>
    <xf numFmtId="0" fontId="0" fillId="0" borderId="119" xfId="0" applyBorder="1"/>
    <xf numFmtId="173" fontId="39" fillId="4" borderId="70" xfId="0" applyNumberFormat="1" applyFont="1" applyFill="1" applyBorder="1" applyAlignment="1">
      <alignment horizontal="center"/>
    </xf>
    <xf numFmtId="173" fontId="32" fillId="0" borderId="72" xfId="0" applyNumberFormat="1" applyFont="1" applyBorder="1" applyAlignment="1">
      <alignment horizontal="right"/>
    </xf>
    <xf numFmtId="175" fontId="32" fillId="0" borderId="72" xfId="0" applyNumberFormat="1" applyFont="1" applyBorder="1" applyAlignment="1">
      <alignment horizontal="right"/>
    </xf>
    <xf numFmtId="173" fontId="32" fillId="0" borderId="83" xfId="0" applyNumberFormat="1" applyFont="1" applyBorder="1" applyAlignment="1">
      <alignment horizontal="right"/>
    </xf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4" xfId="0" applyFont="1" applyFill="1" applyBorder="1"/>
    <xf numFmtId="0" fontId="32" fillId="0" borderId="65" xfId="0" applyFont="1" applyFill="1" applyBorder="1"/>
    <xf numFmtId="0" fontId="32" fillId="0" borderId="74" xfId="0" applyFont="1" applyFill="1" applyBorder="1"/>
    <xf numFmtId="0" fontId="32" fillId="0" borderId="75" xfId="0" applyFont="1" applyFill="1" applyBorder="1"/>
    <xf numFmtId="3" fontId="32" fillId="0" borderId="75" xfId="0" applyNumberFormat="1" applyFont="1" applyFill="1" applyBorder="1"/>
    <xf numFmtId="9" fontId="32" fillId="0" borderId="75" xfId="0" applyNumberFormat="1" applyFont="1" applyFill="1" applyBorder="1"/>
    <xf numFmtId="3" fontId="32" fillId="0" borderId="76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9" fontId="32" fillId="0" borderId="76" xfId="0" applyNumberFormat="1" applyFont="1" applyFill="1" applyBorder="1"/>
    <xf numFmtId="169" fontId="32" fillId="0" borderId="68" xfId="0" applyNumberFormat="1" applyFont="1" applyFill="1" applyBorder="1"/>
    <xf numFmtId="0" fontId="39" fillId="0" borderId="74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0.2341415814807298</c:v>
                </c:pt>
                <c:pt idx="1">
                  <c:v>0.19432236925957044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369376"/>
        <c:axId val="-13523579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0.13199588420985639</c:v>
                </c:pt>
                <c:pt idx="1">
                  <c:v>0.13199588420985639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2365024"/>
        <c:axId val="-1352354144"/>
      </c:scatterChart>
      <c:catAx>
        <c:axId val="-135236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5235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52357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352369376"/>
        <c:crosses val="autoZero"/>
        <c:crossBetween val="between"/>
      </c:valAx>
      <c:valAx>
        <c:axId val="-13523650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52354144"/>
        <c:crosses val="max"/>
        <c:crossBetween val="midCat"/>
      </c:valAx>
      <c:valAx>
        <c:axId val="-13523541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3523650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307" t="s">
        <v>85</v>
      </c>
      <c r="B1" s="307"/>
    </row>
    <row r="2" spans="1:3" ht="14.4" customHeight="1" thickBot="1" x14ac:dyDescent="0.35">
      <c r="A2" s="196" t="s">
        <v>247</v>
      </c>
      <c r="B2" s="41"/>
    </row>
    <row r="3" spans="1:3" ht="14.4" customHeight="1" thickBot="1" x14ac:dyDescent="0.35">
      <c r="A3" s="303" t="s">
        <v>106</v>
      </c>
      <c r="B3" s="304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94</v>
      </c>
      <c r="C4" s="42" t="s">
        <v>95</v>
      </c>
    </row>
    <row r="5" spans="1:3" ht="14.4" customHeight="1" x14ac:dyDescent="0.3">
      <c r="A5" s="114" t="str">
        <f t="shared" si="0"/>
        <v>HI</v>
      </c>
      <c r="B5" s="64" t="s">
        <v>103</v>
      </c>
      <c r="C5" s="42" t="s">
        <v>88</v>
      </c>
    </row>
    <row r="6" spans="1:3" ht="14.4" customHeight="1" x14ac:dyDescent="0.3">
      <c r="A6" s="115" t="str">
        <f t="shared" si="0"/>
        <v>HI Graf</v>
      </c>
      <c r="B6" s="65" t="s">
        <v>81</v>
      </c>
      <c r="C6" s="42" t="s">
        <v>89</v>
      </c>
    </row>
    <row r="7" spans="1:3" ht="14.4" customHeight="1" x14ac:dyDescent="0.3">
      <c r="A7" s="115" t="str">
        <f t="shared" si="0"/>
        <v>Man Tab</v>
      </c>
      <c r="B7" s="65" t="s">
        <v>249</v>
      </c>
      <c r="C7" s="42" t="s">
        <v>90</v>
      </c>
    </row>
    <row r="8" spans="1:3" ht="14.4" customHeight="1" thickBot="1" x14ac:dyDescent="0.35">
      <c r="A8" s="116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305" t="s">
        <v>86</v>
      </c>
      <c r="B10" s="304"/>
    </row>
    <row r="11" spans="1:3" ht="14.4" customHeight="1" x14ac:dyDescent="0.3">
      <c r="A11" s="117" t="str">
        <f t="shared" ref="A11" si="1">HYPERLINK("#'"&amp;C11&amp;"'!A1",C11)</f>
        <v>Léky Žádanky</v>
      </c>
      <c r="B11" s="64" t="s">
        <v>104</v>
      </c>
      <c r="C11" s="42" t="s">
        <v>91</v>
      </c>
    </row>
    <row r="12" spans="1:3" ht="14.4" customHeight="1" x14ac:dyDescent="0.3">
      <c r="A12" s="115" t="str">
        <f t="shared" ref="A12:A14" si="2">HYPERLINK("#'"&amp;C12&amp;"'!A1",C12)</f>
        <v>LŽ Statim</v>
      </c>
      <c r="B12" s="272" t="s">
        <v>187</v>
      </c>
      <c r="C12" s="42" t="s">
        <v>197</v>
      </c>
    </row>
    <row r="13" spans="1:3" ht="14.4" customHeight="1" x14ac:dyDescent="0.3">
      <c r="A13" s="117" t="str">
        <f t="shared" ref="A13" si="3">HYPERLINK("#'"&amp;C13&amp;"'!A1",C13)</f>
        <v>Materiál Žádanky</v>
      </c>
      <c r="B13" s="65" t="s">
        <v>105</v>
      </c>
      <c r="C13" s="42" t="s">
        <v>92</v>
      </c>
    </row>
    <row r="14" spans="1:3" ht="14.4" customHeight="1" thickBot="1" x14ac:dyDescent="0.35">
      <c r="A14" s="117" t="str">
        <f t="shared" si="2"/>
        <v>Osobní náklady</v>
      </c>
      <c r="B14" s="65" t="s">
        <v>83</v>
      </c>
      <c r="C14" s="42" t="s">
        <v>93</v>
      </c>
    </row>
    <row r="15" spans="1:3" ht="14.4" customHeight="1" thickBot="1" x14ac:dyDescent="0.35">
      <c r="A15" s="68"/>
      <c r="B15" s="68"/>
    </row>
    <row r="16" spans="1:3" ht="14.4" customHeight="1" thickBot="1" x14ac:dyDescent="0.35">
      <c r="A16" s="306" t="s">
        <v>87</v>
      </c>
      <c r="B16" s="304"/>
    </row>
    <row r="17" spans="1:3" ht="14.4" customHeight="1" x14ac:dyDescent="0.3">
      <c r="A17" s="118" t="str">
        <f t="shared" ref="A17:A22" si="4">HYPERLINK("#'"&amp;C17&amp;"'!A1",C17)</f>
        <v>ZV Vykáz.-A</v>
      </c>
      <c r="B17" s="64" t="s">
        <v>364</v>
      </c>
      <c r="C17" s="42" t="s">
        <v>96</v>
      </c>
    </row>
    <row r="18" spans="1:3" ht="14.4" customHeight="1" x14ac:dyDescent="0.3">
      <c r="A18" s="115" t="str">
        <f t="shared" ref="A18" si="5">HYPERLINK("#'"&amp;C18&amp;"'!A1",C18)</f>
        <v>ZV Vykáz.-A Lékaři</v>
      </c>
      <c r="B18" s="65" t="s">
        <v>370</v>
      </c>
      <c r="C18" s="42" t="s">
        <v>200</v>
      </c>
    </row>
    <row r="19" spans="1:3" ht="14.4" customHeight="1" x14ac:dyDescent="0.3">
      <c r="A19" s="115" t="str">
        <f t="shared" si="4"/>
        <v>ZV Vykáz.-A Detail</v>
      </c>
      <c r="B19" s="65" t="s">
        <v>390</v>
      </c>
      <c r="C19" s="42" t="s">
        <v>97</v>
      </c>
    </row>
    <row r="20" spans="1:3" ht="14.4" customHeight="1" x14ac:dyDescent="0.3">
      <c r="A20" s="293" t="str">
        <f>HYPERLINK("#'"&amp;C20&amp;"'!A1",C20)</f>
        <v>ZV Vykáz.-A Det.Lék.</v>
      </c>
      <c r="B20" s="65" t="s">
        <v>391</v>
      </c>
      <c r="C20" s="42" t="s">
        <v>236</v>
      </c>
    </row>
    <row r="21" spans="1:3" ht="14.4" customHeight="1" x14ac:dyDescent="0.3">
      <c r="A21" s="115" t="str">
        <f t="shared" si="4"/>
        <v>ZV Vykáz.-H</v>
      </c>
      <c r="B21" s="65" t="s">
        <v>100</v>
      </c>
      <c r="C21" s="42" t="s">
        <v>98</v>
      </c>
    </row>
    <row r="22" spans="1:3" ht="14.4" customHeight="1" x14ac:dyDescent="0.3">
      <c r="A22" s="115" t="str">
        <f t="shared" si="4"/>
        <v>ZV Vykáz.-H Detail</v>
      </c>
      <c r="B22" s="65" t="s">
        <v>407</v>
      </c>
      <c r="C22" s="42" t="s">
        <v>99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2" width="13.109375" customWidth="1"/>
    <col min="3" max="4" width="13.109375" hidden="1" customWidth="1"/>
    <col min="5" max="5" width="13.109375" customWidth="1"/>
    <col min="6" max="30" width="13.109375" hidden="1" customWidth="1"/>
    <col min="31" max="31" width="13.109375" customWidth="1"/>
    <col min="32" max="45" width="13.109375" hidden="1" customWidth="1"/>
  </cols>
  <sheetData>
    <row r="1" spans="1:46" ht="18.600000000000001" thickBot="1" x14ac:dyDescent="0.4">
      <c r="A1" s="347" t="s">
        <v>83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339"/>
      <c r="AO1" s="339"/>
      <c r="AP1" s="339"/>
      <c r="AQ1" s="339"/>
      <c r="AR1" s="339"/>
      <c r="AS1" s="339"/>
    </row>
    <row r="2" spans="1:46" ht="15" thickBot="1" x14ac:dyDescent="0.35">
      <c r="A2" s="196" t="s">
        <v>247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</row>
    <row r="3" spans="1:46" x14ac:dyDescent="0.3">
      <c r="A3" s="215" t="s">
        <v>153</v>
      </c>
      <c r="B3" s="348" t="s">
        <v>132</v>
      </c>
      <c r="C3" s="198">
        <v>0</v>
      </c>
      <c r="D3" s="199">
        <v>25</v>
      </c>
      <c r="E3" s="199">
        <v>30</v>
      </c>
      <c r="F3" s="199">
        <v>99</v>
      </c>
      <c r="G3" s="218">
        <v>100</v>
      </c>
      <c r="H3" s="218">
        <v>101</v>
      </c>
      <c r="I3" s="218">
        <v>102</v>
      </c>
      <c r="J3" s="218">
        <v>103</v>
      </c>
      <c r="K3" s="218">
        <v>203</v>
      </c>
      <c r="L3" s="296">
        <v>302</v>
      </c>
      <c r="M3" s="218">
        <v>303</v>
      </c>
      <c r="N3" s="218">
        <v>304</v>
      </c>
      <c r="O3" s="218">
        <v>305</v>
      </c>
      <c r="P3" s="218">
        <v>306</v>
      </c>
      <c r="Q3" s="218">
        <v>407</v>
      </c>
      <c r="R3" s="218">
        <v>408</v>
      </c>
      <c r="S3" s="218">
        <v>409</v>
      </c>
      <c r="T3" s="218">
        <v>410</v>
      </c>
      <c r="U3" s="218">
        <v>415</v>
      </c>
      <c r="V3" s="218">
        <v>416</v>
      </c>
      <c r="W3" s="218">
        <v>418</v>
      </c>
      <c r="X3" s="218">
        <v>419</v>
      </c>
      <c r="Y3" s="218">
        <v>420</v>
      </c>
      <c r="Z3" s="218">
        <v>421</v>
      </c>
      <c r="AA3" s="218">
        <v>422</v>
      </c>
      <c r="AB3" s="218">
        <v>520</v>
      </c>
      <c r="AC3" s="218">
        <v>521</v>
      </c>
      <c r="AD3" s="218">
        <v>522</v>
      </c>
      <c r="AE3" s="218">
        <v>523</v>
      </c>
      <c r="AF3" s="218">
        <v>524</v>
      </c>
      <c r="AG3" s="218">
        <v>525</v>
      </c>
      <c r="AH3" s="218">
        <v>526</v>
      </c>
      <c r="AI3" s="199">
        <v>527</v>
      </c>
      <c r="AJ3" s="199">
        <v>528</v>
      </c>
      <c r="AK3" s="199">
        <v>629</v>
      </c>
      <c r="AL3" s="199">
        <v>630</v>
      </c>
      <c r="AM3" s="199">
        <v>636</v>
      </c>
      <c r="AN3" s="199">
        <v>637</v>
      </c>
      <c r="AO3" s="199">
        <v>640</v>
      </c>
      <c r="AP3" s="199">
        <v>642</v>
      </c>
      <c r="AQ3" s="199">
        <v>743</v>
      </c>
      <c r="AR3" s="199">
        <v>745</v>
      </c>
      <c r="AS3" s="440">
        <v>746</v>
      </c>
      <c r="AT3" s="455"/>
    </row>
    <row r="4" spans="1:46" ht="36.6" outlineLevel="1" thickBot="1" x14ac:dyDescent="0.35">
      <c r="A4" s="216">
        <v>2017</v>
      </c>
      <c r="B4" s="349"/>
      <c r="C4" s="200" t="s">
        <v>133</v>
      </c>
      <c r="D4" s="201" t="s">
        <v>137</v>
      </c>
      <c r="E4" s="201" t="s">
        <v>155</v>
      </c>
      <c r="F4" s="201" t="s">
        <v>134</v>
      </c>
      <c r="G4" s="219" t="s">
        <v>203</v>
      </c>
      <c r="H4" s="219" t="s">
        <v>204</v>
      </c>
      <c r="I4" s="219" t="s">
        <v>135</v>
      </c>
      <c r="J4" s="219" t="s">
        <v>205</v>
      </c>
      <c r="K4" s="219" t="s">
        <v>136</v>
      </c>
      <c r="L4" s="297" t="s">
        <v>206</v>
      </c>
      <c r="M4" s="219" t="s">
        <v>207</v>
      </c>
      <c r="N4" s="219" t="s">
        <v>208</v>
      </c>
      <c r="O4" s="219" t="s">
        <v>209</v>
      </c>
      <c r="P4" s="219" t="s">
        <v>161</v>
      </c>
      <c r="Q4" s="219" t="s">
        <v>201</v>
      </c>
      <c r="R4" s="219" t="s">
        <v>162</v>
      </c>
      <c r="S4" s="219" t="s">
        <v>163</v>
      </c>
      <c r="T4" s="219" t="s">
        <v>164</v>
      </c>
      <c r="U4" s="219" t="s">
        <v>165</v>
      </c>
      <c r="V4" s="219" t="s">
        <v>166</v>
      </c>
      <c r="W4" s="219" t="s">
        <v>167</v>
      </c>
      <c r="X4" s="219" t="s">
        <v>168</v>
      </c>
      <c r="Y4" s="219" t="s">
        <v>169</v>
      </c>
      <c r="Z4" s="219" t="s">
        <v>170</v>
      </c>
      <c r="AA4" s="219" t="s">
        <v>240</v>
      </c>
      <c r="AB4" s="219" t="s">
        <v>210</v>
      </c>
      <c r="AC4" s="219" t="s">
        <v>211</v>
      </c>
      <c r="AD4" s="219" t="s">
        <v>212</v>
      </c>
      <c r="AE4" s="219" t="s">
        <v>171</v>
      </c>
      <c r="AF4" s="219" t="s">
        <v>172</v>
      </c>
      <c r="AG4" s="219" t="s">
        <v>173</v>
      </c>
      <c r="AH4" s="219" t="s">
        <v>174</v>
      </c>
      <c r="AI4" s="201" t="s">
        <v>175</v>
      </c>
      <c r="AJ4" s="201" t="s">
        <v>184</v>
      </c>
      <c r="AK4" s="201" t="s">
        <v>176</v>
      </c>
      <c r="AL4" s="201" t="s">
        <v>185</v>
      </c>
      <c r="AM4" s="201" t="s">
        <v>177</v>
      </c>
      <c r="AN4" s="284" t="s">
        <v>178</v>
      </c>
      <c r="AO4" s="201" t="s">
        <v>179</v>
      </c>
      <c r="AP4" s="201" t="s">
        <v>180</v>
      </c>
      <c r="AQ4" s="201" t="s">
        <v>181</v>
      </c>
      <c r="AR4" s="201" t="s">
        <v>182</v>
      </c>
      <c r="AS4" s="441" t="s">
        <v>183</v>
      </c>
      <c r="AT4" s="455"/>
    </row>
    <row r="5" spans="1:46" x14ac:dyDescent="0.3">
      <c r="A5" s="202" t="s">
        <v>138</v>
      </c>
      <c r="B5" s="240"/>
      <c r="C5" s="241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85"/>
      <c r="AO5" s="242"/>
      <c r="AP5" s="242"/>
      <c r="AQ5" s="242"/>
      <c r="AR5" s="242"/>
      <c r="AS5" s="442"/>
      <c r="AT5" s="455"/>
    </row>
    <row r="6" spans="1:46" ht="15" collapsed="1" thickBot="1" x14ac:dyDescent="0.35">
      <c r="A6" s="203" t="s">
        <v>50</v>
      </c>
      <c r="B6" s="243">
        <f xml:space="preserve">
TRUNC(IF($A$4&lt;=12,SUMIFS('ON Data'!F:F,'ON Data'!$D:$D,$A$4,'ON Data'!$E:$E,1),SUMIFS('ON Data'!F:F,'ON Data'!$E:$E,1)/'ON Data'!$D$3),1)</f>
        <v>5</v>
      </c>
      <c r="C6" s="244">
        <f xml:space="preserve">
TRUNC(IF($A$4&lt;=12,SUMIFS('ON Data'!G:G,'ON Data'!$D:$D,$A$4,'ON Data'!$E:$E,1),SUMIFS('ON Data'!G:G,'ON Data'!$E:$E,1)/'ON Data'!$D$3),1)</f>
        <v>0</v>
      </c>
      <c r="D6" s="245">
        <f xml:space="preserve">
TRUNC(IF($A$4&lt;=12,SUMIFS('ON Data'!H:H,'ON Data'!$D:$D,$A$4,'ON Data'!$E:$E,1),SUMIFS('ON Data'!H:H,'ON Data'!$E:$E,1)/'ON Data'!$D$3),1)</f>
        <v>0</v>
      </c>
      <c r="E6" s="245">
        <f xml:space="preserve">
TRUNC(IF($A$4&lt;=12,SUMIFS('ON Data'!I:I,'ON Data'!$D:$D,$A$4,'ON Data'!$E:$E,1),SUMIFS('ON Data'!I:I,'ON Data'!$E:$E,1)/'ON Data'!$D$3),1)</f>
        <v>0</v>
      </c>
      <c r="F6" s="245">
        <f xml:space="preserve">
TRUNC(IF($A$4&lt;=12,SUMIFS('ON Data'!J:J,'ON Data'!$D:$D,$A$4,'ON Data'!$E:$E,1),SUMIFS('ON Data'!J:J,'ON Data'!$E:$E,1)/'ON Data'!$D$3),1)</f>
        <v>0</v>
      </c>
      <c r="G6" s="245">
        <f xml:space="preserve">
TRUNC(IF($A$4&lt;=12,SUMIFS('ON Data'!K:K,'ON Data'!$D:$D,$A$4,'ON Data'!$E:$E,1),SUMIFS('ON Data'!K:K,'ON Data'!$E:$E,1)/'ON Data'!$D$3),1)</f>
        <v>0</v>
      </c>
      <c r="H6" s="245">
        <f xml:space="preserve">
TRUNC(IF($A$4&lt;=12,SUMIFS('ON Data'!L:L,'ON Data'!$D:$D,$A$4,'ON Data'!$E:$E,1),SUMIFS('ON Data'!L:L,'ON Data'!$E:$E,1)/'ON Data'!$D$3),1)</f>
        <v>0</v>
      </c>
      <c r="I6" s="245">
        <f xml:space="preserve">
TRUNC(IF($A$4&lt;=12,SUMIFS('ON Data'!M:M,'ON Data'!$D:$D,$A$4,'ON Data'!$E:$E,1),SUMIFS('ON Data'!M:M,'ON Data'!$E:$E,1)/'ON Data'!$D$3),1)</f>
        <v>0</v>
      </c>
      <c r="J6" s="245">
        <f xml:space="preserve">
TRUNC(IF($A$4&lt;=12,SUMIFS('ON Data'!N:N,'ON Data'!$D:$D,$A$4,'ON Data'!$E:$E,1),SUMIFS('ON Data'!N:N,'ON Data'!$E:$E,1)/'ON Data'!$D$3),1)</f>
        <v>0</v>
      </c>
      <c r="K6" s="245">
        <f xml:space="preserve">
TRUNC(IF($A$4&lt;=12,SUMIFS('ON Data'!O:O,'ON Data'!$D:$D,$A$4,'ON Data'!$E:$E,1),SUMIFS('ON Data'!O:O,'ON Data'!$E:$E,1)/'ON Data'!$D$3),1)</f>
        <v>0</v>
      </c>
      <c r="L6" s="245">
        <f xml:space="preserve">
TRUNC(IF($A$4&lt;=12,SUMIFS('ON Data'!P:P,'ON Data'!$D:$D,$A$4,'ON Data'!$E:$E,1),SUMIFS('ON Data'!P:P,'ON Data'!$E:$E,1)/'ON Data'!$D$3),1)</f>
        <v>0</v>
      </c>
      <c r="M6" s="245">
        <f xml:space="preserve">
TRUNC(IF($A$4&lt;=12,SUMIFS('ON Data'!Q:Q,'ON Data'!$D:$D,$A$4,'ON Data'!$E:$E,1),SUMIFS('ON Data'!Q:Q,'ON Data'!$E:$E,1)/'ON Data'!$D$3),1)</f>
        <v>0</v>
      </c>
      <c r="N6" s="245">
        <f xml:space="preserve">
TRUNC(IF($A$4&lt;=12,SUMIFS('ON Data'!R:R,'ON Data'!$D:$D,$A$4,'ON Data'!$E:$E,1),SUMIFS('ON Data'!R:R,'ON Data'!$E:$E,1)/'ON Data'!$D$3),1)</f>
        <v>0</v>
      </c>
      <c r="O6" s="245">
        <f xml:space="preserve">
TRUNC(IF($A$4&lt;=12,SUMIFS('ON Data'!S:S,'ON Data'!$D:$D,$A$4,'ON Data'!$E:$E,1),SUMIFS('ON Data'!S:S,'ON Data'!$E:$E,1)/'ON Data'!$D$3),1)</f>
        <v>0</v>
      </c>
      <c r="P6" s="245">
        <f xml:space="preserve">
TRUNC(IF($A$4&lt;=12,SUMIFS('ON Data'!T:T,'ON Data'!$D:$D,$A$4,'ON Data'!$E:$E,1),SUMIFS('ON Data'!T:T,'ON Data'!$E:$E,1)/'ON Data'!$D$3),1)</f>
        <v>0</v>
      </c>
      <c r="Q6" s="245">
        <f xml:space="preserve">
TRUNC(IF($A$4&lt;=12,SUMIFS('ON Data'!U:U,'ON Data'!$D:$D,$A$4,'ON Data'!$E:$E,1),SUMIFS('ON Data'!U:U,'ON Data'!$E:$E,1)/'ON Data'!$D$3),1)</f>
        <v>0</v>
      </c>
      <c r="R6" s="245">
        <f xml:space="preserve">
TRUNC(IF($A$4&lt;=12,SUMIFS('ON Data'!V:V,'ON Data'!$D:$D,$A$4,'ON Data'!$E:$E,1),SUMIFS('ON Data'!V:V,'ON Data'!$E:$E,1)/'ON Data'!$D$3),1)</f>
        <v>0</v>
      </c>
      <c r="S6" s="245">
        <f xml:space="preserve">
TRUNC(IF($A$4&lt;=12,SUMIFS('ON Data'!W:W,'ON Data'!$D:$D,$A$4,'ON Data'!$E:$E,1),SUMIFS('ON Data'!W:W,'ON Data'!$E:$E,1)/'ON Data'!$D$3),1)</f>
        <v>0</v>
      </c>
      <c r="T6" s="245">
        <f xml:space="preserve">
TRUNC(IF($A$4&lt;=12,SUMIFS('ON Data'!X:X,'ON Data'!$D:$D,$A$4,'ON Data'!$E:$E,1),SUMIFS('ON Data'!X:X,'ON Data'!$E:$E,1)/'ON Data'!$D$3),1)</f>
        <v>0</v>
      </c>
      <c r="U6" s="245">
        <f xml:space="preserve">
TRUNC(IF($A$4&lt;=12,SUMIFS('ON Data'!Y:Y,'ON Data'!$D:$D,$A$4,'ON Data'!$E:$E,1),SUMIFS('ON Data'!Y:Y,'ON Data'!$E:$E,1)/'ON Data'!$D$3),1)</f>
        <v>0</v>
      </c>
      <c r="V6" s="245">
        <f xml:space="preserve">
TRUNC(IF($A$4&lt;=12,SUMIFS('ON Data'!Z:Z,'ON Data'!$D:$D,$A$4,'ON Data'!$E:$E,1),SUMIFS('ON Data'!Z:Z,'ON Data'!$E:$E,1)/'ON Data'!$D$3),1)</f>
        <v>0</v>
      </c>
      <c r="W6" s="245">
        <f xml:space="preserve">
TRUNC(IF($A$4&lt;=12,SUMIFS('ON Data'!AA:AA,'ON Data'!$D:$D,$A$4,'ON Data'!$E:$E,1),SUMIFS('ON Data'!AA:AA,'ON Data'!$E:$E,1)/'ON Data'!$D$3),1)</f>
        <v>0</v>
      </c>
      <c r="X6" s="245">
        <f xml:space="preserve">
TRUNC(IF($A$4&lt;=12,SUMIFS('ON Data'!AB:AB,'ON Data'!$D:$D,$A$4,'ON Data'!$E:$E,1),SUMIFS('ON Data'!AB:AB,'ON Data'!$E:$E,1)/'ON Data'!$D$3),1)</f>
        <v>0</v>
      </c>
      <c r="Y6" s="245">
        <f xml:space="preserve">
TRUNC(IF($A$4&lt;=12,SUMIFS('ON Data'!AC:AC,'ON Data'!$D:$D,$A$4,'ON Data'!$E:$E,1),SUMIFS('ON Data'!AC:AC,'ON Data'!$E:$E,1)/'ON Data'!$D$3),1)</f>
        <v>0</v>
      </c>
      <c r="Z6" s="245">
        <f xml:space="preserve">
TRUNC(IF($A$4&lt;=12,SUMIFS('ON Data'!AD:AD,'ON Data'!$D:$D,$A$4,'ON Data'!$E:$E,1),SUMIFS('ON Data'!AD:AD,'ON Data'!$E:$E,1)/'ON Data'!$D$3),1)</f>
        <v>0</v>
      </c>
      <c r="AA6" s="245">
        <f xml:space="preserve">
TRUNC(IF($A$4&lt;=12,SUMIFS('ON Data'!AE:AE,'ON Data'!$D:$D,$A$4,'ON Data'!$E:$E,1),SUMIFS('ON Data'!AE:AE,'ON Data'!$E:$E,1)/'ON Data'!$D$3),1)</f>
        <v>0</v>
      </c>
      <c r="AB6" s="245">
        <f xml:space="preserve">
TRUNC(IF($A$4&lt;=12,SUMIFS('ON Data'!AF:AF,'ON Data'!$D:$D,$A$4,'ON Data'!$E:$E,1),SUMIFS('ON Data'!AF:AF,'ON Data'!$E:$E,1)/'ON Data'!$D$3),1)</f>
        <v>0</v>
      </c>
      <c r="AC6" s="245">
        <f xml:space="preserve">
TRUNC(IF($A$4&lt;=12,SUMIFS('ON Data'!AG:AG,'ON Data'!$D:$D,$A$4,'ON Data'!$E:$E,1),SUMIFS('ON Data'!AG:AG,'ON Data'!$E:$E,1)/'ON Data'!$D$3),1)</f>
        <v>0</v>
      </c>
      <c r="AD6" s="245">
        <f xml:space="preserve">
TRUNC(IF($A$4&lt;=12,SUMIFS('ON Data'!AH:AH,'ON Data'!$D:$D,$A$4,'ON Data'!$E:$E,1),SUMIFS('ON Data'!AH:AH,'ON Data'!$E:$E,1)/'ON Data'!$D$3),1)</f>
        <v>0</v>
      </c>
      <c r="AE6" s="245">
        <f xml:space="preserve">
TRUNC(IF($A$4&lt;=12,SUMIFS('ON Data'!AI:AI,'ON Data'!$D:$D,$A$4,'ON Data'!$E:$E,1),SUMIFS('ON Data'!AI:AI,'ON Data'!$E:$E,1)/'ON Data'!$D$3),1)</f>
        <v>5</v>
      </c>
      <c r="AF6" s="245">
        <f xml:space="preserve">
TRUNC(IF($A$4&lt;=12,SUMIFS('ON Data'!AJ:AJ,'ON Data'!$D:$D,$A$4,'ON Data'!$E:$E,1),SUMIFS('ON Data'!AJ:AJ,'ON Data'!$E:$E,1)/'ON Data'!$D$3),1)</f>
        <v>0</v>
      </c>
      <c r="AG6" s="245">
        <f xml:space="preserve">
TRUNC(IF($A$4&lt;=12,SUMIFS('ON Data'!AK:AK,'ON Data'!$D:$D,$A$4,'ON Data'!$E:$E,1),SUMIFS('ON Data'!AK:AK,'ON Data'!$E:$E,1)/'ON Data'!$D$3),1)</f>
        <v>0</v>
      </c>
      <c r="AH6" s="245">
        <f xml:space="preserve">
TRUNC(IF($A$4&lt;=12,SUMIFS('ON Data'!AL:AL,'ON Data'!$D:$D,$A$4,'ON Data'!$E:$E,1),SUMIFS('ON Data'!AL:AL,'ON Data'!$E:$E,1)/'ON Data'!$D$3),1)</f>
        <v>0</v>
      </c>
      <c r="AI6" s="245">
        <f xml:space="preserve">
TRUNC(IF($A$4&lt;=12,SUMIFS('ON Data'!AM:AM,'ON Data'!$D:$D,$A$4,'ON Data'!$E:$E,1),SUMIFS('ON Data'!AM:AM,'ON Data'!$E:$E,1)/'ON Data'!$D$3),1)</f>
        <v>0</v>
      </c>
      <c r="AJ6" s="245">
        <f xml:space="preserve">
TRUNC(IF($A$4&lt;=12,SUMIFS('ON Data'!AN:AN,'ON Data'!$D:$D,$A$4,'ON Data'!$E:$E,1),SUMIFS('ON Data'!AN:AN,'ON Data'!$E:$E,1)/'ON Data'!$D$3),1)</f>
        <v>0</v>
      </c>
      <c r="AK6" s="245">
        <f xml:space="preserve">
TRUNC(IF($A$4&lt;=12,SUMIFS('ON Data'!AO:AO,'ON Data'!$D:$D,$A$4,'ON Data'!$E:$E,1),SUMIFS('ON Data'!AO:AO,'ON Data'!$E:$E,1)/'ON Data'!$D$3),1)</f>
        <v>0</v>
      </c>
      <c r="AL6" s="245">
        <f xml:space="preserve">
TRUNC(IF($A$4&lt;=12,SUMIFS('ON Data'!AP:AP,'ON Data'!$D:$D,$A$4,'ON Data'!$E:$E,1),SUMIFS('ON Data'!AP:AP,'ON Data'!$E:$E,1)/'ON Data'!$D$3),1)</f>
        <v>0</v>
      </c>
      <c r="AM6" s="245">
        <f xml:space="preserve">
TRUNC(IF($A$4&lt;=12,SUMIFS('ON Data'!AQ:AQ,'ON Data'!$D:$D,$A$4,'ON Data'!$E:$E,1),SUMIFS('ON Data'!AQ:AQ,'ON Data'!$E:$E,1)/'ON Data'!$D$3),1)</f>
        <v>0</v>
      </c>
      <c r="AN6" s="245">
        <f xml:space="preserve">
TRUNC(IF($A$4&lt;=12,SUMIFS('ON Data'!AR:AR,'ON Data'!$D:$D,$A$4,'ON Data'!$E:$E,1),SUMIFS('ON Data'!AR:AR,'ON Data'!$E:$E,1)/'ON Data'!$D$3),1)</f>
        <v>0</v>
      </c>
      <c r="AO6" s="245">
        <f xml:space="preserve">
TRUNC(IF($A$4&lt;=12,SUMIFS('ON Data'!AS:AS,'ON Data'!$D:$D,$A$4,'ON Data'!$E:$E,1),SUMIFS('ON Data'!AS:AS,'ON Data'!$E:$E,1)/'ON Data'!$D$3),1)</f>
        <v>0</v>
      </c>
      <c r="AP6" s="245">
        <f xml:space="preserve">
TRUNC(IF($A$4&lt;=12,SUMIFS('ON Data'!AT:AT,'ON Data'!$D:$D,$A$4,'ON Data'!$E:$E,1),SUMIFS('ON Data'!AT:AT,'ON Data'!$E:$E,1)/'ON Data'!$D$3),1)</f>
        <v>0</v>
      </c>
      <c r="AQ6" s="245">
        <f xml:space="preserve">
TRUNC(IF($A$4&lt;=12,SUMIFS('ON Data'!AU:AU,'ON Data'!$D:$D,$A$4,'ON Data'!$E:$E,1),SUMIFS('ON Data'!AU:AU,'ON Data'!$E:$E,1)/'ON Data'!$D$3),1)</f>
        <v>0</v>
      </c>
      <c r="AR6" s="245">
        <f xml:space="preserve">
TRUNC(IF($A$4&lt;=12,SUMIFS('ON Data'!AV:AV,'ON Data'!$D:$D,$A$4,'ON Data'!$E:$E,1),SUMIFS('ON Data'!AV:AV,'ON Data'!$E:$E,1)/'ON Data'!$D$3),1)</f>
        <v>0</v>
      </c>
      <c r="AS6" s="443">
        <f xml:space="preserve">
TRUNC(IF($A$4&lt;=12,SUMIFS('ON Data'!AW:AW,'ON Data'!$D:$D,$A$4,'ON Data'!$E:$E,1),SUMIFS('ON Data'!AW:AW,'ON Data'!$E:$E,1)/'ON Data'!$D$3),1)</f>
        <v>0</v>
      </c>
      <c r="AT6" s="455"/>
    </row>
    <row r="7" spans="1:46" ht="15" hidden="1" outlineLevel="1" thickBot="1" x14ac:dyDescent="0.35">
      <c r="A7" s="203" t="s">
        <v>84</v>
      </c>
      <c r="B7" s="243"/>
      <c r="C7" s="246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6"/>
      <c r="AO7" s="245"/>
      <c r="AP7" s="245"/>
      <c r="AQ7" s="245"/>
      <c r="AR7" s="245"/>
      <c r="AS7" s="443"/>
      <c r="AT7" s="455"/>
    </row>
    <row r="8" spans="1:46" ht="15" hidden="1" outlineLevel="1" thickBot="1" x14ac:dyDescent="0.35">
      <c r="A8" s="203" t="s">
        <v>52</v>
      </c>
      <c r="B8" s="243"/>
      <c r="C8" s="246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6"/>
      <c r="AO8" s="245"/>
      <c r="AP8" s="245"/>
      <c r="AQ8" s="245"/>
      <c r="AR8" s="245"/>
      <c r="AS8" s="443"/>
      <c r="AT8" s="455"/>
    </row>
    <row r="9" spans="1:46" ht="15" hidden="1" outlineLevel="1" thickBot="1" x14ac:dyDescent="0.35">
      <c r="A9" s="204" t="s">
        <v>45</v>
      </c>
      <c r="B9" s="247"/>
      <c r="C9" s="248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8"/>
      <c r="AO9" s="249"/>
      <c r="AP9" s="249"/>
      <c r="AQ9" s="249"/>
      <c r="AR9" s="249"/>
      <c r="AS9" s="444"/>
      <c r="AT9" s="455"/>
    </row>
    <row r="10" spans="1:46" x14ac:dyDescent="0.3">
      <c r="A10" s="205" t="s">
        <v>139</v>
      </c>
      <c r="B10" s="220"/>
      <c r="C10" s="221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86"/>
      <c r="AO10" s="222"/>
      <c r="AP10" s="222"/>
      <c r="AQ10" s="222"/>
      <c r="AR10" s="222"/>
      <c r="AS10" s="445"/>
      <c r="AT10" s="455"/>
    </row>
    <row r="11" spans="1:46" x14ac:dyDescent="0.3">
      <c r="A11" s="206" t="s">
        <v>140</v>
      </c>
      <c r="B11" s="223">
        <f xml:space="preserve">
IF($A$4&lt;=12,SUMIFS('ON Data'!F:F,'ON Data'!$D:$D,$A$4,'ON Data'!$E:$E,2),SUMIFS('ON Data'!F:F,'ON Data'!$E:$E,2))</f>
        <v>1608</v>
      </c>
      <c r="C11" s="224">
        <f xml:space="preserve">
IF($A$4&lt;=12,SUMIFS('ON Data'!G:G,'ON Data'!$D:$D,$A$4,'ON Data'!$E:$E,2),SUMIFS('ON Data'!G:G,'ON Data'!$E:$E,2))</f>
        <v>0</v>
      </c>
      <c r="D11" s="225">
        <f xml:space="preserve">
IF($A$4&lt;=12,SUMIFS('ON Data'!H:H,'ON Data'!$D:$D,$A$4,'ON Data'!$E:$E,2),SUMIFS('ON Data'!H:H,'ON Data'!$E:$E,2))</f>
        <v>0</v>
      </c>
      <c r="E11" s="225"/>
      <c r="F11" s="225">
        <f xml:space="preserve">
IF($A$4&lt;=12,SUMIFS('ON Data'!J:J,'ON Data'!$D:$D,$A$4,'ON Data'!$E:$E,2),SUMIFS('ON Data'!J:J,'ON Data'!$E:$E,2))</f>
        <v>0</v>
      </c>
      <c r="G11" s="225">
        <f xml:space="preserve">
IF($A$4&lt;=12,SUMIFS('ON Data'!K:K,'ON Data'!$D:$D,$A$4,'ON Data'!$E:$E,2),SUMIFS('ON Data'!K:K,'ON Data'!$E:$E,2))</f>
        <v>0</v>
      </c>
      <c r="H11" s="225">
        <f xml:space="preserve">
IF($A$4&lt;=12,SUMIFS('ON Data'!L:L,'ON Data'!$D:$D,$A$4,'ON Data'!$E:$E,2),SUMIFS('ON Data'!L:L,'ON Data'!$E:$E,2))</f>
        <v>0</v>
      </c>
      <c r="I11" s="225">
        <f xml:space="preserve">
IF($A$4&lt;=12,SUMIFS('ON Data'!M:M,'ON Data'!$D:$D,$A$4,'ON Data'!$E:$E,2),SUMIFS('ON Data'!M:M,'ON Data'!$E:$E,2))</f>
        <v>0</v>
      </c>
      <c r="J11" s="225">
        <f xml:space="preserve">
IF($A$4&lt;=12,SUMIFS('ON Data'!N:N,'ON Data'!$D:$D,$A$4,'ON Data'!$E:$E,2),SUMIFS('ON Data'!N:N,'ON Data'!$E:$E,2))</f>
        <v>0</v>
      </c>
      <c r="K11" s="225">
        <f xml:space="preserve">
IF($A$4&lt;=12,SUMIFS('ON Data'!O:O,'ON Data'!$D:$D,$A$4,'ON Data'!$E:$E,2),SUMIFS('ON Data'!O:O,'ON Data'!$E:$E,2))</f>
        <v>0</v>
      </c>
      <c r="L11" s="225">
        <f xml:space="preserve">
IF($A$4&lt;=12,SUMIFS('ON Data'!P:P,'ON Data'!$D:$D,$A$4,'ON Data'!$E:$E,2),SUMIFS('ON Data'!P:P,'ON Data'!$E:$E,2))</f>
        <v>0</v>
      </c>
      <c r="M11" s="225">
        <f xml:space="preserve">
IF($A$4&lt;=12,SUMIFS('ON Data'!Q:Q,'ON Data'!$D:$D,$A$4,'ON Data'!$E:$E,2),SUMIFS('ON Data'!Q:Q,'ON Data'!$E:$E,2))</f>
        <v>0</v>
      </c>
      <c r="N11" s="225">
        <f xml:space="preserve">
IF($A$4&lt;=12,SUMIFS('ON Data'!R:R,'ON Data'!$D:$D,$A$4,'ON Data'!$E:$E,2),SUMIFS('ON Data'!R:R,'ON Data'!$E:$E,2))</f>
        <v>0</v>
      </c>
      <c r="O11" s="225">
        <f xml:space="preserve">
IF($A$4&lt;=12,SUMIFS('ON Data'!S:S,'ON Data'!$D:$D,$A$4,'ON Data'!$E:$E,2),SUMIFS('ON Data'!S:S,'ON Data'!$E:$E,2))</f>
        <v>0</v>
      </c>
      <c r="P11" s="225">
        <f xml:space="preserve">
IF($A$4&lt;=12,SUMIFS('ON Data'!T:T,'ON Data'!$D:$D,$A$4,'ON Data'!$E:$E,2),SUMIFS('ON Data'!T:T,'ON Data'!$E:$E,2))</f>
        <v>0</v>
      </c>
      <c r="Q11" s="225">
        <f xml:space="preserve">
IF($A$4&lt;=12,SUMIFS('ON Data'!U:U,'ON Data'!$D:$D,$A$4,'ON Data'!$E:$E,2),SUMIFS('ON Data'!U:U,'ON Data'!$E:$E,2))</f>
        <v>0</v>
      </c>
      <c r="R11" s="225">
        <f xml:space="preserve">
IF($A$4&lt;=12,SUMIFS('ON Data'!V:V,'ON Data'!$D:$D,$A$4,'ON Data'!$E:$E,2),SUMIFS('ON Data'!V:V,'ON Data'!$E:$E,2))</f>
        <v>0</v>
      </c>
      <c r="S11" s="225">
        <f xml:space="preserve">
IF($A$4&lt;=12,SUMIFS('ON Data'!W:W,'ON Data'!$D:$D,$A$4,'ON Data'!$E:$E,2),SUMIFS('ON Data'!W:W,'ON Data'!$E:$E,2))</f>
        <v>0</v>
      </c>
      <c r="T11" s="225">
        <f xml:space="preserve">
IF($A$4&lt;=12,SUMIFS('ON Data'!X:X,'ON Data'!$D:$D,$A$4,'ON Data'!$E:$E,2),SUMIFS('ON Data'!X:X,'ON Data'!$E:$E,2))</f>
        <v>0</v>
      </c>
      <c r="U11" s="225">
        <f xml:space="preserve">
IF($A$4&lt;=12,SUMIFS('ON Data'!Y:Y,'ON Data'!$D:$D,$A$4,'ON Data'!$E:$E,2),SUMIFS('ON Data'!Y:Y,'ON Data'!$E:$E,2))</f>
        <v>0</v>
      </c>
      <c r="V11" s="225">
        <f xml:space="preserve">
IF($A$4&lt;=12,SUMIFS('ON Data'!Z:Z,'ON Data'!$D:$D,$A$4,'ON Data'!$E:$E,2),SUMIFS('ON Data'!Z:Z,'ON Data'!$E:$E,2))</f>
        <v>0</v>
      </c>
      <c r="W11" s="225">
        <f xml:space="preserve">
IF($A$4&lt;=12,SUMIFS('ON Data'!AA:AA,'ON Data'!$D:$D,$A$4,'ON Data'!$E:$E,2),SUMIFS('ON Data'!AA:AA,'ON Data'!$E:$E,2))</f>
        <v>0</v>
      </c>
      <c r="X11" s="225">
        <f xml:space="preserve">
IF($A$4&lt;=12,SUMIFS('ON Data'!AB:AB,'ON Data'!$D:$D,$A$4,'ON Data'!$E:$E,2),SUMIFS('ON Data'!AB:AB,'ON Data'!$E:$E,2))</f>
        <v>0</v>
      </c>
      <c r="Y11" s="225">
        <f xml:space="preserve">
IF($A$4&lt;=12,SUMIFS('ON Data'!AC:AC,'ON Data'!$D:$D,$A$4,'ON Data'!$E:$E,2),SUMIFS('ON Data'!AC:AC,'ON Data'!$E:$E,2))</f>
        <v>0</v>
      </c>
      <c r="Z11" s="225">
        <f xml:space="preserve">
IF($A$4&lt;=12,SUMIFS('ON Data'!AD:AD,'ON Data'!$D:$D,$A$4,'ON Data'!$E:$E,2),SUMIFS('ON Data'!AD:AD,'ON Data'!$E:$E,2))</f>
        <v>0</v>
      </c>
      <c r="AA11" s="225"/>
      <c r="AB11" s="225">
        <f xml:space="preserve">
IF($A$4&lt;=12,SUMIFS('ON Data'!AF:AF,'ON Data'!$D:$D,$A$4,'ON Data'!$E:$E,2),SUMIFS('ON Data'!AF:AF,'ON Data'!$E:$E,2))</f>
        <v>0</v>
      </c>
      <c r="AC11" s="225">
        <f xml:space="preserve">
IF($A$4&lt;=12,SUMIFS('ON Data'!AG:AG,'ON Data'!$D:$D,$A$4,'ON Data'!$E:$E,2),SUMIFS('ON Data'!AG:AG,'ON Data'!$E:$E,2))</f>
        <v>0</v>
      </c>
      <c r="AD11" s="225">
        <f xml:space="preserve">
IF($A$4&lt;=12,SUMIFS('ON Data'!AH:AH,'ON Data'!$D:$D,$A$4,'ON Data'!$E:$E,2),SUMIFS('ON Data'!AH:AH,'ON Data'!$E:$E,2))</f>
        <v>0</v>
      </c>
      <c r="AE11" s="225">
        <f xml:space="preserve">
IF($A$4&lt;=12,SUMIFS('ON Data'!AI:AI,'ON Data'!$D:$D,$A$4,'ON Data'!$E:$E,2),SUMIFS('ON Data'!AI:AI,'ON Data'!$E:$E,2))</f>
        <v>1608</v>
      </c>
      <c r="AF11" s="225">
        <f xml:space="preserve">
IF($A$4&lt;=12,SUMIFS('ON Data'!AJ:AJ,'ON Data'!$D:$D,$A$4,'ON Data'!$E:$E,2),SUMIFS('ON Data'!AJ:AJ,'ON Data'!$E:$E,2))</f>
        <v>0</v>
      </c>
      <c r="AG11" s="225">
        <f xml:space="preserve">
IF($A$4&lt;=12,SUMIFS('ON Data'!AK:AK,'ON Data'!$D:$D,$A$4,'ON Data'!$E:$E,2),SUMIFS('ON Data'!AK:AK,'ON Data'!$E:$E,2))</f>
        <v>0</v>
      </c>
      <c r="AH11" s="225">
        <f xml:space="preserve">
IF($A$4&lt;=12,SUMIFS('ON Data'!AL:AL,'ON Data'!$D:$D,$A$4,'ON Data'!$E:$E,2),SUMIFS('ON Data'!AL:AL,'ON Data'!$E:$E,2))</f>
        <v>0</v>
      </c>
      <c r="AI11" s="225">
        <f xml:space="preserve">
IF($A$4&lt;=12,SUMIFS('ON Data'!AM:AM,'ON Data'!$D:$D,$A$4,'ON Data'!$E:$E,2),SUMIFS('ON Data'!AM:AM,'ON Data'!$E:$E,2))</f>
        <v>0</v>
      </c>
      <c r="AJ11" s="225">
        <f xml:space="preserve">
IF($A$4&lt;=12,SUMIFS('ON Data'!AN:AN,'ON Data'!$D:$D,$A$4,'ON Data'!$E:$E,2),SUMIFS('ON Data'!AN:AN,'ON Data'!$E:$E,2))</f>
        <v>0</v>
      </c>
      <c r="AK11" s="225">
        <f xml:space="preserve">
IF($A$4&lt;=12,SUMIFS('ON Data'!AO:AO,'ON Data'!$D:$D,$A$4,'ON Data'!$E:$E,2),SUMIFS('ON Data'!AO:AO,'ON Data'!$E:$E,2))</f>
        <v>0</v>
      </c>
      <c r="AL11" s="225">
        <f xml:space="preserve">
IF($A$4&lt;=12,SUMIFS('ON Data'!AP:AP,'ON Data'!$D:$D,$A$4,'ON Data'!$E:$E,2),SUMIFS('ON Data'!AP:AP,'ON Data'!$E:$E,2))</f>
        <v>0</v>
      </c>
      <c r="AM11" s="225">
        <f xml:space="preserve">
IF($A$4&lt;=12,SUMIFS('ON Data'!AQ:AQ,'ON Data'!$D:$D,$A$4,'ON Data'!$E:$E,2),SUMIFS('ON Data'!AQ:AQ,'ON Data'!$E:$E,2))</f>
        <v>0</v>
      </c>
      <c r="AN11" s="224">
        <f xml:space="preserve">
IF($A$4&lt;=12,SUMIFS('ON Data'!AR:AR,'ON Data'!$D:$D,$A$4,'ON Data'!$E:$E,2),SUMIFS('ON Data'!AR:AR,'ON Data'!$E:$E,2))</f>
        <v>0</v>
      </c>
      <c r="AO11" s="225">
        <f xml:space="preserve">
IF($A$4&lt;=12,SUMIFS('ON Data'!AS:AS,'ON Data'!$D:$D,$A$4,'ON Data'!$E:$E,2),SUMIFS('ON Data'!AS:AS,'ON Data'!$E:$E,2))</f>
        <v>0</v>
      </c>
      <c r="AP11" s="225">
        <f xml:space="preserve">
IF($A$4&lt;=12,SUMIFS('ON Data'!AT:AT,'ON Data'!$D:$D,$A$4,'ON Data'!$E:$E,2),SUMIFS('ON Data'!AT:AT,'ON Data'!$E:$E,2))</f>
        <v>0</v>
      </c>
      <c r="AQ11" s="225">
        <f xml:space="preserve">
IF($A$4&lt;=12,SUMIFS('ON Data'!AU:AU,'ON Data'!$D:$D,$A$4,'ON Data'!$E:$E,2),SUMIFS('ON Data'!AU:AU,'ON Data'!$E:$E,2))</f>
        <v>0</v>
      </c>
      <c r="AR11" s="225">
        <f xml:space="preserve">
IF($A$4&lt;=12,SUMIFS('ON Data'!AV:AV,'ON Data'!$D:$D,$A$4,'ON Data'!$E:$E,2),SUMIFS('ON Data'!AV:AV,'ON Data'!$E:$E,2))</f>
        <v>0</v>
      </c>
      <c r="AS11" s="446">
        <f xml:space="preserve">
IF($A$4&lt;=12,SUMIFS('ON Data'!AW:AW,'ON Data'!$D:$D,$A$4,'ON Data'!$E:$E,2),SUMIFS('ON Data'!AW:AW,'ON Data'!$E:$E,2))</f>
        <v>0</v>
      </c>
      <c r="AT11" s="455"/>
    </row>
    <row r="12" spans="1:46" x14ac:dyDescent="0.3">
      <c r="A12" s="206" t="s">
        <v>141</v>
      </c>
      <c r="B12" s="223">
        <f xml:space="preserve">
IF($A$4&lt;=12,SUMIFS('ON Data'!F:F,'ON Data'!$D:$D,$A$4,'ON Data'!$E:$E,3),SUMIFS('ON Data'!F:F,'ON Data'!$E:$E,3))</f>
        <v>0</v>
      </c>
      <c r="C12" s="224">
        <f xml:space="preserve">
IF($A$4&lt;=12,SUMIFS('ON Data'!G:G,'ON Data'!$D:$D,$A$4,'ON Data'!$E:$E,3),SUMIFS('ON Data'!G:G,'ON Data'!$E:$E,3))</f>
        <v>0</v>
      </c>
      <c r="D12" s="225">
        <f xml:space="preserve">
IF($A$4&lt;=12,SUMIFS('ON Data'!H:H,'ON Data'!$D:$D,$A$4,'ON Data'!$E:$E,3),SUMIFS('ON Data'!H:H,'ON Data'!$E:$E,3))</f>
        <v>0</v>
      </c>
      <c r="E12" s="225"/>
      <c r="F12" s="225">
        <f xml:space="preserve">
IF($A$4&lt;=12,SUMIFS('ON Data'!J:J,'ON Data'!$D:$D,$A$4,'ON Data'!$E:$E,3),SUMIFS('ON Data'!J:J,'ON Data'!$E:$E,3))</f>
        <v>0</v>
      </c>
      <c r="G12" s="225">
        <f xml:space="preserve">
IF($A$4&lt;=12,SUMIFS('ON Data'!K:K,'ON Data'!$D:$D,$A$4,'ON Data'!$E:$E,3),SUMIFS('ON Data'!K:K,'ON Data'!$E:$E,3))</f>
        <v>0</v>
      </c>
      <c r="H12" s="225">
        <f xml:space="preserve">
IF($A$4&lt;=12,SUMIFS('ON Data'!L:L,'ON Data'!$D:$D,$A$4,'ON Data'!$E:$E,3),SUMIFS('ON Data'!L:L,'ON Data'!$E:$E,3))</f>
        <v>0</v>
      </c>
      <c r="I12" s="225">
        <f xml:space="preserve">
IF($A$4&lt;=12,SUMIFS('ON Data'!M:M,'ON Data'!$D:$D,$A$4,'ON Data'!$E:$E,3),SUMIFS('ON Data'!M:M,'ON Data'!$E:$E,3))</f>
        <v>0</v>
      </c>
      <c r="J12" s="225">
        <f xml:space="preserve">
IF($A$4&lt;=12,SUMIFS('ON Data'!N:N,'ON Data'!$D:$D,$A$4,'ON Data'!$E:$E,3),SUMIFS('ON Data'!N:N,'ON Data'!$E:$E,3))</f>
        <v>0</v>
      </c>
      <c r="K12" s="225">
        <f xml:space="preserve">
IF($A$4&lt;=12,SUMIFS('ON Data'!O:O,'ON Data'!$D:$D,$A$4,'ON Data'!$E:$E,3),SUMIFS('ON Data'!O:O,'ON Data'!$E:$E,3))</f>
        <v>0</v>
      </c>
      <c r="L12" s="225">
        <f xml:space="preserve">
IF($A$4&lt;=12,SUMIFS('ON Data'!P:P,'ON Data'!$D:$D,$A$4,'ON Data'!$E:$E,3),SUMIFS('ON Data'!P:P,'ON Data'!$E:$E,3))</f>
        <v>0</v>
      </c>
      <c r="M12" s="225">
        <f xml:space="preserve">
IF($A$4&lt;=12,SUMIFS('ON Data'!Q:Q,'ON Data'!$D:$D,$A$4,'ON Data'!$E:$E,3),SUMIFS('ON Data'!Q:Q,'ON Data'!$E:$E,3))</f>
        <v>0</v>
      </c>
      <c r="N12" s="225">
        <f xml:space="preserve">
IF($A$4&lt;=12,SUMIFS('ON Data'!R:R,'ON Data'!$D:$D,$A$4,'ON Data'!$E:$E,3),SUMIFS('ON Data'!R:R,'ON Data'!$E:$E,3))</f>
        <v>0</v>
      </c>
      <c r="O12" s="225">
        <f xml:space="preserve">
IF($A$4&lt;=12,SUMIFS('ON Data'!S:S,'ON Data'!$D:$D,$A$4,'ON Data'!$E:$E,3),SUMIFS('ON Data'!S:S,'ON Data'!$E:$E,3))</f>
        <v>0</v>
      </c>
      <c r="P12" s="225">
        <f xml:space="preserve">
IF($A$4&lt;=12,SUMIFS('ON Data'!T:T,'ON Data'!$D:$D,$A$4,'ON Data'!$E:$E,3),SUMIFS('ON Data'!T:T,'ON Data'!$E:$E,3))</f>
        <v>0</v>
      </c>
      <c r="Q12" s="225">
        <f xml:space="preserve">
IF($A$4&lt;=12,SUMIFS('ON Data'!U:U,'ON Data'!$D:$D,$A$4,'ON Data'!$E:$E,3),SUMIFS('ON Data'!U:U,'ON Data'!$E:$E,3))</f>
        <v>0</v>
      </c>
      <c r="R12" s="225">
        <f xml:space="preserve">
IF($A$4&lt;=12,SUMIFS('ON Data'!V:V,'ON Data'!$D:$D,$A$4,'ON Data'!$E:$E,3),SUMIFS('ON Data'!V:V,'ON Data'!$E:$E,3))</f>
        <v>0</v>
      </c>
      <c r="S12" s="225">
        <f xml:space="preserve">
IF($A$4&lt;=12,SUMIFS('ON Data'!W:W,'ON Data'!$D:$D,$A$4,'ON Data'!$E:$E,3),SUMIFS('ON Data'!W:W,'ON Data'!$E:$E,3))</f>
        <v>0</v>
      </c>
      <c r="T12" s="225">
        <f xml:space="preserve">
IF($A$4&lt;=12,SUMIFS('ON Data'!X:X,'ON Data'!$D:$D,$A$4,'ON Data'!$E:$E,3),SUMIFS('ON Data'!X:X,'ON Data'!$E:$E,3))</f>
        <v>0</v>
      </c>
      <c r="U12" s="225">
        <f xml:space="preserve">
IF($A$4&lt;=12,SUMIFS('ON Data'!Y:Y,'ON Data'!$D:$D,$A$4,'ON Data'!$E:$E,3),SUMIFS('ON Data'!Y:Y,'ON Data'!$E:$E,3))</f>
        <v>0</v>
      </c>
      <c r="V12" s="225">
        <f xml:space="preserve">
IF($A$4&lt;=12,SUMIFS('ON Data'!Z:Z,'ON Data'!$D:$D,$A$4,'ON Data'!$E:$E,3),SUMIFS('ON Data'!Z:Z,'ON Data'!$E:$E,3))</f>
        <v>0</v>
      </c>
      <c r="W12" s="225">
        <f xml:space="preserve">
IF($A$4&lt;=12,SUMIFS('ON Data'!AA:AA,'ON Data'!$D:$D,$A$4,'ON Data'!$E:$E,3),SUMIFS('ON Data'!AA:AA,'ON Data'!$E:$E,3))</f>
        <v>0</v>
      </c>
      <c r="X12" s="225">
        <f xml:space="preserve">
IF($A$4&lt;=12,SUMIFS('ON Data'!AB:AB,'ON Data'!$D:$D,$A$4,'ON Data'!$E:$E,3),SUMIFS('ON Data'!AB:AB,'ON Data'!$E:$E,3))</f>
        <v>0</v>
      </c>
      <c r="Y12" s="225">
        <f xml:space="preserve">
IF($A$4&lt;=12,SUMIFS('ON Data'!AC:AC,'ON Data'!$D:$D,$A$4,'ON Data'!$E:$E,3),SUMIFS('ON Data'!AC:AC,'ON Data'!$E:$E,3))</f>
        <v>0</v>
      </c>
      <c r="Z12" s="225">
        <f xml:space="preserve">
IF($A$4&lt;=12,SUMIFS('ON Data'!AD:AD,'ON Data'!$D:$D,$A$4,'ON Data'!$E:$E,3),SUMIFS('ON Data'!AD:AD,'ON Data'!$E:$E,3))</f>
        <v>0</v>
      </c>
      <c r="AA12" s="225"/>
      <c r="AB12" s="225">
        <f xml:space="preserve">
IF($A$4&lt;=12,SUMIFS('ON Data'!AF:AF,'ON Data'!$D:$D,$A$4,'ON Data'!$E:$E,3),SUMIFS('ON Data'!AF:AF,'ON Data'!$E:$E,3))</f>
        <v>0</v>
      </c>
      <c r="AC12" s="225">
        <f xml:space="preserve">
IF($A$4&lt;=12,SUMIFS('ON Data'!AG:AG,'ON Data'!$D:$D,$A$4,'ON Data'!$E:$E,3),SUMIFS('ON Data'!AG:AG,'ON Data'!$E:$E,3))</f>
        <v>0</v>
      </c>
      <c r="AD12" s="225">
        <f xml:space="preserve">
IF($A$4&lt;=12,SUMIFS('ON Data'!AH:AH,'ON Data'!$D:$D,$A$4,'ON Data'!$E:$E,3),SUMIFS('ON Data'!AH:AH,'ON Data'!$E:$E,3))</f>
        <v>0</v>
      </c>
      <c r="AE12" s="225">
        <f xml:space="preserve">
IF($A$4&lt;=12,SUMIFS('ON Data'!AI:AI,'ON Data'!$D:$D,$A$4,'ON Data'!$E:$E,3),SUMIFS('ON Data'!AI:AI,'ON Data'!$E:$E,3))</f>
        <v>0</v>
      </c>
      <c r="AF12" s="225">
        <f xml:space="preserve">
IF($A$4&lt;=12,SUMIFS('ON Data'!AJ:AJ,'ON Data'!$D:$D,$A$4,'ON Data'!$E:$E,3),SUMIFS('ON Data'!AJ:AJ,'ON Data'!$E:$E,3))</f>
        <v>0</v>
      </c>
      <c r="AG12" s="225">
        <f xml:space="preserve">
IF($A$4&lt;=12,SUMIFS('ON Data'!AK:AK,'ON Data'!$D:$D,$A$4,'ON Data'!$E:$E,3),SUMIFS('ON Data'!AK:AK,'ON Data'!$E:$E,3))</f>
        <v>0</v>
      </c>
      <c r="AH12" s="225">
        <f xml:space="preserve">
IF($A$4&lt;=12,SUMIFS('ON Data'!AL:AL,'ON Data'!$D:$D,$A$4,'ON Data'!$E:$E,3),SUMIFS('ON Data'!AL:AL,'ON Data'!$E:$E,3))</f>
        <v>0</v>
      </c>
      <c r="AI12" s="225">
        <f xml:space="preserve">
IF($A$4&lt;=12,SUMIFS('ON Data'!AM:AM,'ON Data'!$D:$D,$A$4,'ON Data'!$E:$E,3),SUMIFS('ON Data'!AM:AM,'ON Data'!$E:$E,3))</f>
        <v>0</v>
      </c>
      <c r="AJ12" s="225">
        <f xml:space="preserve">
IF($A$4&lt;=12,SUMIFS('ON Data'!AN:AN,'ON Data'!$D:$D,$A$4,'ON Data'!$E:$E,3),SUMIFS('ON Data'!AN:AN,'ON Data'!$E:$E,3))</f>
        <v>0</v>
      </c>
      <c r="AK12" s="225">
        <f xml:space="preserve">
IF($A$4&lt;=12,SUMIFS('ON Data'!AO:AO,'ON Data'!$D:$D,$A$4,'ON Data'!$E:$E,3),SUMIFS('ON Data'!AO:AO,'ON Data'!$E:$E,3))</f>
        <v>0</v>
      </c>
      <c r="AL12" s="225">
        <f xml:space="preserve">
IF($A$4&lt;=12,SUMIFS('ON Data'!AP:AP,'ON Data'!$D:$D,$A$4,'ON Data'!$E:$E,3),SUMIFS('ON Data'!AP:AP,'ON Data'!$E:$E,3))</f>
        <v>0</v>
      </c>
      <c r="AM12" s="225">
        <f xml:space="preserve">
IF($A$4&lt;=12,SUMIFS('ON Data'!AQ:AQ,'ON Data'!$D:$D,$A$4,'ON Data'!$E:$E,3),SUMIFS('ON Data'!AQ:AQ,'ON Data'!$E:$E,3))</f>
        <v>0</v>
      </c>
      <c r="AN12" s="224">
        <f xml:space="preserve">
IF($A$4&lt;=12,SUMIFS('ON Data'!AR:AR,'ON Data'!$D:$D,$A$4,'ON Data'!$E:$E,3),SUMIFS('ON Data'!AR:AR,'ON Data'!$E:$E,3))</f>
        <v>0</v>
      </c>
      <c r="AO12" s="225">
        <f xml:space="preserve">
IF($A$4&lt;=12,SUMIFS('ON Data'!AS:AS,'ON Data'!$D:$D,$A$4,'ON Data'!$E:$E,3),SUMIFS('ON Data'!AS:AS,'ON Data'!$E:$E,3))</f>
        <v>0</v>
      </c>
      <c r="AP12" s="225">
        <f xml:space="preserve">
IF($A$4&lt;=12,SUMIFS('ON Data'!AT:AT,'ON Data'!$D:$D,$A$4,'ON Data'!$E:$E,3),SUMIFS('ON Data'!AT:AT,'ON Data'!$E:$E,3))</f>
        <v>0</v>
      </c>
      <c r="AQ12" s="225">
        <f xml:space="preserve">
IF($A$4&lt;=12,SUMIFS('ON Data'!AU:AU,'ON Data'!$D:$D,$A$4,'ON Data'!$E:$E,3),SUMIFS('ON Data'!AU:AU,'ON Data'!$E:$E,3))</f>
        <v>0</v>
      </c>
      <c r="AR12" s="225">
        <f xml:space="preserve">
IF($A$4&lt;=12,SUMIFS('ON Data'!AV:AV,'ON Data'!$D:$D,$A$4,'ON Data'!$E:$E,3),SUMIFS('ON Data'!AV:AV,'ON Data'!$E:$E,3))</f>
        <v>0</v>
      </c>
      <c r="AS12" s="446">
        <f xml:space="preserve">
IF($A$4&lt;=12,SUMIFS('ON Data'!AW:AW,'ON Data'!$D:$D,$A$4,'ON Data'!$E:$E,3),SUMIFS('ON Data'!AW:AW,'ON Data'!$E:$E,3))</f>
        <v>0</v>
      </c>
      <c r="AT12" s="455"/>
    </row>
    <row r="13" spans="1:46" x14ac:dyDescent="0.3">
      <c r="A13" s="206" t="s">
        <v>148</v>
      </c>
      <c r="B13" s="223">
        <f xml:space="preserve">
IF($A$4&lt;=12,SUMIFS('ON Data'!F:F,'ON Data'!$D:$D,$A$4,'ON Data'!$E:$E,4),SUMIFS('ON Data'!F:F,'ON Data'!$E:$E,4))</f>
        <v>0</v>
      </c>
      <c r="C13" s="224">
        <f xml:space="preserve">
IF($A$4&lt;=12,SUMIFS('ON Data'!G:G,'ON Data'!$D:$D,$A$4,'ON Data'!$E:$E,4),SUMIFS('ON Data'!G:G,'ON Data'!$E:$E,4))</f>
        <v>0</v>
      </c>
      <c r="D13" s="225">
        <f xml:space="preserve">
IF($A$4&lt;=12,SUMIFS('ON Data'!H:H,'ON Data'!$D:$D,$A$4,'ON Data'!$E:$E,4),SUMIFS('ON Data'!H:H,'ON Data'!$E:$E,4))</f>
        <v>0</v>
      </c>
      <c r="E13" s="225"/>
      <c r="F13" s="225">
        <f xml:space="preserve">
IF($A$4&lt;=12,SUMIFS('ON Data'!J:J,'ON Data'!$D:$D,$A$4,'ON Data'!$E:$E,4),SUMIFS('ON Data'!J:J,'ON Data'!$E:$E,4))</f>
        <v>0</v>
      </c>
      <c r="G13" s="225">
        <f xml:space="preserve">
IF($A$4&lt;=12,SUMIFS('ON Data'!K:K,'ON Data'!$D:$D,$A$4,'ON Data'!$E:$E,4),SUMIFS('ON Data'!K:K,'ON Data'!$E:$E,4))</f>
        <v>0</v>
      </c>
      <c r="H13" s="225">
        <f xml:space="preserve">
IF($A$4&lt;=12,SUMIFS('ON Data'!L:L,'ON Data'!$D:$D,$A$4,'ON Data'!$E:$E,4),SUMIFS('ON Data'!L:L,'ON Data'!$E:$E,4))</f>
        <v>0</v>
      </c>
      <c r="I13" s="225">
        <f xml:space="preserve">
IF($A$4&lt;=12,SUMIFS('ON Data'!M:M,'ON Data'!$D:$D,$A$4,'ON Data'!$E:$E,4),SUMIFS('ON Data'!M:M,'ON Data'!$E:$E,4))</f>
        <v>0</v>
      </c>
      <c r="J13" s="225">
        <f xml:space="preserve">
IF($A$4&lt;=12,SUMIFS('ON Data'!N:N,'ON Data'!$D:$D,$A$4,'ON Data'!$E:$E,4),SUMIFS('ON Data'!N:N,'ON Data'!$E:$E,4))</f>
        <v>0</v>
      </c>
      <c r="K13" s="225">
        <f xml:space="preserve">
IF($A$4&lt;=12,SUMIFS('ON Data'!O:O,'ON Data'!$D:$D,$A$4,'ON Data'!$E:$E,4),SUMIFS('ON Data'!O:O,'ON Data'!$E:$E,4))</f>
        <v>0</v>
      </c>
      <c r="L13" s="225">
        <f xml:space="preserve">
IF($A$4&lt;=12,SUMIFS('ON Data'!P:P,'ON Data'!$D:$D,$A$4,'ON Data'!$E:$E,4),SUMIFS('ON Data'!P:P,'ON Data'!$E:$E,4))</f>
        <v>0</v>
      </c>
      <c r="M13" s="225">
        <f xml:space="preserve">
IF($A$4&lt;=12,SUMIFS('ON Data'!Q:Q,'ON Data'!$D:$D,$A$4,'ON Data'!$E:$E,4),SUMIFS('ON Data'!Q:Q,'ON Data'!$E:$E,4))</f>
        <v>0</v>
      </c>
      <c r="N13" s="225">
        <f xml:space="preserve">
IF($A$4&lt;=12,SUMIFS('ON Data'!R:R,'ON Data'!$D:$D,$A$4,'ON Data'!$E:$E,4),SUMIFS('ON Data'!R:R,'ON Data'!$E:$E,4))</f>
        <v>0</v>
      </c>
      <c r="O13" s="225">
        <f xml:space="preserve">
IF($A$4&lt;=12,SUMIFS('ON Data'!S:S,'ON Data'!$D:$D,$A$4,'ON Data'!$E:$E,4),SUMIFS('ON Data'!S:S,'ON Data'!$E:$E,4))</f>
        <v>0</v>
      </c>
      <c r="P13" s="225">
        <f xml:space="preserve">
IF($A$4&lt;=12,SUMIFS('ON Data'!T:T,'ON Data'!$D:$D,$A$4,'ON Data'!$E:$E,4),SUMIFS('ON Data'!T:T,'ON Data'!$E:$E,4))</f>
        <v>0</v>
      </c>
      <c r="Q13" s="225">
        <f xml:space="preserve">
IF($A$4&lt;=12,SUMIFS('ON Data'!U:U,'ON Data'!$D:$D,$A$4,'ON Data'!$E:$E,4),SUMIFS('ON Data'!U:U,'ON Data'!$E:$E,4))</f>
        <v>0</v>
      </c>
      <c r="R13" s="225">
        <f xml:space="preserve">
IF($A$4&lt;=12,SUMIFS('ON Data'!V:V,'ON Data'!$D:$D,$A$4,'ON Data'!$E:$E,4),SUMIFS('ON Data'!V:V,'ON Data'!$E:$E,4))</f>
        <v>0</v>
      </c>
      <c r="S13" s="225">
        <f xml:space="preserve">
IF($A$4&lt;=12,SUMIFS('ON Data'!W:W,'ON Data'!$D:$D,$A$4,'ON Data'!$E:$E,4),SUMIFS('ON Data'!W:W,'ON Data'!$E:$E,4))</f>
        <v>0</v>
      </c>
      <c r="T13" s="225">
        <f xml:space="preserve">
IF($A$4&lt;=12,SUMIFS('ON Data'!X:X,'ON Data'!$D:$D,$A$4,'ON Data'!$E:$E,4),SUMIFS('ON Data'!X:X,'ON Data'!$E:$E,4))</f>
        <v>0</v>
      </c>
      <c r="U13" s="225">
        <f xml:space="preserve">
IF($A$4&lt;=12,SUMIFS('ON Data'!Y:Y,'ON Data'!$D:$D,$A$4,'ON Data'!$E:$E,4),SUMIFS('ON Data'!Y:Y,'ON Data'!$E:$E,4))</f>
        <v>0</v>
      </c>
      <c r="V13" s="225">
        <f xml:space="preserve">
IF($A$4&lt;=12,SUMIFS('ON Data'!Z:Z,'ON Data'!$D:$D,$A$4,'ON Data'!$E:$E,4),SUMIFS('ON Data'!Z:Z,'ON Data'!$E:$E,4))</f>
        <v>0</v>
      </c>
      <c r="W13" s="225">
        <f xml:space="preserve">
IF($A$4&lt;=12,SUMIFS('ON Data'!AA:AA,'ON Data'!$D:$D,$A$4,'ON Data'!$E:$E,4),SUMIFS('ON Data'!AA:AA,'ON Data'!$E:$E,4))</f>
        <v>0</v>
      </c>
      <c r="X13" s="225">
        <f xml:space="preserve">
IF($A$4&lt;=12,SUMIFS('ON Data'!AB:AB,'ON Data'!$D:$D,$A$4,'ON Data'!$E:$E,4),SUMIFS('ON Data'!AB:AB,'ON Data'!$E:$E,4))</f>
        <v>0</v>
      </c>
      <c r="Y13" s="225">
        <f xml:space="preserve">
IF($A$4&lt;=12,SUMIFS('ON Data'!AC:AC,'ON Data'!$D:$D,$A$4,'ON Data'!$E:$E,4),SUMIFS('ON Data'!AC:AC,'ON Data'!$E:$E,4))</f>
        <v>0</v>
      </c>
      <c r="Z13" s="225">
        <f xml:space="preserve">
IF($A$4&lt;=12,SUMIFS('ON Data'!AD:AD,'ON Data'!$D:$D,$A$4,'ON Data'!$E:$E,4),SUMIFS('ON Data'!AD:AD,'ON Data'!$E:$E,4))</f>
        <v>0</v>
      </c>
      <c r="AA13" s="225"/>
      <c r="AB13" s="225">
        <f xml:space="preserve">
IF($A$4&lt;=12,SUMIFS('ON Data'!AF:AF,'ON Data'!$D:$D,$A$4,'ON Data'!$E:$E,4),SUMIFS('ON Data'!AF:AF,'ON Data'!$E:$E,4))</f>
        <v>0</v>
      </c>
      <c r="AC13" s="225">
        <f xml:space="preserve">
IF($A$4&lt;=12,SUMIFS('ON Data'!AG:AG,'ON Data'!$D:$D,$A$4,'ON Data'!$E:$E,4),SUMIFS('ON Data'!AG:AG,'ON Data'!$E:$E,4))</f>
        <v>0</v>
      </c>
      <c r="AD13" s="225">
        <f xml:space="preserve">
IF($A$4&lt;=12,SUMIFS('ON Data'!AH:AH,'ON Data'!$D:$D,$A$4,'ON Data'!$E:$E,4),SUMIFS('ON Data'!AH:AH,'ON Data'!$E:$E,4))</f>
        <v>0</v>
      </c>
      <c r="AE13" s="225">
        <f xml:space="preserve">
IF($A$4&lt;=12,SUMIFS('ON Data'!AI:AI,'ON Data'!$D:$D,$A$4,'ON Data'!$E:$E,4),SUMIFS('ON Data'!AI:AI,'ON Data'!$E:$E,4))</f>
        <v>0</v>
      </c>
      <c r="AF13" s="225">
        <f xml:space="preserve">
IF($A$4&lt;=12,SUMIFS('ON Data'!AJ:AJ,'ON Data'!$D:$D,$A$4,'ON Data'!$E:$E,4),SUMIFS('ON Data'!AJ:AJ,'ON Data'!$E:$E,4))</f>
        <v>0</v>
      </c>
      <c r="AG13" s="225">
        <f xml:space="preserve">
IF($A$4&lt;=12,SUMIFS('ON Data'!AK:AK,'ON Data'!$D:$D,$A$4,'ON Data'!$E:$E,4),SUMIFS('ON Data'!AK:AK,'ON Data'!$E:$E,4))</f>
        <v>0</v>
      </c>
      <c r="AH13" s="225">
        <f xml:space="preserve">
IF($A$4&lt;=12,SUMIFS('ON Data'!AL:AL,'ON Data'!$D:$D,$A$4,'ON Data'!$E:$E,4),SUMIFS('ON Data'!AL:AL,'ON Data'!$E:$E,4))</f>
        <v>0</v>
      </c>
      <c r="AI13" s="225">
        <f xml:space="preserve">
IF($A$4&lt;=12,SUMIFS('ON Data'!AM:AM,'ON Data'!$D:$D,$A$4,'ON Data'!$E:$E,4),SUMIFS('ON Data'!AM:AM,'ON Data'!$E:$E,4))</f>
        <v>0</v>
      </c>
      <c r="AJ13" s="225">
        <f xml:space="preserve">
IF($A$4&lt;=12,SUMIFS('ON Data'!AN:AN,'ON Data'!$D:$D,$A$4,'ON Data'!$E:$E,4),SUMIFS('ON Data'!AN:AN,'ON Data'!$E:$E,4))</f>
        <v>0</v>
      </c>
      <c r="AK13" s="225">
        <f xml:space="preserve">
IF($A$4&lt;=12,SUMIFS('ON Data'!AO:AO,'ON Data'!$D:$D,$A$4,'ON Data'!$E:$E,4),SUMIFS('ON Data'!AO:AO,'ON Data'!$E:$E,4))</f>
        <v>0</v>
      </c>
      <c r="AL13" s="225">
        <f xml:space="preserve">
IF($A$4&lt;=12,SUMIFS('ON Data'!AP:AP,'ON Data'!$D:$D,$A$4,'ON Data'!$E:$E,4),SUMIFS('ON Data'!AP:AP,'ON Data'!$E:$E,4))</f>
        <v>0</v>
      </c>
      <c r="AM13" s="225">
        <f xml:space="preserve">
IF($A$4&lt;=12,SUMIFS('ON Data'!AQ:AQ,'ON Data'!$D:$D,$A$4,'ON Data'!$E:$E,4),SUMIFS('ON Data'!AQ:AQ,'ON Data'!$E:$E,4))</f>
        <v>0</v>
      </c>
      <c r="AN13" s="224">
        <f xml:space="preserve">
IF($A$4&lt;=12,SUMIFS('ON Data'!AR:AR,'ON Data'!$D:$D,$A$4,'ON Data'!$E:$E,4),SUMIFS('ON Data'!AR:AR,'ON Data'!$E:$E,4))</f>
        <v>0</v>
      </c>
      <c r="AO13" s="225">
        <f xml:space="preserve">
IF($A$4&lt;=12,SUMIFS('ON Data'!AS:AS,'ON Data'!$D:$D,$A$4,'ON Data'!$E:$E,4),SUMIFS('ON Data'!AS:AS,'ON Data'!$E:$E,4))</f>
        <v>0</v>
      </c>
      <c r="AP13" s="225">
        <f xml:space="preserve">
IF($A$4&lt;=12,SUMIFS('ON Data'!AT:AT,'ON Data'!$D:$D,$A$4,'ON Data'!$E:$E,4),SUMIFS('ON Data'!AT:AT,'ON Data'!$E:$E,4))</f>
        <v>0</v>
      </c>
      <c r="AQ13" s="225">
        <f xml:space="preserve">
IF($A$4&lt;=12,SUMIFS('ON Data'!AU:AU,'ON Data'!$D:$D,$A$4,'ON Data'!$E:$E,4),SUMIFS('ON Data'!AU:AU,'ON Data'!$E:$E,4))</f>
        <v>0</v>
      </c>
      <c r="AR13" s="225">
        <f xml:space="preserve">
IF($A$4&lt;=12,SUMIFS('ON Data'!AV:AV,'ON Data'!$D:$D,$A$4,'ON Data'!$E:$E,4),SUMIFS('ON Data'!AV:AV,'ON Data'!$E:$E,4))</f>
        <v>0</v>
      </c>
      <c r="AS13" s="446">
        <f xml:space="preserve">
IF($A$4&lt;=12,SUMIFS('ON Data'!AW:AW,'ON Data'!$D:$D,$A$4,'ON Data'!$E:$E,4),SUMIFS('ON Data'!AW:AW,'ON Data'!$E:$E,4))</f>
        <v>0</v>
      </c>
      <c r="AT13" s="455"/>
    </row>
    <row r="14" spans="1:46" ht="15" thickBot="1" x14ac:dyDescent="0.35">
      <c r="A14" s="207" t="s">
        <v>142</v>
      </c>
      <c r="B14" s="227">
        <f xml:space="preserve">
IF($A$4&lt;=12,SUMIFS('ON Data'!F:F,'ON Data'!$D:$D,$A$4,'ON Data'!$E:$E,5),SUMIFS('ON Data'!F:F,'ON Data'!$E:$E,5))</f>
        <v>0</v>
      </c>
      <c r="C14" s="228">
        <f xml:space="preserve">
IF($A$4&lt;=12,SUMIFS('ON Data'!G:G,'ON Data'!$D:$D,$A$4,'ON Data'!$E:$E,5),SUMIFS('ON Data'!G:G,'ON Data'!$E:$E,5))</f>
        <v>0</v>
      </c>
      <c r="D14" s="229">
        <f xml:space="preserve">
IF($A$4&lt;=12,SUMIFS('ON Data'!H:H,'ON Data'!$D:$D,$A$4,'ON Data'!$E:$E,5),SUMIFS('ON Data'!H:H,'ON Data'!$E:$E,5))</f>
        <v>0</v>
      </c>
      <c r="E14" s="229"/>
      <c r="F14" s="229">
        <f xml:space="preserve">
IF($A$4&lt;=12,SUMIFS('ON Data'!J:J,'ON Data'!$D:$D,$A$4,'ON Data'!$E:$E,5),SUMIFS('ON Data'!J:J,'ON Data'!$E:$E,5))</f>
        <v>0</v>
      </c>
      <c r="G14" s="229">
        <f xml:space="preserve">
IF($A$4&lt;=12,SUMIFS('ON Data'!K:K,'ON Data'!$D:$D,$A$4,'ON Data'!$E:$E,5),SUMIFS('ON Data'!K:K,'ON Data'!$E:$E,5))</f>
        <v>0</v>
      </c>
      <c r="H14" s="229">
        <f xml:space="preserve">
IF($A$4&lt;=12,SUMIFS('ON Data'!L:L,'ON Data'!$D:$D,$A$4,'ON Data'!$E:$E,5),SUMIFS('ON Data'!L:L,'ON Data'!$E:$E,5))</f>
        <v>0</v>
      </c>
      <c r="I14" s="229">
        <f xml:space="preserve">
IF($A$4&lt;=12,SUMIFS('ON Data'!M:M,'ON Data'!$D:$D,$A$4,'ON Data'!$E:$E,5),SUMIFS('ON Data'!M:M,'ON Data'!$E:$E,5))</f>
        <v>0</v>
      </c>
      <c r="J14" s="229">
        <f xml:space="preserve">
IF($A$4&lt;=12,SUMIFS('ON Data'!N:N,'ON Data'!$D:$D,$A$4,'ON Data'!$E:$E,5),SUMIFS('ON Data'!N:N,'ON Data'!$E:$E,5))</f>
        <v>0</v>
      </c>
      <c r="K14" s="229">
        <f xml:space="preserve">
IF($A$4&lt;=12,SUMIFS('ON Data'!O:O,'ON Data'!$D:$D,$A$4,'ON Data'!$E:$E,5),SUMIFS('ON Data'!O:O,'ON Data'!$E:$E,5))</f>
        <v>0</v>
      </c>
      <c r="L14" s="229">
        <f xml:space="preserve">
IF($A$4&lt;=12,SUMIFS('ON Data'!P:P,'ON Data'!$D:$D,$A$4,'ON Data'!$E:$E,5),SUMIFS('ON Data'!P:P,'ON Data'!$E:$E,5))</f>
        <v>0</v>
      </c>
      <c r="M14" s="229">
        <f xml:space="preserve">
IF($A$4&lt;=12,SUMIFS('ON Data'!Q:Q,'ON Data'!$D:$D,$A$4,'ON Data'!$E:$E,5),SUMIFS('ON Data'!Q:Q,'ON Data'!$E:$E,5))</f>
        <v>0</v>
      </c>
      <c r="N14" s="229">
        <f xml:space="preserve">
IF($A$4&lt;=12,SUMIFS('ON Data'!R:R,'ON Data'!$D:$D,$A$4,'ON Data'!$E:$E,5),SUMIFS('ON Data'!R:R,'ON Data'!$E:$E,5))</f>
        <v>0</v>
      </c>
      <c r="O14" s="229">
        <f xml:space="preserve">
IF($A$4&lt;=12,SUMIFS('ON Data'!S:S,'ON Data'!$D:$D,$A$4,'ON Data'!$E:$E,5),SUMIFS('ON Data'!S:S,'ON Data'!$E:$E,5))</f>
        <v>0</v>
      </c>
      <c r="P14" s="229">
        <f xml:space="preserve">
IF($A$4&lt;=12,SUMIFS('ON Data'!T:T,'ON Data'!$D:$D,$A$4,'ON Data'!$E:$E,5),SUMIFS('ON Data'!T:T,'ON Data'!$E:$E,5))</f>
        <v>0</v>
      </c>
      <c r="Q14" s="229">
        <f xml:space="preserve">
IF($A$4&lt;=12,SUMIFS('ON Data'!U:U,'ON Data'!$D:$D,$A$4,'ON Data'!$E:$E,5),SUMIFS('ON Data'!U:U,'ON Data'!$E:$E,5))</f>
        <v>0</v>
      </c>
      <c r="R14" s="229">
        <f xml:space="preserve">
IF($A$4&lt;=12,SUMIFS('ON Data'!V:V,'ON Data'!$D:$D,$A$4,'ON Data'!$E:$E,5),SUMIFS('ON Data'!V:V,'ON Data'!$E:$E,5))</f>
        <v>0</v>
      </c>
      <c r="S14" s="229">
        <f xml:space="preserve">
IF($A$4&lt;=12,SUMIFS('ON Data'!W:W,'ON Data'!$D:$D,$A$4,'ON Data'!$E:$E,5),SUMIFS('ON Data'!W:W,'ON Data'!$E:$E,5))</f>
        <v>0</v>
      </c>
      <c r="T14" s="229">
        <f xml:space="preserve">
IF($A$4&lt;=12,SUMIFS('ON Data'!X:X,'ON Data'!$D:$D,$A$4,'ON Data'!$E:$E,5),SUMIFS('ON Data'!X:X,'ON Data'!$E:$E,5))</f>
        <v>0</v>
      </c>
      <c r="U14" s="229">
        <f xml:space="preserve">
IF($A$4&lt;=12,SUMIFS('ON Data'!Y:Y,'ON Data'!$D:$D,$A$4,'ON Data'!$E:$E,5),SUMIFS('ON Data'!Y:Y,'ON Data'!$E:$E,5))</f>
        <v>0</v>
      </c>
      <c r="V14" s="229">
        <f xml:space="preserve">
IF($A$4&lt;=12,SUMIFS('ON Data'!Z:Z,'ON Data'!$D:$D,$A$4,'ON Data'!$E:$E,5),SUMIFS('ON Data'!Z:Z,'ON Data'!$E:$E,5))</f>
        <v>0</v>
      </c>
      <c r="W14" s="229">
        <f xml:space="preserve">
IF($A$4&lt;=12,SUMIFS('ON Data'!AA:AA,'ON Data'!$D:$D,$A$4,'ON Data'!$E:$E,5),SUMIFS('ON Data'!AA:AA,'ON Data'!$E:$E,5))</f>
        <v>0</v>
      </c>
      <c r="X14" s="229">
        <f xml:space="preserve">
IF($A$4&lt;=12,SUMIFS('ON Data'!AB:AB,'ON Data'!$D:$D,$A$4,'ON Data'!$E:$E,5),SUMIFS('ON Data'!AB:AB,'ON Data'!$E:$E,5))</f>
        <v>0</v>
      </c>
      <c r="Y14" s="229">
        <f xml:space="preserve">
IF($A$4&lt;=12,SUMIFS('ON Data'!AC:AC,'ON Data'!$D:$D,$A$4,'ON Data'!$E:$E,5),SUMIFS('ON Data'!AC:AC,'ON Data'!$E:$E,5))</f>
        <v>0</v>
      </c>
      <c r="Z14" s="229">
        <f xml:space="preserve">
IF($A$4&lt;=12,SUMIFS('ON Data'!AD:AD,'ON Data'!$D:$D,$A$4,'ON Data'!$E:$E,5),SUMIFS('ON Data'!AD:AD,'ON Data'!$E:$E,5))</f>
        <v>0</v>
      </c>
      <c r="AA14" s="229"/>
      <c r="AB14" s="229">
        <f xml:space="preserve">
IF($A$4&lt;=12,SUMIFS('ON Data'!AF:AF,'ON Data'!$D:$D,$A$4,'ON Data'!$E:$E,5),SUMIFS('ON Data'!AF:AF,'ON Data'!$E:$E,5))</f>
        <v>0</v>
      </c>
      <c r="AC14" s="229">
        <f xml:space="preserve">
IF($A$4&lt;=12,SUMIFS('ON Data'!AG:AG,'ON Data'!$D:$D,$A$4,'ON Data'!$E:$E,5),SUMIFS('ON Data'!AG:AG,'ON Data'!$E:$E,5))</f>
        <v>0</v>
      </c>
      <c r="AD14" s="229">
        <f xml:space="preserve">
IF($A$4&lt;=12,SUMIFS('ON Data'!AH:AH,'ON Data'!$D:$D,$A$4,'ON Data'!$E:$E,5),SUMIFS('ON Data'!AH:AH,'ON Data'!$E:$E,5))</f>
        <v>0</v>
      </c>
      <c r="AE14" s="229">
        <f xml:space="preserve">
IF($A$4&lt;=12,SUMIFS('ON Data'!AI:AI,'ON Data'!$D:$D,$A$4,'ON Data'!$E:$E,5),SUMIFS('ON Data'!AI:AI,'ON Data'!$E:$E,5))</f>
        <v>0</v>
      </c>
      <c r="AF14" s="229">
        <f xml:space="preserve">
IF($A$4&lt;=12,SUMIFS('ON Data'!AJ:AJ,'ON Data'!$D:$D,$A$4,'ON Data'!$E:$E,5),SUMIFS('ON Data'!AJ:AJ,'ON Data'!$E:$E,5))</f>
        <v>0</v>
      </c>
      <c r="AG14" s="229">
        <f xml:space="preserve">
IF($A$4&lt;=12,SUMIFS('ON Data'!AK:AK,'ON Data'!$D:$D,$A$4,'ON Data'!$E:$E,5),SUMIFS('ON Data'!AK:AK,'ON Data'!$E:$E,5))</f>
        <v>0</v>
      </c>
      <c r="AH14" s="229">
        <f xml:space="preserve">
IF($A$4&lt;=12,SUMIFS('ON Data'!AL:AL,'ON Data'!$D:$D,$A$4,'ON Data'!$E:$E,5),SUMIFS('ON Data'!AL:AL,'ON Data'!$E:$E,5))</f>
        <v>0</v>
      </c>
      <c r="AI14" s="229">
        <f xml:space="preserve">
IF($A$4&lt;=12,SUMIFS('ON Data'!AM:AM,'ON Data'!$D:$D,$A$4,'ON Data'!$E:$E,5),SUMIFS('ON Data'!AM:AM,'ON Data'!$E:$E,5))</f>
        <v>0</v>
      </c>
      <c r="AJ14" s="229">
        <f xml:space="preserve">
IF($A$4&lt;=12,SUMIFS('ON Data'!AN:AN,'ON Data'!$D:$D,$A$4,'ON Data'!$E:$E,5),SUMIFS('ON Data'!AN:AN,'ON Data'!$E:$E,5))</f>
        <v>0</v>
      </c>
      <c r="AK14" s="229">
        <f xml:space="preserve">
IF($A$4&lt;=12,SUMIFS('ON Data'!AO:AO,'ON Data'!$D:$D,$A$4,'ON Data'!$E:$E,5),SUMIFS('ON Data'!AO:AO,'ON Data'!$E:$E,5))</f>
        <v>0</v>
      </c>
      <c r="AL14" s="229">
        <f xml:space="preserve">
IF($A$4&lt;=12,SUMIFS('ON Data'!AP:AP,'ON Data'!$D:$D,$A$4,'ON Data'!$E:$E,5),SUMIFS('ON Data'!AP:AP,'ON Data'!$E:$E,5))</f>
        <v>0</v>
      </c>
      <c r="AM14" s="229">
        <f xml:space="preserve">
IF($A$4&lt;=12,SUMIFS('ON Data'!AQ:AQ,'ON Data'!$D:$D,$A$4,'ON Data'!$E:$E,5),SUMIFS('ON Data'!AQ:AQ,'ON Data'!$E:$E,5))</f>
        <v>0</v>
      </c>
      <c r="AN14" s="228">
        <f xml:space="preserve">
IF($A$4&lt;=12,SUMIFS('ON Data'!AR:AR,'ON Data'!$D:$D,$A$4,'ON Data'!$E:$E,5),SUMIFS('ON Data'!AR:AR,'ON Data'!$E:$E,5))</f>
        <v>0</v>
      </c>
      <c r="AO14" s="229">
        <f xml:space="preserve">
IF($A$4&lt;=12,SUMIFS('ON Data'!AS:AS,'ON Data'!$D:$D,$A$4,'ON Data'!$E:$E,5),SUMIFS('ON Data'!AS:AS,'ON Data'!$E:$E,5))</f>
        <v>0</v>
      </c>
      <c r="AP14" s="229">
        <f xml:space="preserve">
IF($A$4&lt;=12,SUMIFS('ON Data'!AT:AT,'ON Data'!$D:$D,$A$4,'ON Data'!$E:$E,5),SUMIFS('ON Data'!AT:AT,'ON Data'!$E:$E,5))</f>
        <v>0</v>
      </c>
      <c r="AQ14" s="229">
        <f xml:space="preserve">
IF($A$4&lt;=12,SUMIFS('ON Data'!AU:AU,'ON Data'!$D:$D,$A$4,'ON Data'!$E:$E,5),SUMIFS('ON Data'!AU:AU,'ON Data'!$E:$E,5))</f>
        <v>0</v>
      </c>
      <c r="AR14" s="229">
        <f xml:space="preserve">
IF($A$4&lt;=12,SUMIFS('ON Data'!AV:AV,'ON Data'!$D:$D,$A$4,'ON Data'!$E:$E,5),SUMIFS('ON Data'!AV:AV,'ON Data'!$E:$E,5))</f>
        <v>0</v>
      </c>
      <c r="AS14" s="447">
        <f xml:space="preserve">
IF($A$4&lt;=12,SUMIFS('ON Data'!AW:AW,'ON Data'!$D:$D,$A$4,'ON Data'!$E:$E,5),SUMIFS('ON Data'!AW:AW,'ON Data'!$E:$E,5))</f>
        <v>0</v>
      </c>
      <c r="AT14" s="455"/>
    </row>
    <row r="15" spans="1:46" x14ac:dyDescent="0.3">
      <c r="A15" s="131" t="s">
        <v>152</v>
      </c>
      <c r="B15" s="231"/>
      <c r="C15" s="232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87"/>
      <c r="AO15" s="233"/>
      <c r="AP15" s="233"/>
      <c r="AQ15" s="233"/>
      <c r="AR15" s="233"/>
      <c r="AS15" s="448"/>
      <c r="AT15" s="455"/>
    </row>
    <row r="16" spans="1:46" x14ac:dyDescent="0.3">
      <c r="A16" s="208" t="s">
        <v>143</v>
      </c>
      <c r="B16" s="223">
        <f xml:space="preserve">
IF($A$4&lt;=12,SUMIFS('ON Data'!F:F,'ON Data'!$D:$D,$A$4,'ON Data'!$E:$E,7),SUMIFS('ON Data'!F:F,'ON Data'!$E:$E,7))</f>
        <v>0</v>
      </c>
      <c r="C16" s="224">
        <f xml:space="preserve">
IF($A$4&lt;=12,SUMIFS('ON Data'!G:G,'ON Data'!$D:$D,$A$4,'ON Data'!$E:$E,7),SUMIFS('ON Data'!G:G,'ON Data'!$E:$E,7))</f>
        <v>0</v>
      </c>
      <c r="D16" s="225">
        <f xml:space="preserve">
IF($A$4&lt;=12,SUMIFS('ON Data'!H:H,'ON Data'!$D:$D,$A$4,'ON Data'!$E:$E,7),SUMIFS('ON Data'!H:H,'ON Data'!$E:$E,7))</f>
        <v>0</v>
      </c>
      <c r="E16" s="225"/>
      <c r="F16" s="225">
        <f xml:space="preserve">
IF($A$4&lt;=12,SUMIFS('ON Data'!J:J,'ON Data'!$D:$D,$A$4,'ON Data'!$E:$E,7),SUMIFS('ON Data'!J:J,'ON Data'!$E:$E,7))</f>
        <v>0</v>
      </c>
      <c r="G16" s="225">
        <f xml:space="preserve">
IF($A$4&lt;=12,SUMIFS('ON Data'!K:K,'ON Data'!$D:$D,$A$4,'ON Data'!$E:$E,7),SUMIFS('ON Data'!K:K,'ON Data'!$E:$E,7))</f>
        <v>0</v>
      </c>
      <c r="H16" s="225">
        <f xml:space="preserve">
IF($A$4&lt;=12,SUMIFS('ON Data'!L:L,'ON Data'!$D:$D,$A$4,'ON Data'!$E:$E,7),SUMIFS('ON Data'!L:L,'ON Data'!$E:$E,7))</f>
        <v>0</v>
      </c>
      <c r="I16" s="225">
        <f xml:space="preserve">
IF($A$4&lt;=12,SUMIFS('ON Data'!M:M,'ON Data'!$D:$D,$A$4,'ON Data'!$E:$E,7),SUMIFS('ON Data'!M:M,'ON Data'!$E:$E,7))</f>
        <v>0</v>
      </c>
      <c r="J16" s="225">
        <f xml:space="preserve">
IF($A$4&lt;=12,SUMIFS('ON Data'!N:N,'ON Data'!$D:$D,$A$4,'ON Data'!$E:$E,7),SUMIFS('ON Data'!N:N,'ON Data'!$E:$E,7))</f>
        <v>0</v>
      </c>
      <c r="K16" s="225">
        <f xml:space="preserve">
IF($A$4&lt;=12,SUMIFS('ON Data'!O:O,'ON Data'!$D:$D,$A$4,'ON Data'!$E:$E,7),SUMIFS('ON Data'!O:O,'ON Data'!$E:$E,7))</f>
        <v>0</v>
      </c>
      <c r="L16" s="225">
        <f xml:space="preserve">
IF($A$4&lt;=12,SUMIFS('ON Data'!P:P,'ON Data'!$D:$D,$A$4,'ON Data'!$E:$E,7),SUMIFS('ON Data'!P:P,'ON Data'!$E:$E,7))</f>
        <v>0</v>
      </c>
      <c r="M16" s="225">
        <f xml:space="preserve">
IF($A$4&lt;=12,SUMIFS('ON Data'!Q:Q,'ON Data'!$D:$D,$A$4,'ON Data'!$E:$E,7),SUMIFS('ON Data'!Q:Q,'ON Data'!$E:$E,7))</f>
        <v>0</v>
      </c>
      <c r="N16" s="225">
        <f xml:space="preserve">
IF($A$4&lt;=12,SUMIFS('ON Data'!R:R,'ON Data'!$D:$D,$A$4,'ON Data'!$E:$E,7),SUMIFS('ON Data'!R:R,'ON Data'!$E:$E,7))</f>
        <v>0</v>
      </c>
      <c r="O16" s="225">
        <f xml:space="preserve">
IF($A$4&lt;=12,SUMIFS('ON Data'!S:S,'ON Data'!$D:$D,$A$4,'ON Data'!$E:$E,7),SUMIFS('ON Data'!S:S,'ON Data'!$E:$E,7))</f>
        <v>0</v>
      </c>
      <c r="P16" s="225">
        <f xml:space="preserve">
IF($A$4&lt;=12,SUMIFS('ON Data'!T:T,'ON Data'!$D:$D,$A$4,'ON Data'!$E:$E,7),SUMIFS('ON Data'!T:T,'ON Data'!$E:$E,7))</f>
        <v>0</v>
      </c>
      <c r="Q16" s="225">
        <f xml:space="preserve">
IF($A$4&lt;=12,SUMIFS('ON Data'!U:U,'ON Data'!$D:$D,$A$4,'ON Data'!$E:$E,7),SUMIFS('ON Data'!U:U,'ON Data'!$E:$E,7))</f>
        <v>0</v>
      </c>
      <c r="R16" s="225">
        <f xml:space="preserve">
IF($A$4&lt;=12,SUMIFS('ON Data'!V:V,'ON Data'!$D:$D,$A$4,'ON Data'!$E:$E,7),SUMIFS('ON Data'!V:V,'ON Data'!$E:$E,7))</f>
        <v>0</v>
      </c>
      <c r="S16" s="225">
        <f xml:space="preserve">
IF($A$4&lt;=12,SUMIFS('ON Data'!W:W,'ON Data'!$D:$D,$A$4,'ON Data'!$E:$E,7),SUMIFS('ON Data'!W:W,'ON Data'!$E:$E,7))</f>
        <v>0</v>
      </c>
      <c r="T16" s="225">
        <f xml:space="preserve">
IF($A$4&lt;=12,SUMIFS('ON Data'!X:X,'ON Data'!$D:$D,$A$4,'ON Data'!$E:$E,7),SUMIFS('ON Data'!X:X,'ON Data'!$E:$E,7))</f>
        <v>0</v>
      </c>
      <c r="U16" s="225">
        <f xml:space="preserve">
IF($A$4&lt;=12,SUMIFS('ON Data'!Y:Y,'ON Data'!$D:$D,$A$4,'ON Data'!$E:$E,7),SUMIFS('ON Data'!Y:Y,'ON Data'!$E:$E,7))</f>
        <v>0</v>
      </c>
      <c r="V16" s="225">
        <f xml:space="preserve">
IF($A$4&lt;=12,SUMIFS('ON Data'!Z:Z,'ON Data'!$D:$D,$A$4,'ON Data'!$E:$E,7),SUMIFS('ON Data'!Z:Z,'ON Data'!$E:$E,7))</f>
        <v>0</v>
      </c>
      <c r="W16" s="225">
        <f xml:space="preserve">
IF($A$4&lt;=12,SUMIFS('ON Data'!AA:AA,'ON Data'!$D:$D,$A$4,'ON Data'!$E:$E,7),SUMIFS('ON Data'!AA:AA,'ON Data'!$E:$E,7))</f>
        <v>0</v>
      </c>
      <c r="X16" s="225">
        <f xml:space="preserve">
IF($A$4&lt;=12,SUMIFS('ON Data'!AB:AB,'ON Data'!$D:$D,$A$4,'ON Data'!$E:$E,7),SUMIFS('ON Data'!AB:AB,'ON Data'!$E:$E,7))</f>
        <v>0</v>
      </c>
      <c r="Y16" s="225">
        <f xml:space="preserve">
IF($A$4&lt;=12,SUMIFS('ON Data'!AC:AC,'ON Data'!$D:$D,$A$4,'ON Data'!$E:$E,7),SUMIFS('ON Data'!AC:AC,'ON Data'!$E:$E,7))</f>
        <v>0</v>
      </c>
      <c r="Z16" s="225">
        <f xml:space="preserve">
IF($A$4&lt;=12,SUMIFS('ON Data'!AD:AD,'ON Data'!$D:$D,$A$4,'ON Data'!$E:$E,7),SUMIFS('ON Data'!AD:AD,'ON Data'!$E:$E,7))</f>
        <v>0</v>
      </c>
      <c r="AA16" s="225"/>
      <c r="AB16" s="225">
        <f xml:space="preserve">
IF($A$4&lt;=12,SUMIFS('ON Data'!AF:AF,'ON Data'!$D:$D,$A$4,'ON Data'!$E:$E,7),SUMIFS('ON Data'!AF:AF,'ON Data'!$E:$E,7))</f>
        <v>0</v>
      </c>
      <c r="AC16" s="225">
        <f xml:space="preserve">
IF($A$4&lt;=12,SUMIFS('ON Data'!AG:AG,'ON Data'!$D:$D,$A$4,'ON Data'!$E:$E,7),SUMIFS('ON Data'!AG:AG,'ON Data'!$E:$E,7))</f>
        <v>0</v>
      </c>
      <c r="AD16" s="225">
        <f xml:space="preserve">
IF($A$4&lt;=12,SUMIFS('ON Data'!AH:AH,'ON Data'!$D:$D,$A$4,'ON Data'!$E:$E,7),SUMIFS('ON Data'!AH:AH,'ON Data'!$E:$E,7))</f>
        <v>0</v>
      </c>
      <c r="AE16" s="225">
        <f xml:space="preserve">
IF($A$4&lt;=12,SUMIFS('ON Data'!AI:AI,'ON Data'!$D:$D,$A$4,'ON Data'!$E:$E,7),SUMIFS('ON Data'!AI:AI,'ON Data'!$E:$E,7))</f>
        <v>0</v>
      </c>
      <c r="AF16" s="225">
        <f xml:space="preserve">
IF($A$4&lt;=12,SUMIFS('ON Data'!AJ:AJ,'ON Data'!$D:$D,$A$4,'ON Data'!$E:$E,7),SUMIFS('ON Data'!AJ:AJ,'ON Data'!$E:$E,7))</f>
        <v>0</v>
      </c>
      <c r="AG16" s="225">
        <f xml:space="preserve">
IF($A$4&lt;=12,SUMIFS('ON Data'!AK:AK,'ON Data'!$D:$D,$A$4,'ON Data'!$E:$E,7),SUMIFS('ON Data'!AK:AK,'ON Data'!$E:$E,7))</f>
        <v>0</v>
      </c>
      <c r="AH16" s="225">
        <f xml:space="preserve">
IF($A$4&lt;=12,SUMIFS('ON Data'!AL:AL,'ON Data'!$D:$D,$A$4,'ON Data'!$E:$E,7),SUMIFS('ON Data'!AL:AL,'ON Data'!$E:$E,7))</f>
        <v>0</v>
      </c>
      <c r="AI16" s="225">
        <f xml:space="preserve">
IF($A$4&lt;=12,SUMIFS('ON Data'!AM:AM,'ON Data'!$D:$D,$A$4,'ON Data'!$E:$E,7),SUMIFS('ON Data'!AM:AM,'ON Data'!$E:$E,7))</f>
        <v>0</v>
      </c>
      <c r="AJ16" s="225">
        <f xml:space="preserve">
IF($A$4&lt;=12,SUMIFS('ON Data'!AN:AN,'ON Data'!$D:$D,$A$4,'ON Data'!$E:$E,7),SUMIFS('ON Data'!AN:AN,'ON Data'!$E:$E,7))</f>
        <v>0</v>
      </c>
      <c r="AK16" s="225">
        <f xml:space="preserve">
IF($A$4&lt;=12,SUMIFS('ON Data'!AO:AO,'ON Data'!$D:$D,$A$4,'ON Data'!$E:$E,7),SUMIFS('ON Data'!AO:AO,'ON Data'!$E:$E,7))</f>
        <v>0</v>
      </c>
      <c r="AL16" s="225">
        <f xml:space="preserve">
IF($A$4&lt;=12,SUMIFS('ON Data'!AP:AP,'ON Data'!$D:$D,$A$4,'ON Data'!$E:$E,7),SUMIFS('ON Data'!AP:AP,'ON Data'!$E:$E,7))</f>
        <v>0</v>
      </c>
      <c r="AM16" s="225">
        <f xml:space="preserve">
IF($A$4&lt;=12,SUMIFS('ON Data'!AQ:AQ,'ON Data'!$D:$D,$A$4,'ON Data'!$E:$E,7),SUMIFS('ON Data'!AQ:AQ,'ON Data'!$E:$E,7))</f>
        <v>0</v>
      </c>
      <c r="AN16" s="224">
        <f xml:space="preserve">
IF($A$4&lt;=12,SUMIFS('ON Data'!AR:AR,'ON Data'!$D:$D,$A$4,'ON Data'!$E:$E,7),SUMIFS('ON Data'!AR:AR,'ON Data'!$E:$E,7))</f>
        <v>0</v>
      </c>
      <c r="AO16" s="225">
        <f xml:space="preserve">
IF($A$4&lt;=12,SUMIFS('ON Data'!AS:AS,'ON Data'!$D:$D,$A$4,'ON Data'!$E:$E,7),SUMIFS('ON Data'!AS:AS,'ON Data'!$E:$E,7))</f>
        <v>0</v>
      </c>
      <c r="AP16" s="225">
        <f xml:space="preserve">
IF($A$4&lt;=12,SUMIFS('ON Data'!AT:AT,'ON Data'!$D:$D,$A$4,'ON Data'!$E:$E,7),SUMIFS('ON Data'!AT:AT,'ON Data'!$E:$E,7))</f>
        <v>0</v>
      </c>
      <c r="AQ16" s="225">
        <f xml:space="preserve">
IF($A$4&lt;=12,SUMIFS('ON Data'!AU:AU,'ON Data'!$D:$D,$A$4,'ON Data'!$E:$E,7),SUMIFS('ON Data'!AU:AU,'ON Data'!$E:$E,7))</f>
        <v>0</v>
      </c>
      <c r="AR16" s="225">
        <f xml:space="preserve">
IF($A$4&lt;=12,SUMIFS('ON Data'!AV:AV,'ON Data'!$D:$D,$A$4,'ON Data'!$E:$E,7),SUMIFS('ON Data'!AV:AV,'ON Data'!$E:$E,7))</f>
        <v>0</v>
      </c>
      <c r="AS16" s="446">
        <f xml:space="preserve">
IF($A$4&lt;=12,SUMIFS('ON Data'!AW:AW,'ON Data'!$D:$D,$A$4,'ON Data'!$E:$E,7),SUMIFS('ON Data'!AW:AW,'ON Data'!$E:$E,7))</f>
        <v>0</v>
      </c>
      <c r="AT16" s="455"/>
    </row>
    <row r="17" spans="1:46" x14ac:dyDescent="0.3">
      <c r="A17" s="208" t="s">
        <v>144</v>
      </c>
      <c r="B17" s="223">
        <f xml:space="preserve">
IF($A$4&lt;=12,SUMIFS('ON Data'!F:F,'ON Data'!$D:$D,$A$4,'ON Data'!$E:$E,8),SUMIFS('ON Data'!F:F,'ON Data'!$E:$E,8))</f>
        <v>0</v>
      </c>
      <c r="C17" s="224">
        <f xml:space="preserve">
IF($A$4&lt;=12,SUMIFS('ON Data'!G:G,'ON Data'!$D:$D,$A$4,'ON Data'!$E:$E,8),SUMIFS('ON Data'!G:G,'ON Data'!$E:$E,8))</f>
        <v>0</v>
      </c>
      <c r="D17" s="225">
        <f xml:space="preserve">
IF($A$4&lt;=12,SUMIFS('ON Data'!H:H,'ON Data'!$D:$D,$A$4,'ON Data'!$E:$E,8),SUMIFS('ON Data'!H:H,'ON Data'!$E:$E,8))</f>
        <v>0</v>
      </c>
      <c r="E17" s="225"/>
      <c r="F17" s="225">
        <f xml:space="preserve">
IF($A$4&lt;=12,SUMIFS('ON Data'!J:J,'ON Data'!$D:$D,$A$4,'ON Data'!$E:$E,8),SUMIFS('ON Data'!J:J,'ON Data'!$E:$E,8))</f>
        <v>0</v>
      </c>
      <c r="G17" s="225">
        <f xml:space="preserve">
IF($A$4&lt;=12,SUMIFS('ON Data'!K:K,'ON Data'!$D:$D,$A$4,'ON Data'!$E:$E,8),SUMIFS('ON Data'!K:K,'ON Data'!$E:$E,8))</f>
        <v>0</v>
      </c>
      <c r="H17" s="225">
        <f xml:space="preserve">
IF($A$4&lt;=12,SUMIFS('ON Data'!L:L,'ON Data'!$D:$D,$A$4,'ON Data'!$E:$E,8),SUMIFS('ON Data'!L:L,'ON Data'!$E:$E,8))</f>
        <v>0</v>
      </c>
      <c r="I17" s="225">
        <f xml:space="preserve">
IF($A$4&lt;=12,SUMIFS('ON Data'!M:M,'ON Data'!$D:$D,$A$4,'ON Data'!$E:$E,8),SUMIFS('ON Data'!M:M,'ON Data'!$E:$E,8))</f>
        <v>0</v>
      </c>
      <c r="J17" s="225">
        <f xml:space="preserve">
IF($A$4&lt;=12,SUMIFS('ON Data'!N:N,'ON Data'!$D:$D,$A$4,'ON Data'!$E:$E,8),SUMIFS('ON Data'!N:N,'ON Data'!$E:$E,8))</f>
        <v>0</v>
      </c>
      <c r="K17" s="225">
        <f xml:space="preserve">
IF($A$4&lt;=12,SUMIFS('ON Data'!O:O,'ON Data'!$D:$D,$A$4,'ON Data'!$E:$E,8),SUMIFS('ON Data'!O:O,'ON Data'!$E:$E,8))</f>
        <v>0</v>
      </c>
      <c r="L17" s="225">
        <f xml:space="preserve">
IF($A$4&lt;=12,SUMIFS('ON Data'!P:P,'ON Data'!$D:$D,$A$4,'ON Data'!$E:$E,8),SUMIFS('ON Data'!P:P,'ON Data'!$E:$E,8))</f>
        <v>0</v>
      </c>
      <c r="M17" s="225">
        <f xml:space="preserve">
IF($A$4&lt;=12,SUMIFS('ON Data'!Q:Q,'ON Data'!$D:$D,$A$4,'ON Data'!$E:$E,8),SUMIFS('ON Data'!Q:Q,'ON Data'!$E:$E,8))</f>
        <v>0</v>
      </c>
      <c r="N17" s="225">
        <f xml:space="preserve">
IF($A$4&lt;=12,SUMIFS('ON Data'!R:R,'ON Data'!$D:$D,$A$4,'ON Data'!$E:$E,8),SUMIFS('ON Data'!R:R,'ON Data'!$E:$E,8))</f>
        <v>0</v>
      </c>
      <c r="O17" s="225">
        <f xml:space="preserve">
IF($A$4&lt;=12,SUMIFS('ON Data'!S:S,'ON Data'!$D:$D,$A$4,'ON Data'!$E:$E,8),SUMIFS('ON Data'!S:S,'ON Data'!$E:$E,8))</f>
        <v>0</v>
      </c>
      <c r="P17" s="225">
        <f xml:space="preserve">
IF($A$4&lt;=12,SUMIFS('ON Data'!T:T,'ON Data'!$D:$D,$A$4,'ON Data'!$E:$E,8),SUMIFS('ON Data'!T:T,'ON Data'!$E:$E,8))</f>
        <v>0</v>
      </c>
      <c r="Q17" s="225">
        <f xml:space="preserve">
IF($A$4&lt;=12,SUMIFS('ON Data'!U:U,'ON Data'!$D:$D,$A$4,'ON Data'!$E:$E,8),SUMIFS('ON Data'!U:U,'ON Data'!$E:$E,8))</f>
        <v>0</v>
      </c>
      <c r="R17" s="225">
        <f xml:space="preserve">
IF($A$4&lt;=12,SUMIFS('ON Data'!V:V,'ON Data'!$D:$D,$A$4,'ON Data'!$E:$E,8),SUMIFS('ON Data'!V:V,'ON Data'!$E:$E,8))</f>
        <v>0</v>
      </c>
      <c r="S17" s="225">
        <f xml:space="preserve">
IF($A$4&lt;=12,SUMIFS('ON Data'!W:W,'ON Data'!$D:$D,$A$4,'ON Data'!$E:$E,8),SUMIFS('ON Data'!W:W,'ON Data'!$E:$E,8))</f>
        <v>0</v>
      </c>
      <c r="T17" s="225">
        <f xml:space="preserve">
IF($A$4&lt;=12,SUMIFS('ON Data'!X:X,'ON Data'!$D:$D,$A$4,'ON Data'!$E:$E,8),SUMIFS('ON Data'!X:X,'ON Data'!$E:$E,8))</f>
        <v>0</v>
      </c>
      <c r="U17" s="225">
        <f xml:space="preserve">
IF($A$4&lt;=12,SUMIFS('ON Data'!Y:Y,'ON Data'!$D:$D,$A$4,'ON Data'!$E:$E,8),SUMIFS('ON Data'!Y:Y,'ON Data'!$E:$E,8))</f>
        <v>0</v>
      </c>
      <c r="V17" s="225">
        <f xml:space="preserve">
IF($A$4&lt;=12,SUMIFS('ON Data'!Z:Z,'ON Data'!$D:$D,$A$4,'ON Data'!$E:$E,8),SUMIFS('ON Data'!Z:Z,'ON Data'!$E:$E,8))</f>
        <v>0</v>
      </c>
      <c r="W17" s="225">
        <f xml:space="preserve">
IF($A$4&lt;=12,SUMIFS('ON Data'!AA:AA,'ON Data'!$D:$D,$A$4,'ON Data'!$E:$E,8),SUMIFS('ON Data'!AA:AA,'ON Data'!$E:$E,8))</f>
        <v>0</v>
      </c>
      <c r="X17" s="225">
        <f xml:space="preserve">
IF($A$4&lt;=12,SUMIFS('ON Data'!AB:AB,'ON Data'!$D:$D,$A$4,'ON Data'!$E:$E,8),SUMIFS('ON Data'!AB:AB,'ON Data'!$E:$E,8))</f>
        <v>0</v>
      </c>
      <c r="Y17" s="225">
        <f xml:space="preserve">
IF($A$4&lt;=12,SUMIFS('ON Data'!AC:AC,'ON Data'!$D:$D,$A$4,'ON Data'!$E:$E,8),SUMIFS('ON Data'!AC:AC,'ON Data'!$E:$E,8))</f>
        <v>0</v>
      </c>
      <c r="Z17" s="225">
        <f xml:space="preserve">
IF($A$4&lt;=12,SUMIFS('ON Data'!AD:AD,'ON Data'!$D:$D,$A$4,'ON Data'!$E:$E,8),SUMIFS('ON Data'!AD:AD,'ON Data'!$E:$E,8))</f>
        <v>0</v>
      </c>
      <c r="AA17" s="225"/>
      <c r="AB17" s="225">
        <f xml:space="preserve">
IF($A$4&lt;=12,SUMIFS('ON Data'!AF:AF,'ON Data'!$D:$D,$A$4,'ON Data'!$E:$E,8),SUMIFS('ON Data'!AF:AF,'ON Data'!$E:$E,8))</f>
        <v>0</v>
      </c>
      <c r="AC17" s="225">
        <f xml:space="preserve">
IF($A$4&lt;=12,SUMIFS('ON Data'!AG:AG,'ON Data'!$D:$D,$A$4,'ON Data'!$E:$E,8),SUMIFS('ON Data'!AG:AG,'ON Data'!$E:$E,8))</f>
        <v>0</v>
      </c>
      <c r="AD17" s="225">
        <f xml:space="preserve">
IF($A$4&lt;=12,SUMIFS('ON Data'!AH:AH,'ON Data'!$D:$D,$A$4,'ON Data'!$E:$E,8),SUMIFS('ON Data'!AH:AH,'ON Data'!$E:$E,8))</f>
        <v>0</v>
      </c>
      <c r="AE17" s="225">
        <f xml:space="preserve">
IF($A$4&lt;=12,SUMIFS('ON Data'!AI:AI,'ON Data'!$D:$D,$A$4,'ON Data'!$E:$E,8),SUMIFS('ON Data'!AI:AI,'ON Data'!$E:$E,8))</f>
        <v>0</v>
      </c>
      <c r="AF17" s="225">
        <f xml:space="preserve">
IF($A$4&lt;=12,SUMIFS('ON Data'!AJ:AJ,'ON Data'!$D:$D,$A$4,'ON Data'!$E:$E,8),SUMIFS('ON Data'!AJ:AJ,'ON Data'!$E:$E,8))</f>
        <v>0</v>
      </c>
      <c r="AG17" s="225">
        <f xml:space="preserve">
IF($A$4&lt;=12,SUMIFS('ON Data'!AK:AK,'ON Data'!$D:$D,$A$4,'ON Data'!$E:$E,8),SUMIFS('ON Data'!AK:AK,'ON Data'!$E:$E,8))</f>
        <v>0</v>
      </c>
      <c r="AH17" s="225">
        <f xml:space="preserve">
IF($A$4&lt;=12,SUMIFS('ON Data'!AL:AL,'ON Data'!$D:$D,$A$4,'ON Data'!$E:$E,8),SUMIFS('ON Data'!AL:AL,'ON Data'!$E:$E,8))</f>
        <v>0</v>
      </c>
      <c r="AI17" s="225">
        <f xml:space="preserve">
IF($A$4&lt;=12,SUMIFS('ON Data'!AM:AM,'ON Data'!$D:$D,$A$4,'ON Data'!$E:$E,8),SUMIFS('ON Data'!AM:AM,'ON Data'!$E:$E,8))</f>
        <v>0</v>
      </c>
      <c r="AJ17" s="225">
        <f xml:space="preserve">
IF($A$4&lt;=12,SUMIFS('ON Data'!AN:AN,'ON Data'!$D:$D,$A$4,'ON Data'!$E:$E,8),SUMIFS('ON Data'!AN:AN,'ON Data'!$E:$E,8))</f>
        <v>0</v>
      </c>
      <c r="AK17" s="225">
        <f xml:space="preserve">
IF($A$4&lt;=12,SUMIFS('ON Data'!AO:AO,'ON Data'!$D:$D,$A$4,'ON Data'!$E:$E,8),SUMIFS('ON Data'!AO:AO,'ON Data'!$E:$E,8))</f>
        <v>0</v>
      </c>
      <c r="AL17" s="225">
        <f xml:space="preserve">
IF($A$4&lt;=12,SUMIFS('ON Data'!AP:AP,'ON Data'!$D:$D,$A$4,'ON Data'!$E:$E,8),SUMIFS('ON Data'!AP:AP,'ON Data'!$E:$E,8))</f>
        <v>0</v>
      </c>
      <c r="AM17" s="225">
        <f xml:space="preserve">
IF($A$4&lt;=12,SUMIFS('ON Data'!AQ:AQ,'ON Data'!$D:$D,$A$4,'ON Data'!$E:$E,8),SUMIFS('ON Data'!AQ:AQ,'ON Data'!$E:$E,8))</f>
        <v>0</v>
      </c>
      <c r="AN17" s="224">
        <f xml:space="preserve">
IF($A$4&lt;=12,SUMIFS('ON Data'!AR:AR,'ON Data'!$D:$D,$A$4,'ON Data'!$E:$E,8),SUMIFS('ON Data'!AR:AR,'ON Data'!$E:$E,8))</f>
        <v>0</v>
      </c>
      <c r="AO17" s="225">
        <f xml:space="preserve">
IF($A$4&lt;=12,SUMIFS('ON Data'!AS:AS,'ON Data'!$D:$D,$A$4,'ON Data'!$E:$E,8),SUMIFS('ON Data'!AS:AS,'ON Data'!$E:$E,8))</f>
        <v>0</v>
      </c>
      <c r="AP17" s="225">
        <f xml:space="preserve">
IF($A$4&lt;=12,SUMIFS('ON Data'!AT:AT,'ON Data'!$D:$D,$A$4,'ON Data'!$E:$E,8),SUMIFS('ON Data'!AT:AT,'ON Data'!$E:$E,8))</f>
        <v>0</v>
      </c>
      <c r="AQ17" s="225">
        <f xml:space="preserve">
IF($A$4&lt;=12,SUMIFS('ON Data'!AU:AU,'ON Data'!$D:$D,$A$4,'ON Data'!$E:$E,8),SUMIFS('ON Data'!AU:AU,'ON Data'!$E:$E,8))</f>
        <v>0</v>
      </c>
      <c r="AR17" s="225">
        <f xml:space="preserve">
IF($A$4&lt;=12,SUMIFS('ON Data'!AV:AV,'ON Data'!$D:$D,$A$4,'ON Data'!$E:$E,8),SUMIFS('ON Data'!AV:AV,'ON Data'!$E:$E,8))</f>
        <v>0</v>
      </c>
      <c r="AS17" s="446">
        <f xml:space="preserve">
IF($A$4&lt;=12,SUMIFS('ON Data'!AW:AW,'ON Data'!$D:$D,$A$4,'ON Data'!$E:$E,8),SUMIFS('ON Data'!AW:AW,'ON Data'!$E:$E,8))</f>
        <v>0</v>
      </c>
      <c r="AT17" s="455"/>
    </row>
    <row r="18" spans="1:46" x14ac:dyDescent="0.3">
      <c r="A18" s="208" t="s">
        <v>145</v>
      </c>
      <c r="B18" s="223">
        <f xml:space="preserve">
B19-B16-B17</f>
        <v>0</v>
      </c>
      <c r="C18" s="224">
        <f t="shared" ref="C18:I18" si="0" xml:space="preserve">
C19-C16-C17</f>
        <v>0</v>
      </c>
      <c r="D18" s="225">
        <f t="shared" si="0"/>
        <v>0</v>
      </c>
      <c r="E18" s="225"/>
      <c r="F18" s="225">
        <f t="shared" si="0"/>
        <v>0</v>
      </c>
      <c r="G18" s="225">
        <f t="shared" si="0"/>
        <v>0</v>
      </c>
      <c r="H18" s="225">
        <f t="shared" si="0"/>
        <v>0</v>
      </c>
      <c r="I18" s="225">
        <f t="shared" si="0"/>
        <v>0</v>
      </c>
      <c r="J18" s="225">
        <f t="shared" ref="J18:AK18" si="1" xml:space="preserve">
J19-J16-J17</f>
        <v>0</v>
      </c>
      <c r="K18" s="225">
        <f t="shared" si="1"/>
        <v>0</v>
      </c>
      <c r="L18" s="225">
        <f t="shared" si="1"/>
        <v>0</v>
      </c>
      <c r="M18" s="225">
        <f t="shared" si="1"/>
        <v>0</v>
      </c>
      <c r="N18" s="225">
        <f t="shared" si="1"/>
        <v>0</v>
      </c>
      <c r="O18" s="225">
        <f t="shared" si="1"/>
        <v>0</v>
      </c>
      <c r="P18" s="225">
        <f t="shared" si="1"/>
        <v>0</v>
      </c>
      <c r="Q18" s="225">
        <f t="shared" si="1"/>
        <v>0</v>
      </c>
      <c r="R18" s="225">
        <f t="shared" si="1"/>
        <v>0</v>
      </c>
      <c r="S18" s="225">
        <f t="shared" si="1"/>
        <v>0</v>
      </c>
      <c r="T18" s="225">
        <f t="shared" si="1"/>
        <v>0</v>
      </c>
      <c r="U18" s="225">
        <f t="shared" si="1"/>
        <v>0</v>
      </c>
      <c r="V18" s="225">
        <f t="shared" si="1"/>
        <v>0</v>
      </c>
      <c r="W18" s="225">
        <f t="shared" si="1"/>
        <v>0</v>
      </c>
      <c r="X18" s="225">
        <f t="shared" si="1"/>
        <v>0</v>
      </c>
      <c r="Y18" s="225">
        <f t="shared" si="1"/>
        <v>0</v>
      </c>
      <c r="Z18" s="225">
        <f t="shared" si="1"/>
        <v>0</v>
      </c>
      <c r="AA18" s="225"/>
      <c r="AB18" s="225">
        <f t="shared" si="1"/>
        <v>0</v>
      </c>
      <c r="AC18" s="225">
        <f t="shared" si="1"/>
        <v>0</v>
      </c>
      <c r="AD18" s="225">
        <f t="shared" si="1"/>
        <v>0</v>
      </c>
      <c r="AE18" s="225">
        <f t="shared" si="1"/>
        <v>0</v>
      </c>
      <c r="AF18" s="225">
        <f t="shared" si="1"/>
        <v>0</v>
      </c>
      <c r="AG18" s="225">
        <f t="shared" si="1"/>
        <v>0</v>
      </c>
      <c r="AH18" s="225">
        <f t="shared" si="1"/>
        <v>0</v>
      </c>
      <c r="AI18" s="225">
        <f t="shared" si="1"/>
        <v>0</v>
      </c>
      <c r="AJ18" s="225">
        <f t="shared" si="1"/>
        <v>0</v>
      </c>
      <c r="AK18" s="225">
        <f t="shared" si="1"/>
        <v>0</v>
      </c>
      <c r="AL18" s="225">
        <f t="shared" ref="AL18:AS18" si="2" xml:space="preserve">
AL19-AL16-AL17</f>
        <v>0</v>
      </c>
      <c r="AM18" s="225">
        <f t="shared" si="2"/>
        <v>0</v>
      </c>
      <c r="AN18" s="224">
        <f t="shared" si="2"/>
        <v>0</v>
      </c>
      <c r="AO18" s="225">
        <f t="shared" si="2"/>
        <v>0</v>
      </c>
      <c r="AP18" s="225">
        <f t="shared" si="2"/>
        <v>0</v>
      </c>
      <c r="AQ18" s="225">
        <f t="shared" si="2"/>
        <v>0</v>
      </c>
      <c r="AR18" s="225">
        <f t="shared" si="2"/>
        <v>0</v>
      </c>
      <c r="AS18" s="446">
        <f t="shared" si="2"/>
        <v>0</v>
      </c>
      <c r="AT18" s="455"/>
    </row>
    <row r="19" spans="1:46" ht="15" thickBot="1" x14ac:dyDescent="0.35">
      <c r="A19" s="209" t="s">
        <v>146</v>
      </c>
      <c r="B19" s="234">
        <f xml:space="preserve">
IF($A$4&lt;=12,SUMIFS('ON Data'!F:F,'ON Data'!$D:$D,$A$4,'ON Data'!$E:$E,9),SUMIFS('ON Data'!F:F,'ON Data'!$E:$E,9))</f>
        <v>0</v>
      </c>
      <c r="C19" s="235">
        <f xml:space="preserve">
IF($A$4&lt;=12,SUMIFS('ON Data'!G:G,'ON Data'!$D:$D,$A$4,'ON Data'!$E:$E,9),SUMIFS('ON Data'!G:G,'ON Data'!$E:$E,9))</f>
        <v>0</v>
      </c>
      <c r="D19" s="236">
        <f xml:space="preserve">
IF($A$4&lt;=12,SUMIFS('ON Data'!H:H,'ON Data'!$D:$D,$A$4,'ON Data'!$E:$E,9),SUMIFS('ON Data'!H:H,'ON Data'!$E:$E,9))</f>
        <v>0</v>
      </c>
      <c r="E19" s="236"/>
      <c r="F19" s="236">
        <f xml:space="preserve">
IF($A$4&lt;=12,SUMIFS('ON Data'!J:J,'ON Data'!$D:$D,$A$4,'ON Data'!$E:$E,9),SUMIFS('ON Data'!J:J,'ON Data'!$E:$E,9))</f>
        <v>0</v>
      </c>
      <c r="G19" s="236">
        <f xml:space="preserve">
IF($A$4&lt;=12,SUMIFS('ON Data'!K:K,'ON Data'!$D:$D,$A$4,'ON Data'!$E:$E,9),SUMIFS('ON Data'!K:K,'ON Data'!$E:$E,9))</f>
        <v>0</v>
      </c>
      <c r="H19" s="236">
        <f xml:space="preserve">
IF($A$4&lt;=12,SUMIFS('ON Data'!L:L,'ON Data'!$D:$D,$A$4,'ON Data'!$E:$E,9),SUMIFS('ON Data'!L:L,'ON Data'!$E:$E,9))</f>
        <v>0</v>
      </c>
      <c r="I19" s="236">
        <f xml:space="preserve">
IF($A$4&lt;=12,SUMIFS('ON Data'!M:M,'ON Data'!$D:$D,$A$4,'ON Data'!$E:$E,9),SUMIFS('ON Data'!M:M,'ON Data'!$E:$E,9))</f>
        <v>0</v>
      </c>
      <c r="J19" s="236">
        <f xml:space="preserve">
IF($A$4&lt;=12,SUMIFS('ON Data'!N:N,'ON Data'!$D:$D,$A$4,'ON Data'!$E:$E,9),SUMIFS('ON Data'!N:N,'ON Data'!$E:$E,9))</f>
        <v>0</v>
      </c>
      <c r="K19" s="236">
        <f xml:space="preserve">
IF($A$4&lt;=12,SUMIFS('ON Data'!O:O,'ON Data'!$D:$D,$A$4,'ON Data'!$E:$E,9),SUMIFS('ON Data'!O:O,'ON Data'!$E:$E,9))</f>
        <v>0</v>
      </c>
      <c r="L19" s="236">
        <f xml:space="preserve">
IF($A$4&lt;=12,SUMIFS('ON Data'!P:P,'ON Data'!$D:$D,$A$4,'ON Data'!$E:$E,9),SUMIFS('ON Data'!P:P,'ON Data'!$E:$E,9))</f>
        <v>0</v>
      </c>
      <c r="M19" s="236">
        <f xml:space="preserve">
IF($A$4&lt;=12,SUMIFS('ON Data'!Q:Q,'ON Data'!$D:$D,$A$4,'ON Data'!$E:$E,9),SUMIFS('ON Data'!Q:Q,'ON Data'!$E:$E,9))</f>
        <v>0</v>
      </c>
      <c r="N19" s="236">
        <f xml:space="preserve">
IF($A$4&lt;=12,SUMIFS('ON Data'!R:R,'ON Data'!$D:$D,$A$4,'ON Data'!$E:$E,9),SUMIFS('ON Data'!R:R,'ON Data'!$E:$E,9))</f>
        <v>0</v>
      </c>
      <c r="O19" s="236">
        <f xml:space="preserve">
IF($A$4&lt;=12,SUMIFS('ON Data'!S:S,'ON Data'!$D:$D,$A$4,'ON Data'!$E:$E,9),SUMIFS('ON Data'!S:S,'ON Data'!$E:$E,9))</f>
        <v>0</v>
      </c>
      <c r="P19" s="236">
        <f xml:space="preserve">
IF($A$4&lt;=12,SUMIFS('ON Data'!T:T,'ON Data'!$D:$D,$A$4,'ON Data'!$E:$E,9),SUMIFS('ON Data'!T:T,'ON Data'!$E:$E,9))</f>
        <v>0</v>
      </c>
      <c r="Q19" s="236">
        <f xml:space="preserve">
IF($A$4&lt;=12,SUMIFS('ON Data'!U:U,'ON Data'!$D:$D,$A$4,'ON Data'!$E:$E,9),SUMIFS('ON Data'!U:U,'ON Data'!$E:$E,9))</f>
        <v>0</v>
      </c>
      <c r="R19" s="236">
        <f xml:space="preserve">
IF($A$4&lt;=12,SUMIFS('ON Data'!V:V,'ON Data'!$D:$D,$A$4,'ON Data'!$E:$E,9),SUMIFS('ON Data'!V:V,'ON Data'!$E:$E,9))</f>
        <v>0</v>
      </c>
      <c r="S19" s="236">
        <f xml:space="preserve">
IF($A$4&lt;=12,SUMIFS('ON Data'!W:W,'ON Data'!$D:$D,$A$4,'ON Data'!$E:$E,9),SUMIFS('ON Data'!W:W,'ON Data'!$E:$E,9))</f>
        <v>0</v>
      </c>
      <c r="T19" s="236">
        <f xml:space="preserve">
IF($A$4&lt;=12,SUMIFS('ON Data'!X:X,'ON Data'!$D:$D,$A$4,'ON Data'!$E:$E,9),SUMIFS('ON Data'!X:X,'ON Data'!$E:$E,9))</f>
        <v>0</v>
      </c>
      <c r="U19" s="236">
        <f xml:space="preserve">
IF($A$4&lt;=12,SUMIFS('ON Data'!Y:Y,'ON Data'!$D:$D,$A$4,'ON Data'!$E:$E,9),SUMIFS('ON Data'!Y:Y,'ON Data'!$E:$E,9))</f>
        <v>0</v>
      </c>
      <c r="V19" s="236">
        <f xml:space="preserve">
IF($A$4&lt;=12,SUMIFS('ON Data'!Z:Z,'ON Data'!$D:$D,$A$4,'ON Data'!$E:$E,9),SUMIFS('ON Data'!Z:Z,'ON Data'!$E:$E,9))</f>
        <v>0</v>
      </c>
      <c r="W19" s="236">
        <f xml:space="preserve">
IF($A$4&lt;=12,SUMIFS('ON Data'!AA:AA,'ON Data'!$D:$D,$A$4,'ON Data'!$E:$E,9),SUMIFS('ON Data'!AA:AA,'ON Data'!$E:$E,9))</f>
        <v>0</v>
      </c>
      <c r="X19" s="236">
        <f xml:space="preserve">
IF($A$4&lt;=12,SUMIFS('ON Data'!AB:AB,'ON Data'!$D:$D,$A$4,'ON Data'!$E:$E,9),SUMIFS('ON Data'!AB:AB,'ON Data'!$E:$E,9))</f>
        <v>0</v>
      </c>
      <c r="Y19" s="236">
        <f xml:space="preserve">
IF($A$4&lt;=12,SUMIFS('ON Data'!AC:AC,'ON Data'!$D:$D,$A$4,'ON Data'!$E:$E,9),SUMIFS('ON Data'!AC:AC,'ON Data'!$E:$E,9))</f>
        <v>0</v>
      </c>
      <c r="Z19" s="236">
        <f xml:space="preserve">
IF($A$4&lt;=12,SUMIFS('ON Data'!AD:AD,'ON Data'!$D:$D,$A$4,'ON Data'!$E:$E,9),SUMIFS('ON Data'!AD:AD,'ON Data'!$E:$E,9))</f>
        <v>0</v>
      </c>
      <c r="AA19" s="236"/>
      <c r="AB19" s="236">
        <f xml:space="preserve">
IF($A$4&lt;=12,SUMIFS('ON Data'!AF:AF,'ON Data'!$D:$D,$A$4,'ON Data'!$E:$E,9),SUMIFS('ON Data'!AF:AF,'ON Data'!$E:$E,9))</f>
        <v>0</v>
      </c>
      <c r="AC19" s="236">
        <f xml:space="preserve">
IF($A$4&lt;=12,SUMIFS('ON Data'!AG:AG,'ON Data'!$D:$D,$A$4,'ON Data'!$E:$E,9),SUMIFS('ON Data'!AG:AG,'ON Data'!$E:$E,9))</f>
        <v>0</v>
      </c>
      <c r="AD19" s="236">
        <f xml:space="preserve">
IF($A$4&lt;=12,SUMIFS('ON Data'!AH:AH,'ON Data'!$D:$D,$A$4,'ON Data'!$E:$E,9),SUMIFS('ON Data'!AH:AH,'ON Data'!$E:$E,9))</f>
        <v>0</v>
      </c>
      <c r="AE19" s="236">
        <f xml:space="preserve">
IF($A$4&lt;=12,SUMIFS('ON Data'!AI:AI,'ON Data'!$D:$D,$A$4,'ON Data'!$E:$E,9),SUMIFS('ON Data'!AI:AI,'ON Data'!$E:$E,9))</f>
        <v>0</v>
      </c>
      <c r="AF19" s="236">
        <f xml:space="preserve">
IF($A$4&lt;=12,SUMIFS('ON Data'!AJ:AJ,'ON Data'!$D:$D,$A$4,'ON Data'!$E:$E,9),SUMIFS('ON Data'!AJ:AJ,'ON Data'!$E:$E,9))</f>
        <v>0</v>
      </c>
      <c r="AG19" s="236">
        <f xml:space="preserve">
IF($A$4&lt;=12,SUMIFS('ON Data'!AK:AK,'ON Data'!$D:$D,$A$4,'ON Data'!$E:$E,9),SUMIFS('ON Data'!AK:AK,'ON Data'!$E:$E,9))</f>
        <v>0</v>
      </c>
      <c r="AH19" s="236">
        <f xml:space="preserve">
IF($A$4&lt;=12,SUMIFS('ON Data'!AL:AL,'ON Data'!$D:$D,$A$4,'ON Data'!$E:$E,9),SUMIFS('ON Data'!AL:AL,'ON Data'!$E:$E,9))</f>
        <v>0</v>
      </c>
      <c r="AI19" s="236">
        <f xml:space="preserve">
IF($A$4&lt;=12,SUMIFS('ON Data'!AM:AM,'ON Data'!$D:$D,$A$4,'ON Data'!$E:$E,9),SUMIFS('ON Data'!AM:AM,'ON Data'!$E:$E,9))</f>
        <v>0</v>
      </c>
      <c r="AJ19" s="236">
        <f xml:space="preserve">
IF($A$4&lt;=12,SUMIFS('ON Data'!AN:AN,'ON Data'!$D:$D,$A$4,'ON Data'!$E:$E,9),SUMIFS('ON Data'!AN:AN,'ON Data'!$E:$E,9))</f>
        <v>0</v>
      </c>
      <c r="AK19" s="236">
        <f xml:space="preserve">
IF($A$4&lt;=12,SUMIFS('ON Data'!AO:AO,'ON Data'!$D:$D,$A$4,'ON Data'!$E:$E,9),SUMIFS('ON Data'!AO:AO,'ON Data'!$E:$E,9))</f>
        <v>0</v>
      </c>
      <c r="AL19" s="236">
        <f xml:space="preserve">
IF($A$4&lt;=12,SUMIFS('ON Data'!AP:AP,'ON Data'!$D:$D,$A$4,'ON Data'!$E:$E,9),SUMIFS('ON Data'!AP:AP,'ON Data'!$E:$E,9))</f>
        <v>0</v>
      </c>
      <c r="AM19" s="236">
        <f xml:space="preserve">
IF($A$4&lt;=12,SUMIFS('ON Data'!AQ:AQ,'ON Data'!$D:$D,$A$4,'ON Data'!$E:$E,9),SUMIFS('ON Data'!AQ:AQ,'ON Data'!$E:$E,9))</f>
        <v>0</v>
      </c>
      <c r="AN19" s="235">
        <f xml:space="preserve">
IF($A$4&lt;=12,SUMIFS('ON Data'!AR:AR,'ON Data'!$D:$D,$A$4,'ON Data'!$E:$E,9),SUMIFS('ON Data'!AR:AR,'ON Data'!$E:$E,9))</f>
        <v>0</v>
      </c>
      <c r="AO19" s="236">
        <f xml:space="preserve">
IF($A$4&lt;=12,SUMIFS('ON Data'!AS:AS,'ON Data'!$D:$D,$A$4,'ON Data'!$E:$E,9),SUMIFS('ON Data'!AS:AS,'ON Data'!$E:$E,9))</f>
        <v>0</v>
      </c>
      <c r="AP19" s="236">
        <f xml:space="preserve">
IF($A$4&lt;=12,SUMIFS('ON Data'!AT:AT,'ON Data'!$D:$D,$A$4,'ON Data'!$E:$E,9),SUMIFS('ON Data'!AT:AT,'ON Data'!$E:$E,9))</f>
        <v>0</v>
      </c>
      <c r="AQ19" s="236">
        <f xml:space="preserve">
IF($A$4&lt;=12,SUMIFS('ON Data'!AU:AU,'ON Data'!$D:$D,$A$4,'ON Data'!$E:$E,9),SUMIFS('ON Data'!AU:AU,'ON Data'!$E:$E,9))</f>
        <v>0</v>
      </c>
      <c r="AR19" s="236">
        <f xml:space="preserve">
IF($A$4&lt;=12,SUMIFS('ON Data'!AV:AV,'ON Data'!$D:$D,$A$4,'ON Data'!$E:$E,9),SUMIFS('ON Data'!AV:AV,'ON Data'!$E:$E,9))</f>
        <v>0</v>
      </c>
      <c r="AS19" s="449">
        <f xml:space="preserve">
IF($A$4&lt;=12,SUMIFS('ON Data'!AW:AW,'ON Data'!$D:$D,$A$4,'ON Data'!$E:$E,9),SUMIFS('ON Data'!AW:AW,'ON Data'!$E:$E,9))</f>
        <v>0</v>
      </c>
      <c r="AT19" s="455"/>
    </row>
    <row r="20" spans="1:46" ht="15" collapsed="1" thickBot="1" x14ac:dyDescent="0.35">
      <c r="A20" s="210" t="s">
        <v>50</v>
      </c>
      <c r="B20" s="237">
        <f xml:space="preserve">
IF($A$4&lt;=12,SUMIFS('ON Data'!F:F,'ON Data'!$D:$D,$A$4,'ON Data'!$E:$E,6),SUMIFS('ON Data'!F:F,'ON Data'!$E:$E,6))</f>
        <v>436403</v>
      </c>
      <c r="C20" s="238">
        <f xml:space="preserve">
IF($A$4&lt;=12,SUMIFS('ON Data'!G:G,'ON Data'!$D:$D,$A$4,'ON Data'!$E:$E,6),SUMIFS('ON Data'!G:G,'ON Data'!$E:$E,6))</f>
        <v>0</v>
      </c>
      <c r="D20" s="239">
        <f xml:space="preserve">
IF($A$4&lt;=12,SUMIFS('ON Data'!H:H,'ON Data'!$D:$D,$A$4,'ON Data'!$E:$E,6),SUMIFS('ON Data'!H:H,'ON Data'!$E:$E,6))</f>
        <v>0</v>
      </c>
      <c r="E20" s="239"/>
      <c r="F20" s="239">
        <f xml:space="preserve">
IF($A$4&lt;=12,SUMIFS('ON Data'!J:J,'ON Data'!$D:$D,$A$4,'ON Data'!$E:$E,6),SUMIFS('ON Data'!J:J,'ON Data'!$E:$E,6))</f>
        <v>0</v>
      </c>
      <c r="G20" s="239">
        <f xml:space="preserve">
IF($A$4&lt;=12,SUMIFS('ON Data'!K:K,'ON Data'!$D:$D,$A$4,'ON Data'!$E:$E,6),SUMIFS('ON Data'!K:K,'ON Data'!$E:$E,6))</f>
        <v>0</v>
      </c>
      <c r="H20" s="239">
        <f xml:space="preserve">
IF($A$4&lt;=12,SUMIFS('ON Data'!L:L,'ON Data'!$D:$D,$A$4,'ON Data'!$E:$E,6),SUMIFS('ON Data'!L:L,'ON Data'!$E:$E,6))</f>
        <v>0</v>
      </c>
      <c r="I20" s="239">
        <f xml:space="preserve">
IF($A$4&lt;=12,SUMIFS('ON Data'!M:M,'ON Data'!$D:$D,$A$4,'ON Data'!$E:$E,6),SUMIFS('ON Data'!M:M,'ON Data'!$E:$E,6))</f>
        <v>0</v>
      </c>
      <c r="J20" s="239">
        <f xml:space="preserve">
IF($A$4&lt;=12,SUMIFS('ON Data'!N:N,'ON Data'!$D:$D,$A$4,'ON Data'!$E:$E,6),SUMIFS('ON Data'!N:N,'ON Data'!$E:$E,6))</f>
        <v>0</v>
      </c>
      <c r="K20" s="239">
        <f xml:space="preserve">
IF($A$4&lt;=12,SUMIFS('ON Data'!O:O,'ON Data'!$D:$D,$A$4,'ON Data'!$E:$E,6),SUMIFS('ON Data'!O:O,'ON Data'!$E:$E,6))</f>
        <v>0</v>
      </c>
      <c r="L20" s="239">
        <f xml:space="preserve">
IF($A$4&lt;=12,SUMIFS('ON Data'!P:P,'ON Data'!$D:$D,$A$4,'ON Data'!$E:$E,6),SUMIFS('ON Data'!P:P,'ON Data'!$E:$E,6))</f>
        <v>0</v>
      </c>
      <c r="M20" s="239">
        <f xml:space="preserve">
IF($A$4&lt;=12,SUMIFS('ON Data'!Q:Q,'ON Data'!$D:$D,$A$4,'ON Data'!$E:$E,6),SUMIFS('ON Data'!Q:Q,'ON Data'!$E:$E,6))</f>
        <v>0</v>
      </c>
      <c r="N20" s="239">
        <f xml:space="preserve">
IF($A$4&lt;=12,SUMIFS('ON Data'!R:R,'ON Data'!$D:$D,$A$4,'ON Data'!$E:$E,6),SUMIFS('ON Data'!R:R,'ON Data'!$E:$E,6))</f>
        <v>0</v>
      </c>
      <c r="O20" s="239">
        <f xml:space="preserve">
IF($A$4&lt;=12,SUMIFS('ON Data'!S:S,'ON Data'!$D:$D,$A$4,'ON Data'!$E:$E,6),SUMIFS('ON Data'!S:S,'ON Data'!$E:$E,6))</f>
        <v>0</v>
      </c>
      <c r="P20" s="239">
        <f xml:space="preserve">
IF($A$4&lt;=12,SUMIFS('ON Data'!T:T,'ON Data'!$D:$D,$A$4,'ON Data'!$E:$E,6),SUMIFS('ON Data'!T:T,'ON Data'!$E:$E,6))</f>
        <v>0</v>
      </c>
      <c r="Q20" s="239">
        <f xml:space="preserve">
IF($A$4&lt;=12,SUMIFS('ON Data'!U:U,'ON Data'!$D:$D,$A$4,'ON Data'!$E:$E,6),SUMIFS('ON Data'!U:U,'ON Data'!$E:$E,6))</f>
        <v>0</v>
      </c>
      <c r="R20" s="239">
        <f xml:space="preserve">
IF($A$4&lt;=12,SUMIFS('ON Data'!V:V,'ON Data'!$D:$D,$A$4,'ON Data'!$E:$E,6),SUMIFS('ON Data'!V:V,'ON Data'!$E:$E,6))</f>
        <v>0</v>
      </c>
      <c r="S20" s="239">
        <f xml:space="preserve">
IF($A$4&lt;=12,SUMIFS('ON Data'!W:W,'ON Data'!$D:$D,$A$4,'ON Data'!$E:$E,6),SUMIFS('ON Data'!W:W,'ON Data'!$E:$E,6))</f>
        <v>0</v>
      </c>
      <c r="T20" s="239">
        <f xml:space="preserve">
IF($A$4&lt;=12,SUMIFS('ON Data'!X:X,'ON Data'!$D:$D,$A$4,'ON Data'!$E:$E,6),SUMIFS('ON Data'!X:X,'ON Data'!$E:$E,6))</f>
        <v>0</v>
      </c>
      <c r="U20" s="239">
        <f xml:space="preserve">
IF($A$4&lt;=12,SUMIFS('ON Data'!Y:Y,'ON Data'!$D:$D,$A$4,'ON Data'!$E:$E,6),SUMIFS('ON Data'!Y:Y,'ON Data'!$E:$E,6))</f>
        <v>0</v>
      </c>
      <c r="V20" s="239">
        <f xml:space="preserve">
IF($A$4&lt;=12,SUMIFS('ON Data'!Z:Z,'ON Data'!$D:$D,$A$4,'ON Data'!$E:$E,6),SUMIFS('ON Data'!Z:Z,'ON Data'!$E:$E,6))</f>
        <v>0</v>
      </c>
      <c r="W20" s="239">
        <f xml:space="preserve">
IF($A$4&lt;=12,SUMIFS('ON Data'!AA:AA,'ON Data'!$D:$D,$A$4,'ON Data'!$E:$E,6),SUMIFS('ON Data'!AA:AA,'ON Data'!$E:$E,6))</f>
        <v>0</v>
      </c>
      <c r="X20" s="239">
        <f xml:space="preserve">
IF($A$4&lt;=12,SUMIFS('ON Data'!AB:AB,'ON Data'!$D:$D,$A$4,'ON Data'!$E:$E,6),SUMIFS('ON Data'!AB:AB,'ON Data'!$E:$E,6))</f>
        <v>0</v>
      </c>
      <c r="Y20" s="239">
        <f xml:space="preserve">
IF($A$4&lt;=12,SUMIFS('ON Data'!AC:AC,'ON Data'!$D:$D,$A$4,'ON Data'!$E:$E,6),SUMIFS('ON Data'!AC:AC,'ON Data'!$E:$E,6))</f>
        <v>0</v>
      </c>
      <c r="Z20" s="239">
        <f xml:space="preserve">
IF($A$4&lt;=12,SUMIFS('ON Data'!AD:AD,'ON Data'!$D:$D,$A$4,'ON Data'!$E:$E,6),SUMIFS('ON Data'!AD:AD,'ON Data'!$E:$E,6))</f>
        <v>0</v>
      </c>
      <c r="AA20" s="239"/>
      <c r="AB20" s="239">
        <f xml:space="preserve">
IF($A$4&lt;=12,SUMIFS('ON Data'!AF:AF,'ON Data'!$D:$D,$A$4,'ON Data'!$E:$E,6),SUMIFS('ON Data'!AF:AF,'ON Data'!$E:$E,6))</f>
        <v>0</v>
      </c>
      <c r="AC20" s="239">
        <f xml:space="preserve">
IF($A$4&lt;=12,SUMIFS('ON Data'!AG:AG,'ON Data'!$D:$D,$A$4,'ON Data'!$E:$E,6),SUMIFS('ON Data'!AG:AG,'ON Data'!$E:$E,6))</f>
        <v>0</v>
      </c>
      <c r="AD20" s="239">
        <f xml:space="preserve">
IF($A$4&lt;=12,SUMIFS('ON Data'!AH:AH,'ON Data'!$D:$D,$A$4,'ON Data'!$E:$E,6),SUMIFS('ON Data'!AH:AH,'ON Data'!$E:$E,6))</f>
        <v>0</v>
      </c>
      <c r="AE20" s="239">
        <f xml:space="preserve">
IF($A$4&lt;=12,SUMIFS('ON Data'!AI:AI,'ON Data'!$D:$D,$A$4,'ON Data'!$E:$E,6),SUMIFS('ON Data'!AI:AI,'ON Data'!$E:$E,6))</f>
        <v>429548</v>
      </c>
      <c r="AF20" s="239">
        <f xml:space="preserve">
IF($A$4&lt;=12,SUMIFS('ON Data'!AJ:AJ,'ON Data'!$D:$D,$A$4,'ON Data'!$E:$E,6),SUMIFS('ON Data'!AJ:AJ,'ON Data'!$E:$E,6))</f>
        <v>0</v>
      </c>
      <c r="AG20" s="239">
        <f xml:space="preserve">
IF($A$4&lt;=12,SUMIFS('ON Data'!AK:AK,'ON Data'!$D:$D,$A$4,'ON Data'!$E:$E,6),SUMIFS('ON Data'!AK:AK,'ON Data'!$E:$E,6))</f>
        <v>0</v>
      </c>
      <c r="AH20" s="239">
        <f xml:space="preserve">
IF($A$4&lt;=12,SUMIFS('ON Data'!AL:AL,'ON Data'!$D:$D,$A$4,'ON Data'!$E:$E,6),SUMIFS('ON Data'!AL:AL,'ON Data'!$E:$E,6))</f>
        <v>0</v>
      </c>
      <c r="AI20" s="239">
        <f xml:space="preserve">
IF($A$4&lt;=12,SUMIFS('ON Data'!AM:AM,'ON Data'!$D:$D,$A$4,'ON Data'!$E:$E,6),SUMIFS('ON Data'!AM:AM,'ON Data'!$E:$E,6))</f>
        <v>0</v>
      </c>
      <c r="AJ20" s="239">
        <f xml:space="preserve">
IF($A$4&lt;=12,SUMIFS('ON Data'!AN:AN,'ON Data'!$D:$D,$A$4,'ON Data'!$E:$E,6),SUMIFS('ON Data'!AN:AN,'ON Data'!$E:$E,6))</f>
        <v>0</v>
      </c>
      <c r="AK20" s="239">
        <f xml:space="preserve">
IF($A$4&lt;=12,SUMIFS('ON Data'!AO:AO,'ON Data'!$D:$D,$A$4,'ON Data'!$E:$E,6),SUMIFS('ON Data'!AO:AO,'ON Data'!$E:$E,6))</f>
        <v>0</v>
      </c>
      <c r="AL20" s="239">
        <f xml:space="preserve">
IF($A$4&lt;=12,SUMIFS('ON Data'!AP:AP,'ON Data'!$D:$D,$A$4,'ON Data'!$E:$E,6),SUMIFS('ON Data'!AP:AP,'ON Data'!$E:$E,6))</f>
        <v>0</v>
      </c>
      <c r="AM20" s="239">
        <f xml:space="preserve">
IF($A$4&lt;=12,SUMIFS('ON Data'!AQ:AQ,'ON Data'!$D:$D,$A$4,'ON Data'!$E:$E,6),SUMIFS('ON Data'!AQ:AQ,'ON Data'!$E:$E,6))</f>
        <v>0</v>
      </c>
      <c r="AN20" s="238">
        <f xml:space="preserve">
IF($A$4&lt;=12,SUMIFS('ON Data'!AR:AR,'ON Data'!$D:$D,$A$4,'ON Data'!$E:$E,6),SUMIFS('ON Data'!AR:AR,'ON Data'!$E:$E,6))</f>
        <v>0</v>
      </c>
      <c r="AO20" s="239">
        <f xml:space="preserve">
IF($A$4&lt;=12,SUMIFS('ON Data'!AS:AS,'ON Data'!$D:$D,$A$4,'ON Data'!$E:$E,6),SUMIFS('ON Data'!AS:AS,'ON Data'!$E:$E,6))</f>
        <v>0</v>
      </c>
      <c r="AP20" s="239">
        <f xml:space="preserve">
IF($A$4&lt;=12,SUMIFS('ON Data'!AT:AT,'ON Data'!$D:$D,$A$4,'ON Data'!$E:$E,6),SUMIFS('ON Data'!AT:AT,'ON Data'!$E:$E,6))</f>
        <v>0</v>
      </c>
      <c r="AQ20" s="239">
        <f xml:space="preserve">
IF($A$4&lt;=12,SUMIFS('ON Data'!AU:AU,'ON Data'!$D:$D,$A$4,'ON Data'!$E:$E,6),SUMIFS('ON Data'!AU:AU,'ON Data'!$E:$E,6))</f>
        <v>0</v>
      </c>
      <c r="AR20" s="239">
        <f xml:space="preserve">
IF($A$4&lt;=12,SUMIFS('ON Data'!AV:AV,'ON Data'!$D:$D,$A$4,'ON Data'!$E:$E,6),SUMIFS('ON Data'!AV:AV,'ON Data'!$E:$E,6))</f>
        <v>0</v>
      </c>
      <c r="AS20" s="450">
        <f xml:space="preserve">
IF($A$4&lt;=12,SUMIFS('ON Data'!AW:AW,'ON Data'!$D:$D,$A$4,'ON Data'!$E:$E,6),SUMIFS('ON Data'!AW:AW,'ON Data'!$E:$E,6))</f>
        <v>0</v>
      </c>
      <c r="AT20" s="455"/>
    </row>
    <row r="21" spans="1:46" ht="15" hidden="1" outlineLevel="1" thickBot="1" x14ac:dyDescent="0.35">
      <c r="A21" s="203" t="s">
        <v>84</v>
      </c>
      <c r="B21" s="223">
        <f xml:space="preserve">
IF($A$4&lt;=12,SUMIFS('ON Data'!F:F,'ON Data'!$D:$D,$A$4,'ON Data'!$E:$E,12),SUMIFS('ON Data'!F:F,'ON Data'!$E:$E,12))</f>
        <v>0</v>
      </c>
      <c r="C21" s="224">
        <f xml:space="preserve">
IF($A$4&lt;=12,SUMIFS('ON Data'!G:G,'ON Data'!$D:$D,$A$4,'ON Data'!$E:$E,12),SUMIFS('ON Data'!G:G,'ON Data'!$E:$E,12))</f>
        <v>0</v>
      </c>
      <c r="D21" s="225">
        <f xml:space="preserve">
IF($A$4&lt;=12,SUMIFS('ON Data'!H:H,'ON Data'!$D:$D,$A$4,'ON Data'!$E:$E,12),SUMIFS('ON Data'!H:H,'ON Data'!$E:$E,12))</f>
        <v>0</v>
      </c>
      <c r="E21" s="225"/>
      <c r="F21" s="225">
        <f xml:space="preserve">
IF($A$4&lt;=12,SUMIFS('ON Data'!J:J,'ON Data'!$D:$D,$A$4,'ON Data'!$E:$E,12),SUMIFS('ON Data'!J:J,'ON Data'!$E:$E,12))</f>
        <v>0</v>
      </c>
      <c r="G21" s="225">
        <f xml:space="preserve">
IF($A$4&lt;=12,SUMIFS('ON Data'!K:K,'ON Data'!$D:$D,$A$4,'ON Data'!$E:$E,12),SUMIFS('ON Data'!K:K,'ON Data'!$E:$E,12))</f>
        <v>0</v>
      </c>
      <c r="H21" s="225">
        <f xml:space="preserve">
IF($A$4&lt;=12,SUMIFS('ON Data'!L:L,'ON Data'!$D:$D,$A$4,'ON Data'!$E:$E,12),SUMIFS('ON Data'!L:L,'ON Data'!$E:$E,12))</f>
        <v>0</v>
      </c>
      <c r="I21" s="225">
        <f xml:space="preserve">
IF($A$4&lt;=12,SUMIFS('ON Data'!M:M,'ON Data'!$D:$D,$A$4,'ON Data'!$E:$E,12),SUMIFS('ON Data'!M:M,'ON Data'!$E:$E,12))</f>
        <v>0</v>
      </c>
      <c r="J21" s="225">
        <f xml:space="preserve">
IF($A$4&lt;=12,SUMIFS('ON Data'!N:N,'ON Data'!$D:$D,$A$4,'ON Data'!$E:$E,12),SUMIFS('ON Data'!N:N,'ON Data'!$E:$E,12))</f>
        <v>0</v>
      </c>
      <c r="K21" s="225">
        <f xml:space="preserve">
IF($A$4&lt;=12,SUMIFS('ON Data'!O:O,'ON Data'!$D:$D,$A$4,'ON Data'!$E:$E,12),SUMIFS('ON Data'!O:O,'ON Data'!$E:$E,12))</f>
        <v>0</v>
      </c>
      <c r="L21" s="225">
        <f xml:space="preserve">
IF($A$4&lt;=12,SUMIFS('ON Data'!P:P,'ON Data'!$D:$D,$A$4,'ON Data'!$E:$E,12),SUMIFS('ON Data'!P:P,'ON Data'!$E:$E,12))</f>
        <v>0</v>
      </c>
      <c r="M21" s="225">
        <f xml:space="preserve">
IF($A$4&lt;=12,SUMIFS('ON Data'!Q:Q,'ON Data'!$D:$D,$A$4,'ON Data'!$E:$E,12),SUMIFS('ON Data'!Q:Q,'ON Data'!$E:$E,12))</f>
        <v>0</v>
      </c>
      <c r="N21" s="225">
        <f xml:space="preserve">
IF($A$4&lt;=12,SUMIFS('ON Data'!R:R,'ON Data'!$D:$D,$A$4,'ON Data'!$E:$E,12),SUMIFS('ON Data'!R:R,'ON Data'!$E:$E,12))</f>
        <v>0</v>
      </c>
      <c r="O21" s="225">
        <f xml:space="preserve">
IF($A$4&lt;=12,SUMIFS('ON Data'!S:S,'ON Data'!$D:$D,$A$4,'ON Data'!$E:$E,12),SUMIFS('ON Data'!S:S,'ON Data'!$E:$E,12))</f>
        <v>0</v>
      </c>
      <c r="P21" s="225">
        <f xml:space="preserve">
IF($A$4&lt;=12,SUMIFS('ON Data'!T:T,'ON Data'!$D:$D,$A$4,'ON Data'!$E:$E,12),SUMIFS('ON Data'!T:T,'ON Data'!$E:$E,12))</f>
        <v>0</v>
      </c>
      <c r="Q21" s="225">
        <f xml:space="preserve">
IF($A$4&lt;=12,SUMIFS('ON Data'!U:U,'ON Data'!$D:$D,$A$4,'ON Data'!$E:$E,12),SUMIFS('ON Data'!U:U,'ON Data'!$E:$E,12))</f>
        <v>0</v>
      </c>
      <c r="R21" s="225">
        <f xml:space="preserve">
IF($A$4&lt;=12,SUMIFS('ON Data'!V:V,'ON Data'!$D:$D,$A$4,'ON Data'!$E:$E,12),SUMIFS('ON Data'!V:V,'ON Data'!$E:$E,12))</f>
        <v>0</v>
      </c>
      <c r="S21" s="225">
        <f xml:space="preserve">
IF($A$4&lt;=12,SUMIFS('ON Data'!W:W,'ON Data'!$D:$D,$A$4,'ON Data'!$E:$E,12),SUMIFS('ON Data'!W:W,'ON Data'!$E:$E,12))</f>
        <v>0</v>
      </c>
      <c r="T21" s="225">
        <f xml:space="preserve">
IF($A$4&lt;=12,SUMIFS('ON Data'!X:X,'ON Data'!$D:$D,$A$4,'ON Data'!$E:$E,12),SUMIFS('ON Data'!X:X,'ON Data'!$E:$E,12))</f>
        <v>0</v>
      </c>
      <c r="U21" s="225">
        <f xml:space="preserve">
IF($A$4&lt;=12,SUMIFS('ON Data'!Y:Y,'ON Data'!$D:$D,$A$4,'ON Data'!$E:$E,12),SUMIFS('ON Data'!Y:Y,'ON Data'!$E:$E,12))</f>
        <v>0</v>
      </c>
      <c r="V21" s="225">
        <f xml:space="preserve">
IF($A$4&lt;=12,SUMIFS('ON Data'!Z:Z,'ON Data'!$D:$D,$A$4,'ON Data'!$E:$E,12),SUMIFS('ON Data'!Z:Z,'ON Data'!$E:$E,12))</f>
        <v>0</v>
      </c>
      <c r="W21" s="225">
        <f xml:space="preserve">
IF($A$4&lt;=12,SUMIFS('ON Data'!AA:AA,'ON Data'!$D:$D,$A$4,'ON Data'!$E:$E,12),SUMIFS('ON Data'!AA:AA,'ON Data'!$E:$E,12))</f>
        <v>0</v>
      </c>
      <c r="X21" s="225">
        <f xml:space="preserve">
IF($A$4&lt;=12,SUMIFS('ON Data'!AB:AB,'ON Data'!$D:$D,$A$4,'ON Data'!$E:$E,12),SUMIFS('ON Data'!AB:AB,'ON Data'!$E:$E,12))</f>
        <v>0</v>
      </c>
      <c r="Y21" s="225">
        <f xml:space="preserve">
IF($A$4&lt;=12,SUMIFS('ON Data'!AC:AC,'ON Data'!$D:$D,$A$4,'ON Data'!$E:$E,12),SUMIFS('ON Data'!AC:AC,'ON Data'!$E:$E,12))</f>
        <v>0</v>
      </c>
      <c r="Z21" s="225">
        <f xml:space="preserve">
IF($A$4&lt;=12,SUMIFS('ON Data'!AD:AD,'ON Data'!$D:$D,$A$4,'ON Data'!$E:$E,12),SUMIFS('ON Data'!AD:AD,'ON Data'!$E:$E,12))</f>
        <v>0</v>
      </c>
      <c r="AA21" s="225"/>
      <c r="AB21" s="225">
        <f xml:space="preserve">
IF($A$4&lt;=12,SUMIFS('ON Data'!AF:AF,'ON Data'!$D:$D,$A$4,'ON Data'!$E:$E,12),SUMIFS('ON Data'!AF:AF,'ON Data'!$E:$E,12))</f>
        <v>0</v>
      </c>
      <c r="AC21" s="225">
        <f xml:space="preserve">
IF($A$4&lt;=12,SUMIFS('ON Data'!AG:AG,'ON Data'!$D:$D,$A$4,'ON Data'!$E:$E,12),SUMIFS('ON Data'!AG:AG,'ON Data'!$E:$E,12))</f>
        <v>0</v>
      </c>
      <c r="AD21" s="225">
        <f xml:space="preserve">
IF($A$4&lt;=12,SUMIFS('ON Data'!AH:AH,'ON Data'!$D:$D,$A$4,'ON Data'!$E:$E,12),SUMIFS('ON Data'!AH:AH,'ON Data'!$E:$E,12))</f>
        <v>0</v>
      </c>
      <c r="AE21" s="225">
        <f xml:space="preserve">
IF($A$4&lt;=12,SUMIFS('ON Data'!AI:AI,'ON Data'!$D:$D,$A$4,'ON Data'!$E:$E,12),SUMIFS('ON Data'!AI:AI,'ON Data'!$E:$E,12))</f>
        <v>0</v>
      </c>
      <c r="AF21" s="225">
        <f xml:space="preserve">
IF($A$4&lt;=12,SUMIFS('ON Data'!AJ:AJ,'ON Data'!$D:$D,$A$4,'ON Data'!$E:$E,12),SUMIFS('ON Data'!AJ:AJ,'ON Data'!$E:$E,12))</f>
        <v>0</v>
      </c>
      <c r="AG21" s="225">
        <f xml:space="preserve">
IF($A$4&lt;=12,SUMIFS('ON Data'!AK:AK,'ON Data'!$D:$D,$A$4,'ON Data'!$E:$E,12),SUMIFS('ON Data'!AK:AK,'ON Data'!$E:$E,12))</f>
        <v>0</v>
      </c>
      <c r="AH21" s="225">
        <f xml:space="preserve">
IF($A$4&lt;=12,SUMIFS('ON Data'!AL:AL,'ON Data'!$D:$D,$A$4,'ON Data'!$E:$E,12),SUMIFS('ON Data'!AL:AL,'ON Data'!$E:$E,12))</f>
        <v>0</v>
      </c>
      <c r="AI21" s="225">
        <f xml:space="preserve">
IF($A$4&lt;=12,SUMIFS('ON Data'!AM:AM,'ON Data'!$D:$D,$A$4,'ON Data'!$E:$E,12),SUMIFS('ON Data'!AM:AM,'ON Data'!$E:$E,12))</f>
        <v>0</v>
      </c>
      <c r="AJ21" s="225">
        <f xml:space="preserve">
IF($A$4&lt;=12,SUMIFS('ON Data'!AN:AN,'ON Data'!$D:$D,$A$4,'ON Data'!$E:$E,12),SUMIFS('ON Data'!AN:AN,'ON Data'!$E:$E,12))</f>
        <v>0</v>
      </c>
      <c r="AK21" s="225">
        <f xml:space="preserve">
IF($A$4&lt;=12,SUMIFS('ON Data'!AO:AO,'ON Data'!$D:$D,$A$4,'ON Data'!$E:$E,12),SUMIFS('ON Data'!AO:AO,'ON Data'!$E:$E,12))</f>
        <v>0</v>
      </c>
      <c r="AL21" s="225">
        <f xml:space="preserve">
IF($A$4&lt;=12,SUMIFS('ON Data'!AP:AP,'ON Data'!$D:$D,$A$4,'ON Data'!$E:$E,12),SUMIFS('ON Data'!AP:AP,'ON Data'!$E:$E,12))</f>
        <v>0</v>
      </c>
      <c r="AM21" s="226">
        <f xml:space="preserve">
IF($A$4&lt;=12,SUMIFS('ON Data'!AQ:AQ,'ON Data'!$D:$D,$A$4,'ON Data'!$E:$E,12),SUMIFS('ON Data'!AQ:AQ,'ON Data'!$E:$E,12))</f>
        <v>0</v>
      </c>
      <c r="AN21" s="298"/>
      <c r="AO21" s="298"/>
      <c r="AP21" s="298"/>
      <c r="AQ21" s="298"/>
      <c r="AR21" s="298"/>
      <c r="AS21" s="298"/>
      <c r="AT21" s="455"/>
    </row>
    <row r="22" spans="1:46" ht="15" hidden="1" outlineLevel="1" thickBot="1" x14ac:dyDescent="0.35">
      <c r="A22" s="203" t="s">
        <v>52</v>
      </c>
      <c r="B22" s="280" t="str">
        <f xml:space="preserve">
IF(OR(B21="",B21=0),"",B20/B21)</f>
        <v/>
      </c>
      <c r="C22" s="281" t="str">
        <f t="shared" ref="C22:I22" si="3" xml:space="preserve">
IF(OR(C21="",C21=0),"",C20/C21)</f>
        <v/>
      </c>
      <c r="D22" s="282" t="str">
        <f t="shared" si="3"/>
        <v/>
      </c>
      <c r="E22" s="282"/>
      <c r="F22" s="282" t="str">
        <f t="shared" si="3"/>
        <v/>
      </c>
      <c r="G22" s="282" t="str">
        <f t="shared" si="3"/>
        <v/>
      </c>
      <c r="H22" s="282" t="str">
        <f t="shared" si="3"/>
        <v/>
      </c>
      <c r="I22" s="282" t="str">
        <f t="shared" si="3"/>
        <v/>
      </c>
      <c r="J22" s="282" t="str">
        <f t="shared" ref="J22:AM22" si="4" xml:space="preserve">
IF(OR(J21="",J21=0),"",J20/J21)</f>
        <v/>
      </c>
      <c r="K22" s="282" t="str">
        <f t="shared" si="4"/>
        <v/>
      </c>
      <c r="L22" s="282" t="str">
        <f t="shared" si="4"/>
        <v/>
      </c>
      <c r="M22" s="282" t="str">
        <f t="shared" si="4"/>
        <v/>
      </c>
      <c r="N22" s="282" t="str">
        <f t="shared" si="4"/>
        <v/>
      </c>
      <c r="O22" s="282" t="str">
        <f t="shared" si="4"/>
        <v/>
      </c>
      <c r="P22" s="282" t="str">
        <f t="shared" si="4"/>
        <v/>
      </c>
      <c r="Q22" s="282" t="str">
        <f t="shared" si="4"/>
        <v/>
      </c>
      <c r="R22" s="282" t="str">
        <f t="shared" si="4"/>
        <v/>
      </c>
      <c r="S22" s="282" t="str">
        <f t="shared" si="4"/>
        <v/>
      </c>
      <c r="T22" s="282" t="str">
        <f t="shared" si="4"/>
        <v/>
      </c>
      <c r="U22" s="282" t="str">
        <f t="shared" si="4"/>
        <v/>
      </c>
      <c r="V22" s="282" t="str">
        <f t="shared" si="4"/>
        <v/>
      </c>
      <c r="W22" s="282" t="str">
        <f t="shared" si="4"/>
        <v/>
      </c>
      <c r="X22" s="282" t="str">
        <f t="shared" si="4"/>
        <v/>
      </c>
      <c r="Y22" s="282" t="str">
        <f t="shared" si="4"/>
        <v/>
      </c>
      <c r="Z22" s="282" t="str">
        <f t="shared" si="4"/>
        <v/>
      </c>
      <c r="AA22" s="282"/>
      <c r="AB22" s="282" t="str">
        <f t="shared" si="4"/>
        <v/>
      </c>
      <c r="AC22" s="282" t="str">
        <f t="shared" si="4"/>
        <v/>
      </c>
      <c r="AD22" s="282" t="str">
        <f t="shared" si="4"/>
        <v/>
      </c>
      <c r="AE22" s="282" t="str">
        <f t="shared" si="4"/>
        <v/>
      </c>
      <c r="AF22" s="282" t="str">
        <f t="shared" si="4"/>
        <v/>
      </c>
      <c r="AG22" s="282" t="str">
        <f t="shared" si="4"/>
        <v/>
      </c>
      <c r="AH22" s="282" t="str">
        <f t="shared" si="4"/>
        <v/>
      </c>
      <c r="AI22" s="282" t="str">
        <f t="shared" si="4"/>
        <v/>
      </c>
      <c r="AJ22" s="282" t="str">
        <f t="shared" si="4"/>
        <v/>
      </c>
      <c r="AK22" s="282" t="str">
        <f t="shared" si="4"/>
        <v/>
      </c>
      <c r="AL22" s="282" t="str">
        <f t="shared" si="4"/>
        <v/>
      </c>
      <c r="AM22" s="283" t="str">
        <f t="shared" si="4"/>
        <v/>
      </c>
      <c r="AN22" s="298"/>
      <c r="AO22" s="298"/>
      <c r="AP22" s="298"/>
      <c r="AQ22" s="298"/>
      <c r="AR22" s="298"/>
      <c r="AS22" s="298"/>
      <c r="AT22" s="455"/>
    </row>
    <row r="23" spans="1:46" ht="15" hidden="1" outlineLevel="1" thickBot="1" x14ac:dyDescent="0.35">
      <c r="A23" s="211" t="s">
        <v>45</v>
      </c>
      <c r="B23" s="227">
        <f xml:space="preserve">
IF(B21="","",B20-B21)</f>
        <v>436403</v>
      </c>
      <c r="C23" s="228">
        <f t="shared" ref="C23:I23" si="5" xml:space="preserve">
IF(C21="","",C20-C21)</f>
        <v>0</v>
      </c>
      <c r="D23" s="229">
        <f t="shared" si="5"/>
        <v>0</v>
      </c>
      <c r="E23" s="229"/>
      <c r="F23" s="229">
        <f t="shared" si="5"/>
        <v>0</v>
      </c>
      <c r="G23" s="229">
        <f t="shared" si="5"/>
        <v>0</v>
      </c>
      <c r="H23" s="229">
        <f t="shared" si="5"/>
        <v>0</v>
      </c>
      <c r="I23" s="229">
        <f t="shared" si="5"/>
        <v>0</v>
      </c>
      <c r="J23" s="229">
        <f t="shared" ref="J23:AM23" si="6" xml:space="preserve">
IF(J21="","",J20-J21)</f>
        <v>0</v>
      </c>
      <c r="K23" s="229">
        <f t="shared" si="6"/>
        <v>0</v>
      </c>
      <c r="L23" s="229">
        <f t="shared" si="6"/>
        <v>0</v>
      </c>
      <c r="M23" s="229">
        <f t="shared" si="6"/>
        <v>0</v>
      </c>
      <c r="N23" s="229">
        <f t="shared" si="6"/>
        <v>0</v>
      </c>
      <c r="O23" s="229">
        <f t="shared" si="6"/>
        <v>0</v>
      </c>
      <c r="P23" s="229">
        <f t="shared" si="6"/>
        <v>0</v>
      </c>
      <c r="Q23" s="229">
        <f t="shared" si="6"/>
        <v>0</v>
      </c>
      <c r="R23" s="229">
        <f t="shared" si="6"/>
        <v>0</v>
      </c>
      <c r="S23" s="229">
        <f t="shared" si="6"/>
        <v>0</v>
      </c>
      <c r="T23" s="229">
        <f t="shared" si="6"/>
        <v>0</v>
      </c>
      <c r="U23" s="229">
        <f t="shared" si="6"/>
        <v>0</v>
      </c>
      <c r="V23" s="229">
        <f t="shared" si="6"/>
        <v>0</v>
      </c>
      <c r="W23" s="229">
        <f t="shared" si="6"/>
        <v>0</v>
      </c>
      <c r="X23" s="229">
        <f t="shared" si="6"/>
        <v>0</v>
      </c>
      <c r="Y23" s="229">
        <f t="shared" si="6"/>
        <v>0</v>
      </c>
      <c r="Z23" s="229">
        <f t="shared" si="6"/>
        <v>0</v>
      </c>
      <c r="AA23" s="229"/>
      <c r="AB23" s="229">
        <f t="shared" si="6"/>
        <v>0</v>
      </c>
      <c r="AC23" s="229">
        <f t="shared" si="6"/>
        <v>0</v>
      </c>
      <c r="AD23" s="229">
        <f t="shared" si="6"/>
        <v>0</v>
      </c>
      <c r="AE23" s="229">
        <f t="shared" si="6"/>
        <v>429548</v>
      </c>
      <c r="AF23" s="229">
        <f t="shared" si="6"/>
        <v>0</v>
      </c>
      <c r="AG23" s="229">
        <f t="shared" si="6"/>
        <v>0</v>
      </c>
      <c r="AH23" s="229">
        <f t="shared" si="6"/>
        <v>0</v>
      </c>
      <c r="AI23" s="229">
        <f t="shared" si="6"/>
        <v>0</v>
      </c>
      <c r="AJ23" s="229">
        <f t="shared" si="6"/>
        <v>0</v>
      </c>
      <c r="AK23" s="229">
        <f t="shared" si="6"/>
        <v>0</v>
      </c>
      <c r="AL23" s="229">
        <f t="shared" si="6"/>
        <v>0</v>
      </c>
      <c r="AM23" s="230">
        <f t="shared" si="6"/>
        <v>0</v>
      </c>
      <c r="AN23" s="298"/>
      <c r="AO23" s="298"/>
      <c r="AP23" s="298"/>
      <c r="AQ23" s="298"/>
      <c r="AR23" s="298"/>
      <c r="AS23" s="298"/>
      <c r="AT23" s="455"/>
    </row>
    <row r="24" spans="1:46" x14ac:dyDescent="0.3">
      <c r="A24" s="205" t="s">
        <v>147</v>
      </c>
      <c r="B24" s="254" t="s">
        <v>3</v>
      </c>
      <c r="C24" s="456" t="s">
        <v>159</v>
      </c>
      <c r="D24" s="427"/>
      <c r="E24" s="428"/>
      <c r="F24" s="429" t="s">
        <v>245</v>
      </c>
      <c r="G24" s="430"/>
      <c r="H24" s="430"/>
      <c r="I24" s="430"/>
      <c r="J24" s="430"/>
      <c r="K24" s="430"/>
      <c r="L24" s="429" t="s">
        <v>158</v>
      </c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8"/>
      <c r="AC24" s="428"/>
      <c r="AD24" s="428"/>
      <c r="AE24" s="428"/>
      <c r="AF24" s="428"/>
      <c r="AG24" s="428"/>
      <c r="AH24" s="428"/>
      <c r="AI24" s="428"/>
      <c r="AJ24" s="428"/>
      <c r="AK24" s="428"/>
      <c r="AL24" s="428"/>
      <c r="AM24" s="428"/>
      <c r="AN24" s="428"/>
      <c r="AO24" s="428"/>
      <c r="AP24" s="428"/>
      <c r="AQ24" s="429" t="s">
        <v>246</v>
      </c>
      <c r="AR24" s="428"/>
      <c r="AS24" s="451"/>
      <c r="AT24" s="455"/>
    </row>
    <row r="25" spans="1:46" x14ac:dyDescent="0.3">
      <c r="A25" s="206" t="s">
        <v>50</v>
      </c>
      <c r="B25" s="223">
        <f xml:space="preserve">
SUM(C25:AS25)</f>
        <v>1500</v>
      </c>
      <c r="C25" s="457">
        <f xml:space="preserve">
IF($A$4&lt;=12,SUMIFS('ON Data'!$I:$I,'ON Data'!$D:$D,$A$4,'ON Data'!$E:$E,10),SUMIFS('ON Data'!$I:$I,'ON Data'!$E:$E,10))</f>
        <v>0</v>
      </c>
      <c r="D25" s="431"/>
      <c r="E25" s="432"/>
      <c r="F25" s="433">
        <f xml:space="preserve">
IF($A$4&lt;=12,SUMIFS('ON Data'!K:K,'ON Data'!$D:$D,$A$4,'ON Data'!$E:$E,10),SUMIFS('ON Data'!K:K,'ON Data'!$E:$E,10))</f>
        <v>0</v>
      </c>
      <c r="G25" s="432"/>
      <c r="H25" s="432"/>
      <c r="I25" s="432"/>
      <c r="J25" s="432"/>
      <c r="K25" s="432"/>
      <c r="L25" s="433">
        <f xml:space="preserve">
IF($A$4&lt;=12,SUMIFS('ON Data'!P:P,'ON Data'!$D:$D,$A$4,'ON Data'!$E:$E,10),SUMIFS('ON Data'!P:P,'ON Data'!$E:$E,10))</f>
        <v>0</v>
      </c>
      <c r="M25" s="432"/>
      <c r="N25" s="432"/>
      <c r="O25" s="432"/>
      <c r="P25" s="432"/>
      <c r="Q25" s="432"/>
      <c r="R25" s="432"/>
      <c r="S25" s="432"/>
      <c r="T25" s="432"/>
      <c r="U25" s="432"/>
      <c r="V25" s="432"/>
      <c r="W25" s="432"/>
      <c r="X25" s="432"/>
      <c r="Y25" s="432"/>
      <c r="Z25" s="432"/>
      <c r="AA25" s="432"/>
      <c r="AB25" s="432"/>
      <c r="AC25" s="432"/>
      <c r="AD25" s="432"/>
      <c r="AE25" s="432"/>
      <c r="AF25" s="432"/>
      <c r="AG25" s="432"/>
      <c r="AH25" s="432"/>
      <c r="AI25" s="432"/>
      <c r="AJ25" s="432"/>
      <c r="AK25" s="432"/>
      <c r="AL25" s="432"/>
      <c r="AM25" s="432"/>
      <c r="AN25" s="432"/>
      <c r="AO25" s="432"/>
      <c r="AP25" s="432"/>
      <c r="AQ25" s="433">
        <f xml:space="preserve">
IF($A$4&lt;=12,SUMIFS('ON Data'!AW:AW,'ON Data'!$D:$D,$A$4,'ON Data'!$E:$E,10),SUMIFS('ON Data'!AW:AW,'ON Data'!$E:$E,10))</f>
        <v>1500</v>
      </c>
      <c r="AR25" s="432"/>
      <c r="AS25" s="452"/>
      <c r="AT25" s="455"/>
    </row>
    <row r="26" spans="1:46" x14ac:dyDescent="0.3">
      <c r="A26" s="212" t="s">
        <v>157</v>
      </c>
      <c r="B26" s="234">
        <f xml:space="preserve">
SUM(C26:AS26)</f>
        <v>2083.3333333333335</v>
      </c>
      <c r="C26" s="457">
        <f xml:space="preserve">
IF($A$4&lt;=12,SUMIFS('ON Data'!$I:$I,'ON Data'!$D:$D,$A$4,'ON Data'!$E:$E,11),SUMIFS('ON Data'!$I:$I,'ON Data'!$E:$E,11))</f>
        <v>0</v>
      </c>
      <c r="D26" s="431"/>
      <c r="E26" s="432"/>
      <c r="F26" s="433">
        <f xml:space="preserve">
IF($A$4&lt;=12,SUMIFS('ON Data'!K:K,'ON Data'!$D:$D,$A$4,'ON Data'!$E:$E,11),SUMIFS('ON Data'!K:K,'ON Data'!$E:$E,11))</f>
        <v>0</v>
      </c>
      <c r="G26" s="432"/>
      <c r="H26" s="432"/>
      <c r="I26" s="432"/>
      <c r="J26" s="432"/>
      <c r="K26" s="432"/>
      <c r="L26" s="434">
        <f xml:space="preserve">
IF($A$4&lt;=12,SUMIFS('ON Data'!P:P,'ON Data'!$D:$D,$A$4,'ON Data'!$E:$E,11),SUMIFS('ON Data'!P:P,'ON Data'!$E:$E,11))</f>
        <v>0</v>
      </c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4">
        <f xml:space="preserve">
IF($A$4&lt;=12,SUMIFS('ON Data'!AW:AW,'ON Data'!$D:$D,$A$4,'ON Data'!$E:$E,11),SUMIFS('ON Data'!AW:AW,'ON Data'!$E:$E,11))</f>
        <v>2083.3333333333335</v>
      </c>
      <c r="AR26" s="435"/>
      <c r="AS26" s="453"/>
      <c r="AT26" s="455"/>
    </row>
    <row r="27" spans="1:46" x14ac:dyDescent="0.3">
      <c r="A27" s="212" t="s">
        <v>52</v>
      </c>
      <c r="B27" s="255">
        <f xml:space="preserve">
IF(B26=0,0,B25/B26)</f>
        <v>0.72</v>
      </c>
      <c r="C27" s="458">
        <f xml:space="preserve">
IF(C26=0,0,C25/C26)</f>
        <v>0</v>
      </c>
      <c r="D27" s="431"/>
      <c r="E27" s="432"/>
      <c r="F27" s="436">
        <f xml:space="preserve">
IF(F26=0,0,F25/F26)</f>
        <v>0</v>
      </c>
      <c r="G27" s="432"/>
      <c r="H27" s="432"/>
      <c r="I27" s="432"/>
      <c r="J27" s="432"/>
      <c r="K27" s="432"/>
      <c r="L27" s="436">
        <f xml:space="preserve">
IF(L26=0,0,L25/L26)</f>
        <v>0</v>
      </c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  <c r="AA27" s="432"/>
      <c r="AB27" s="432"/>
      <c r="AC27" s="432"/>
      <c r="AD27" s="432"/>
      <c r="AE27" s="432"/>
      <c r="AF27" s="432"/>
      <c r="AG27" s="432"/>
      <c r="AH27" s="432"/>
      <c r="AI27" s="432"/>
      <c r="AJ27" s="432"/>
      <c r="AK27" s="432"/>
      <c r="AL27" s="432"/>
      <c r="AM27" s="432"/>
      <c r="AN27" s="432"/>
      <c r="AO27" s="432"/>
      <c r="AP27" s="432"/>
      <c r="AQ27" s="436">
        <f xml:space="preserve">
IF(AQ26=0,0,AQ25/AQ26)</f>
        <v>0.72</v>
      </c>
      <c r="AR27" s="432"/>
      <c r="AS27" s="452"/>
      <c r="AT27" s="455"/>
    </row>
    <row r="28" spans="1:46" ht="15" thickBot="1" x14ac:dyDescent="0.35">
      <c r="A28" s="212" t="s">
        <v>156</v>
      </c>
      <c r="B28" s="234">
        <f xml:space="preserve">
SUM(C28:AS28)</f>
        <v>583.33333333333348</v>
      </c>
      <c r="C28" s="459">
        <f xml:space="preserve">
C26-C25</f>
        <v>0</v>
      </c>
      <c r="D28" s="437"/>
      <c r="E28" s="438"/>
      <c r="F28" s="439">
        <f xml:space="preserve">
F26-F25</f>
        <v>0</v>
      </c>
      <c r="G28" s="438"/>
      <c r="H28" s="438"/>
      <c r="I28" s="438"/>
      <c r="J28" s="438"/>
      <c r="K28" s="438"/>
      <c r="L28" s="439">
        <f xml:space="preserve">
L26-L25</f>
        <v>0</v>
      </c>
      <c r="M28" s="438"/>
      <c r="N28" s="438"/>
      <c r="O28" s="438"/>
      <c r="P28" s="438"/>
      <c r="Q28" s="438"/>
      <c r="R28" s="438"/>
      <c r="S28" s="438"/>
      <c r="T28" s="438"/>
      <c r="U28" s="438"/>
      <c r="V28" s="438"/>
      <c r="W28" s="438"/>
      <c r="X28" s="438"/>
      <c r="Y28" s="438"/>
      <c r="Z28" s="438"/>
      <c r="AA28" s="438"/>
      <c r="AB28" s="438"/>
      <c r="AC28" s="438"/>
      <c r="AD28" s="438"/>
      <c r="AE28" s="438"/>
      <c r="AF28" s="438"/>
      <c r="AG28" s="438"/>
      <c r="AH28" s="438"/>
      <c r="AI28" s="438"/>
      <c r="AJ28" s="438"/>
      <c r="AK28" s="438"/>
      <c r="AL28" s="438"/>
      <c r="AM28" s="438"/>
      <c r="AN28" s="438"/>
      <c r="AO28" s="438"/>
      <c r="AP28" s="438"/>
      <c r="AQ28" s="439">
        <f xml:space="preserve">
AQ26-AQ25</f>
        <v>583.33333333333348</v>
      </c>
      <c r="AR28" s="438"/>
      <c r="AS28" s="454"/>
      <c r="AT28" s="455"/>
    </row>
    <row r="29" spans="1:46" x14ac:dyDescent="0.3">
      <c r="A29" s="213"/>
      <c r="B29" s="213"/>
      <c r="C29" s="214"/>
      <c r="D29" s="213"/>
      <c r="E29" s="213"/>
      <c r="F29" s="213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3"/>
      <c r="AJ29" s="213"/>
      <c r="AK29" s="213"/>
      <c r="AL29" s="213"/>
      <c r="AM29" s="213"/>
    </row>
    <row r="30" spans="1:46" x14ac:dyDescent="0.3">
      <c r="A30" s="85" t="s">
        <v>115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19"/>
      <c r="AL30" s="119"/>
      <c r="AM30" s="119"/>
    </row>
    <row r="31" spans="1:46" x14ac:dyDescent="0.3">
      <c r="A31" s="86" t="s">
        <v>154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19"/>
      <c r="AL31" s="119"/>
      <c r="AM31" s="119"/>
    </row>
    <row r="32" spans="1:46" ht="14.4" customHeight="1" x14ac:dyDescent="0.3">
      <c r="A32" s="251" t="s">
        <v>151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</row>
    <row r="33" spans="1:1" x14ac:dyDescent="0.3">
      <c r="A33" s="253" t="s">
        <v>241</v>
      </c>
    </row>
    <row r="34" spans="1:1" x14ac:dyDescent="0.3">
      <c r="A34" s="253" t="s">
        <v>242</v>
      </c>
    </row>
    <row r="35" spans="1:1" x14ac:dyDescent="0.3">
      <c r="A35" s="253" t="s">
        <v>243</v>
      </c>
    </row>
    <row r="36" spans="1:1" x14ac:dyDescent="0.3">
      <c r="A36" s="253" t="s">
        <v>244</v>
      </c>
    </row>
    <row r="37" spans="1:1" x14ac:dyDescent="0.3">
      <c r="A37" s="253" t="s">
        <v>160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10" priority="12" operator="greaterThan">
      <formula>1</formula>
    </cfRule>
  </conditionalFormatting>
  <conditionalFormatting sqref="C28">
    <cfRule type="cellIs" dxfId="9" priority="11" operator="lessThan">
      <formula>0</formula>
    </cfRule>
  </conditionalFormatting>
  <conditionalFormatting sqref="B22:AM22">
    <cfRule type="cellIs" dxfId="8" priority="10" operator="greaterThan">
      <formula>1</formula>
    </cfRule>
  </conditionalFormatting>
  <conditionalFormatting sqref="B23:AM23">
    <cfRule type="cellIs" dxfId="7" priority="9" operator="greaterThan">
      <formula>0</formula>
    </cfRule>
  </conditionalFormatting>
  <conditionalFormatting sqref="L28">
    <cfRule type="cellIs" dxfId="6" priority="5" operator="lessThan">
      <formula>0</formula>
    </cfRule>
  </conditionalFormatting>
  <conditionalFormatting sqref="L27">
    <cfRule type="cellIs" dxfId="5" priority="6" operator="greaterThan">
      <formula>1</formula>
    </cfRule>
  </conditionalFormatting>
  <conditionalFormatting sqref="F27">
    <cfRule type="cellIs" dxfId="4" priority="4" operator="greaterThan">
      <formula>1</formula>
    </cfRule>
  </conditionalFormatting>
  <conditionalFormatting sqref="F28">
    <cfRule type="cellIs" dxfId="3" priority="3" operator="lessThan">
      <formula>0</formula>
    </cfRule>
  </conditionalFormatting>
  <conditionalFormatting sqref="AQ28">
    <cfRule type="cellIs" dxfId="2" priority="1" operator="lessThan">
      <formula>0</formula>
    </cfRule>
  </conditionalFormatting>
  <conditionalFormatting sqref="AQ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6"/>
  <sheetViews>
    <sheetView showGridLines="0" showRowColHeaders="0" workbookViewId="0"/>
  </sheetViews>
  <sheetFormatPr defaultRowHeight="14.4" x14ac:dyDescent="0.3"/>
  <cols>
    <col min="1" max="16384" width="8.88671875" style="192"/>
  </cols>
  <sheetData>
    <row r="1" spans="1:49" x14ac:dyDescent="0.3">
      <c r="A1" s="192" t="s">
        <v>361</v>
      </c>
    </row>
    <row r="2" spans="1:49" x14ac:dyDescent="0.3">
      <c r="A2" s="196" t="s">
        <v>247</v>
      </c>
    </row>
    <row r="3" spans="1:49" x14ac:dyDescent="0.3">
      <c r="A3" s="192" t="s">
        <v>119</v>
      </c>
      <c r="B3" s="217">
        <v>2017</v>
      </c>
      <c r="D3" s="193">
        <f>MAX(D5:D1048576)</f>
        <v>2</v>
      </c>
      <c r="F3" s="193">
        <f>SUMIF($E5:$E1048576,"&lt;10",F5:F1048576)</f>
        <v>438021</v>
      </c>
      <c r="G3" s="193">
        <f t="shared" ref="G3:AW3" si="0">SUMIF($E5:$E1048576,"&lt;10",G5:G1048576)</f>
        <v>0</v>
      </c>
      <c r="H3" s="193">
        <f t="shared" si="0"/>
        <v>0</v>
      </c>
      <c r="I3" s="193">
        <f t="shared" si="0"/>
        <v>6855</v>
      </c>
      <c r="J3" s="193">
        <f t="shared" si="0"/>
        <v>0</v>
      </c>
      <c r="K3" s="193">
        <f t="shared" si="0"/>
        <v>0</v>
      </c>
      <c r="L3" s="193">
        <f t="shared" si="0"/>
        <v>0</v>
      </c>
      <c r="M3" s="193">
        <f t="shared" si="0"/>
        <v>0</v>
      </c>
      <c r="N3" s="193">
        <f t="shared" si="0"/>
        <v>0</v>
      </c>
      <c r="O3" s="193">
        <f t="shared" si="0"/>
        <v>0</v>
      </c>
      <c r="P3" s="193">
        <f t="shared" si="0"/>
        <v>0</v>
      </c>
      <c r="Q3" s="193">
        <f t="shared" si="0"/>
        <v>0</v>
      </c>
      <c r="R3" s="193">
        <f t="shared" si="0"/>
        <v>0</v>
      </c>
      <c r="S3" s="193">
        <f t="shared" si="0"/>
        <v>0</v>
      </c>
      <c r="T3" s="193">
        <f t="shared" si="0"/>
        <v>0</v>
      </c>
      <c r="U3" s="193">
        <f t="shared" si="0"/>
        <v>0</v>
      </c>
      <c r="V3" s="193">
        <f t="shared" si="0"/>
        <v>0</v>
      </c>
      <c r="W3" s="193">
        <f t="shared" si="0"/>
        <v>0</v>
      </c>
      <c r="X3" s="193">
        <f t="shared" si="0"/>
        <v>0</v>
      </c>
      <c r="Y3" s="193">
        <f t="shared" si="0"/>
        <v>0</v>
      </c>
      <c r="Z3" s="193">
        <f t="shared" si="0"/>
        <v>0</v>
      </c>
      <c r="AA3" s="193">
        <f t="shared" si="0"/>
        <v>0</v>
      </c>
      <c r="AB3" s="193">
        <f t="shared" si="0"/>
        <v>0</v>
      </c>
      <c r="AC3" s="193">
        <f t="shared" si="0"/>
        <v>0</v>
      </c>
      <c r="AD3" s="193">
        <f t="shared" si="0"/>
        <v>0</v>
      </c>
      <c r="AE3" s="193">
        <f t="shared" si="0"/>
        <v>0</v>
      </c>
      <c r="AF3" s="193">
        <f t="shared" si="0"/>
        <v>0</v>
      </c>
      <c r="AG3" s="193">
        <f t="shared" si="0"/>
        <v>0</v>
      </c>
      <c r="AH3" s="193">
        <f t="shared" si="0"/>
        <v>0</v>
      </c>
      <c r="AI3" s="193">
        <f t="shared" si="0"/>
        <v>431166</v>
      </c>
      <c r="AJ3" s="193">
        <f t="shared" si="0"/>
        <v>0</v>
      </c>
      <c r="AK3" s="193">
        <f t="shared" si="0"/>
        <v>0</v>
      </c>
      <c r="AL3" s="193">
        <f t="shared" si="0"/>
        <v>0</v>
      </c>
      <c r="AM3" s="193">
        <f t="shared" si="0"/>
        <v>0</v>
      </c>
      <c r="AN3" s="193">
        <f t="shared" si="0"/>
        <v>0</v>
      </c>
      <c r="AO3" s="193">
        <f t="shared" si="0"/>
        <v>0</v>
      </c>
      <c r="AP3" s="193">
        <f t="shared" si="0"/>
        <v>0</v>
      </c>
      <c r="AQ3" s="193">
        <f t="shared" si="0"/>
        <v>0</v>
      </c>
      <c r="AR3" s="193">
        <f t="shared" si="0"/>
        <v>0</v>
      </c>
      <c r="AS3" s="193">
        <f t="shared" si="0"/>
        <v>0</v>
      </c>
      <c r="AT3" s="193">
        <f t="shared" si="0"/>
        <v>0</v>
      </c>
      <c r="AU3" s="193">
        <f t="shared" si="0"/>
        <v>0</v>
      </c>
      <c r="AV3" s="193">
        <f t="shared" si="0"/>
        <v>0</v>
      </c>
      <c r="AW3" s="193">
        <f t="shared" si="0"/>
        <v>0</v>
      </c>
    </row>
    <row r="4" spans="1:49" x14ac:dyDescent="0.3">
      <c r="A4" s="192" t="s">
        <v>120</v>
      </c>
      <c r="B4" s="217">
        <v>1</v>
      </c>
      <c r="C4" s="194" t="s">
        <v>4</v>
      </c>
      <c r="D4" s="195" t="s">
        <v>44</v>
      </c>
      <c r="E4" s="195" t="s">
        <v>118</v>
      </c>
      <c r="F4" s="195" t="s">
        <v>3</v>
      </c>
      <c r="G4" s="195">
        <v>0</v>
      </c>
      <c r="H4" s="195">
        <v>25</v>
      </c>
      <c r="I4" s="195">
        <v>30</v>
      </c>
      <c r="J4" s="195">
        <v>99</v>
      </c>
      <c r="K4" s="195">
        <v>100</v>
      </c>
      <c r="L4" s="195">
        <v>101</v>
      </c>
      <c r="M4" s="195">
        <v>102</v>
      </c>
      <c r="N4" s="195">
        <v>103</v>
      </c>
      <c r="O4" s="195">
        <v>203</v>
      </c>
      <c r="P4" s="195">
        <v>302</v>
      </c>
      <c r="Q4" s="195">
        <v>303</v>
      </c>
      <c r="R4" s="195">
        <v>304</v>
      </c>
      <c r="S4" s="195">
        <v>305</v>
      </c>
      <c r="T4" s="195">
        <v>306</v>
      </c>
      <c r="U4" s="195">
        <v>407</v>
      </c>
      <c r="V4" s="195">
        <v>408</v>
      </c>
      <c r="W4" s="195">
        <v>409</v>
      </c>
      <c r="X4" s="195">
        <v>410</v>
      </c>
      <c r="Y4" s="195">
        <v>415</v>
      </c>
      <c r="Z4" s="195">
        <v>416</v>
      </c>
      <c r="AA4" s="195">
        <v>418</v>
      </c>
      <c r="AB4" s="195">
        <v>419</v>
      </c>
      <c r="AC4" s="195">
        <v>420</v>
      </c>
      <c r="AD4" s="195">
        <v>421</v>
      </c>
      <c r="AE4" s="195">
        <v>422</v>
      </c>
      <c r="AF4" s="195">
        <v>520</v>
      </c>
      <c r="AG4" s="195">
        <v>521</v>
      </c>
      <c r="AH4" s="195">
        <v>522</v>
      </c>
      <c r="AI4" s="195">
        <v>523</v>
      </c>
      <c r="AJ4" s="195">
        <v>524</v>
      </c>
      <c r="AK4" s="195">
        <v>525</v>
      </c>
      <c r="AL4" s="195">
        <v>526</v>
      </c>
      <c r="AM4" s="195">
        <v>527</v>
      </c>
      <c r="AN4" s="195">
        <v>528</v>
      </c>
      <c r="AO4" s="195">
        <v>629</v>
      </c>
      <c r="AP4" s="195">
        <v>630</v>
      </c>
      <c r="AQ4" s="195">
        <v>636</v>
      </c>
      <c r="AR4" s="195">
        <v>637</v>
      </c>
      <c r="AS4" s="195">
        <v>640</v>
      </c>
      <c r="AT4" s="195">
        <v>642</v>
      </c>
      <c r="AU4" s="195">
        <v>743</v>
      </c>
      <c r="AV4" s="195">
        <v>745</v>
      </c>
      <c r="AW4" s="195">
        <v>746</v>
      </c>
    </row>
    <row r="5" spans="1:49" x14ac:dyDescent="0.3">
      <c r="A5" s="192" t="s">
        <v>121</v>
      </c>
      <c r="B5" s="217">
        <v>2</v>
      </c>
      <c r="C5" s="192">
        <v>36</v>
      </c>
      <c r="D5" s="192">
        <v>1</v>
      </c>
      <c r="E5" s="192">
        <v>1</v>
      </c>
      <c r="F5" s="192">
        <v>5</v>
      </c>
      <c r="G5" s="192">
        <v>0</v>
      </c>
      <c r="H5" s="192">
        <v>0</v>
      </c>
      <c r="I5" s="192">
        <v>0</v>
      </c>
      <c r="J5" s="192">
        <v>0</v>
      </c>
      <c r="K5" s="192">
        <v>0</v>
      </c>
      <c r="L5" s="192">
        <v>0</v>
      </c>
      <c r="M5" s="192">
        <v>0</v>
      </c>
      <c r="N5" s="192">
        <v>0</v>
      </c>
      <c r="O5" s="192">
        <v>0</v>
      </c>
      <c r="P5" s="192">
        <v>0</v>
      </c>
      <c r="Q5" s="192">
        <v>0</v>
      </c>
      <c r="R5" s="192">
        <v>0</v>
      </c>
      <c r="S5" s="192">
        <v>0</v>
      </c>
      <c r="T5" s="192">
        <v>0</v>
      </c>
      <c r="U5" s="192">
        <v>0</v>
      </c>
      <c r="V5" s="192">
        <v>0</v>
      </c>
      <c r="W5" s="192">
        <v>0</v>
      </c>
      <c r="X5" s="192">
        <v>0</v>
      </c>
      <c r="Y5" s="192">
        <v>0</v>
      </c>
      <c r="Z5" s="192">
        <v>0</v>
      </c>
      <c r="AA5" s="192">
        <v>0</v>
      </c>
      <c r="AB5" s="192">
        <v>0</v>
      </c>
      <c r="AC5" s="192">
        <v>0</v>
      </c>
      <c r="AD5" s="192">
        <v>0</v>
      </c>
      <c r="AE5" s="192">
        <v>0</v>
      </c>
      <c r="AF5" s="192">
        <v>0</v>
      </c>
      <c r="AG5" s="192">
        <v>0</v>
      </c>
      <c r="AH5" s="192">
        <v>0</v>
      </c>
      <c r="AI5" s="192">
        <v>5</v>
      </c>
      <c r="AJ5" s="192">
        <v>0</v>
      </c>
      <c r="AK5" s="192">
        <v>0</v>
      </c>
      <c r="AL5" s="192">
        <v>0</v>
      </c>
      <c r="AM5" s="192">
        <v>0</v>
      </c>
      <c r="AN5" s="192">
        <v>0</v>
      </c>
      <c r="AO5" s="192">
        <v>0</v>
      </c>
      <c r="AP5" s="192">
        <v>0</v>
      </c>
      <c r="AQ5" s="192">
        <v>0</v>
      </c>
      <c r="AR5" s="192">
        <v>0</v>
      </c>
      <c r="AS5" s="192">
        <v>0</v>
      </c>
      <c r="AT5" s="192">
        <v>0</v>
      </c>
      <c r="AU5" s="192">
        <v>0</v>
      </c>
      <c r="AV5" s="192">
        <v>0</v>
      </c>
      <c r="AW5" s="192">
        <v>0</v>
      </c>
    </row>
    <row r="6" spans="1:49" x14ac:dyDescent="0.3">
      <c r="A6" s="192" t="s">
        <v>122</v>
      </c>
      <c r="B6" s="217">
        <v>3</v>
      </c>
      <c r="C6" s="192">
        <v>36</v>
      </c>
      <c r="D6" s="192">
        <v>1</v>
      </c>
      <c r="E6" s="192">
        <v>2</v>
      </c>
      <c r="F6" s="192">
        <v>840</v>
      </c>
      <c r="G6" s="192">
        <v>0</v>
      </c>
      <c r="H6" s="192">
        <v>0</v>
      </c>
      <c r="I6" s="192">
        <v>0</v>
      </c>
      <c r="J6" s="192">
        <v>0</v>
      </c>
      <c r="K6" s="192">
        <v>0</v>
      </c>
      <c r="L6" s="192">
        <v>0</v>
      </c>
      <c r="M6" s="192">
        <v>0</v>
      </c>
      <c r="N6" s="192">
        <v>0</v>
      </c>
      <c r="O6" s="192">
        <v>0</v>
      </c>
      <c r="P6" s="192">
        <v>0</v>
      </c>
      <c r="Q6" s="192">
        <v>0</v>
      </c>
      <c r="R6" s="192">
        <v>0</v>
      </c>
      <c r="S6" s="192">
        <v>0</v>
      </c>
      <c r="T6" s="192">
        <v>0</v>
      </c>
      <c r="U6" s="192">
        <v>0</v>
      </c>
      <c r="V6" s="192">
        <v>0</v>
      </c>
      <c r="W6" s="192">
        <v>0</v>
      </c>
      <c r="X6" s="192">
        <v>0</v>
      </c>
      <c r="Y6" s="192">
        <v>0</v>
      </c>
      <c r="Z6" s="192">
        <v>0</v>
      </c>
      <c r="AA6" s="192">
        <v>0</v>
      </c>
      <c r="AB6" s="192">
        <v>0</v>
      </c>
      <c r="AC6" s="192">
        <v>0</v>
      </c>
      <c r="AD6" s="192">
        <v>0</v>
      </c>
      <c r="AE6" s="192">
        <v>0</v>
      </c>
      <c r="AF6" s="192">
        <v>0</v>
      </c>
      <c r="AG6" s="192">
        <v>0</v>
      </c>
      <c r="AH6" s="192">
        <v>0</v>
      </c>
      <c r="AI6" s="192">
        <v>840</v>
      </c>
      <c r="AJ6" s="192">
        <v>0</v>
      </c>
      <c r="AK6" s="192">
        <v>0</v>
      </c>
      <c r="AL6" s="192">
        <v>0</v>
      </c>
      <c r="AM6" s="192">
        <v>0</v>
      </c>
      <c r="AN6" s="192">
        <v>0</v>
      </c>
      <c r="AO6" s="192">
        <v>0</v>
      </c>
      <c r="AP6" s="192">
        <v>0</v>
      </c>
      <c r="AQ6" s="192">
        <v>0</v>
      </c>
      <c r="AR6" s="192">
        <v>0</v>
      </c>
      <c r="AS6" s="192">
        <v>0</v>
      </c>
      <c r="AT6" s="192">
        <v>0</v>
      </c>
      <c r="AU6" s="192">
        <v>0</v>
      </c>
      <c r="AV6" s="192">
        <v>0</v>
      </c>
      <c r="AW6" s="192">
        <v>0</v>
      </c>
    </row>
    <row r="7" spans="1:49" x14ac:dyDescent="0.3">
      <c r="A7" s="192" t="s">
        <v>123</v>
      </c>
      <c r="B7" s="217">
        <v>4</v>
      </c>
      <c r="C7" s="192">
        <v>36</v>
      </c>
      <c r="D7" s="192">
        <v>1</v>
      </c>
      <c r="E7" s="192">
        <v>6</v>
      </c>
      <c r="F7" s="192">
        <v>219721</v>
      </c>
      <c r="G7" s="192">
        <v>0</v>
      </c>
      <c r="H7" s="192">
        <v>0</v>
      </c>
      <c r="I7" s="192">
        <v>3528</v>
      </c>
      <c r="J7" s="192">
        <v>0</v>
      </c>
      <c r="K7" s="192">
        <v>0</v>
      </c>
      <c r="L7" s="192">
        <v>0</v>
      </c>
      <c r="M7" s="192">
        <v>0</v>
      </c>
      <c r="N7" s="192">
        <v>0</v>
      </c>
      <c r="O7" s="192">
        <v>0</v>
      </c>
      <c r="P7" s="192">
        <v>0</v>
      </c>
      <c r="Q7" s="192">
        <v>0</v>
      </c>
      <c r="R7" s="192">
        <v>0</v>
      </c>
      <c r="S7" s="192">
        <v>0</v>
      </c>
      <c r="T7" s="192">
        <v>0</v>
      </c>
      <c r="U7" s="192">
        <v>0</v>
      </c>
      <c r="V7" s="192">
        <v>0</v>
      </c>
      <c r="W7" s="192">
        <v>0</v>
      </c>
      <c r="X7" s="192">
        <v>0</v>
      </c>
      <c r="Y7" s="192">
        <v>0</v>
      </c>
      <c r="Z7" s="192">
        <v>0</v>
      </c>
      <c r="AA7" s="192">
        <v>0</v>
      </c>
      <c r="AB7" s="192">
        <v>0</v>
      </c>
      <c r="AC7" s="192">
        <v>0</v>
      </c>
      <c r="AD7" s="192">
        <v>0</v>
      </c>
      <c r="AE7" s="192">
        <v>0</v>
      </c>
      <c r="AF7" s="192">
        <v>0</v>
      </c>
      <c r="AG7" s="192">
        <v>0</v>
      </c>
      <c r="AH7" s="192">
        <v>0</v>
      </c>
      <c r="AI7" s="192">
        <v>216193</v>
      </c>
      <c r="AJ7" s="192">
        <v>0</v>
      </c>
      <c r="AK7" s="192">
        <v>0</v>
      </c>
      <c r="AL7" s="192">
        <v>0</v>
      </c>
      <c r="AM7" s="192">
        <v>0</v>
      </c>
      <c r="AN7" s="192">
        <v>0</v>
      </c>
      <c r="AO7" s="192">
        <v>0</v>
      </c>
      <c r="AP7" s="192">
        <v>0</v>
      </c>
      <c r="AQ7" s="192">
        <v>0</v>
      </c>
      <c r="AR7" s="192">
        <v>0</v>
      </c>
      <c r="AS7" s="192">
        <v>0</v>
      </c>
      <c r="AT7" s="192">
        <v>0</v>
      </c>
      <c r="AU7" s="192">
        <v>0</v>
      </c>
      <c r="AV7" s="192">
        <v>0</v>
      </c>
      <c r="AW7" s="192">
        <v>0</v>
      </c>
    </row>
    <row r="8" spans="1:49" x14ac:dyDescent="0.3">
      <c r="A8" s="192" t="s">
        <v>124</v>
      </c>
      <c r="B8" s="217">
        <v>5</v>
      </c>
      <c r="C8" s="192">
        <v>36</v>
      </c>
      <c r="D8" s="192">
        <v>1</v>
      </c>
      <c r="E8" s="192">
        <v>10</v>
      </c>
      <c r="F8" s="192">
        <v>1500</v>
      </c>
      <c r="G8" s="192">
        <v>0</v>
      </c>
      <c r="H8" s="192">
        <v>0</v>
      </c>
      <c r="I8" s="192">
        <v>0</v>
      </c>
      <c r="J8" s="192">
        <v>0</v>
      </c>
      <c r="K8" s="192">
        <v>0</v>
      </c>
      <c r="L8" s="192">
        <v>0</v>
      </c>
      <c r="M8" s="192">
        <v>0</v>
      </c>
      <c r="N8" s="192">
        <v>0</v>
      </c>
      <c r="O8" s="192">
        <v>0</v>
      </c>
      <c r="P8" s="192">
        <v>0</v>
      </c>
      <c r="Q8" s="192">
        <v>0</v>
      </c>
      <c r="R8" s="192">
        <v>0</v>
      </c>
      <c r="S8" s="192">
        <v>0</v>
      </c>
      <c r="T8" s="192">
        <v>0</v>
      </c>
      <c r="U8" s="192">
        <v>0</v>
      </c>
      <c r="V8" s="192">
        <v>0</v>
      </c>
      <c r="W8" s="192">
        <v>0</v>
      </c>
      <c r="X8" s="192">
        <v>0</v>
      </c>
      <c r="Y8" s="192">
        <v>0</v>
      </c>
      <c r="Z8" s="192">
        <v>0</v>
      </c>
      <c r="AA8" s="192">
        <v>0</v>
      </c>
      <c r="AB8" s="192">
        <v>0</v>
      </c>
      <c r="AC8" s="192">
        <v>0</v>
      </c>
      <c r="AD8" s="192">
        <v>0</v>
      </c>
      <c r="AE8" s="192">
        <v>0</v>
      </c>
      <c r="AF8" s="192">
        <v>0</v>
      </c>
      <c r="AG8" s="192">
        <v>0</v>
      </c>
      <c r="AH8" s="192">
        <v>0</v>
      </c>
      <c r="AI8" s="192">
        <v>0</v>
      </c>
      <c r="AJ8" s="192">
        <v>0</v>
      </c>
      <c r="AK8" s="192">
        <v>0</v>
      </c>
      <c r="AL8" s="192">
        <v>0</v>
      </c>
      <c r="AM8" s="192">
        <v>0</v>
      </c>
      <c r="AN8" s="192">
        <v>0</v>
      </c>
      <c r="AO8" s="192">
        <v>0</v>
      </c>
      <c r="AP8" s="192">
        <v>0</v>
      </c>
      <c r="AQ8" s="192">
        <v>0</v>
      </c>
      <c r="AR8" s="192">
        <v>0</v>
      </c>
      <c r="AS8" s="192">
        <v>0</v>
      </c>
      <c r="AT8" s="192">
        <v>0</v>
      </c>
      <c r="AU8" s="192">
        <v>0</v>
      </c>
      <c r="AV8" s="192">
        <v>0</v>
      </c>
      <c r="AW8" s="192">
        <v>1500</v>
      </c>
    </row>
    <row r="9" spans="1:49" x14ac:dyDescent="0.3">
      <c r="A9" s="192" t="s">
        <v>125</v>
      </c>
      <c r="B9" s="217">
        <v>6</v>
      </c>
      <c r="C9" s="192">
        <v>36</v>
      </c>
      <c r="D9" s="192">
        <v>1</v>
      </c>
      <c r="E9" s="192">
        <v>11</v>
      </c>
      <c r="F9" s="192">
        <v>1041.6666666666667</v>
      </c>
      <c r="G9" s="192">
        <v>0</v>
      </c>
      <c r="H9" s="192">
        <v>0</v>
      </c>
      <c r="I9" s="192">
        <v>0</v>
      </c>
      <c r="J9" s="192">
        <v>0</v>
      </c>
      <c r="K9" s="192">
        <v>0</v>
      </c>
      <c r="L9" s="192">
        <v>0</v>
      </c>
      <c r="M9" s="192">
        <v>0</v>
      </c>
      <c r="N9" s="192">
        <v>0</v>
      </c>
      <c r="O9" s="192">
        <v>0</v>
      </c>
      <c r="P9" s="192">
        <v>0</v>
      </c>
      <c r="Q9" s="192">
        <v>0</v>
      </c>
      <c r="R9" s="192">
        <v>0</v>
      </c>
      <c r="S9" s="192">
        <v>0</v>
      </c>
      <c r="T9" s="192">
        <v>0</v>
      </c>
      <c r="U9" s="192">
        <v>0</v>
      </c>
      <c r="V9" s="192">
        <v>0</v>
      </c>
      <c r="W9" s="192">
        <v>0</v>
      </c>
      <c r="X9" s="192">
        <v>0</v>
      </c>
      <c r="Y9" s="192">
        <v>0</v>
      </c>
      <c r="Z9" s="192">
        <v>0</v>
      </c>
      <c r="AA9" s="192">
        <v>0</v>
      </c>
      <c r="AB9" s="192">
        <v>0</v>
      </c>
      <c r="AC9" s="192">
        <v>0</v>
      </c>
      <c r="AD9" s="192">
        <v>0</v>
      </c>
      <c r="AE9" s="192">
        <v>0</v>
      </c>
      <c r="AF9" s="192">
        <v>0</v>
      </c>
      <c r="AG9" s="192">
        <v>0</v>
      </c>
      <c r="AH9" s="192">
        <v>0</v>
      </c>
      <c r="AI9" s="192">
        <v>0</v>
      </c>
      <c r="AJ9" s="192">
        <v>0</v>
      </c>
      <c r="AK9" s="192">
        <v>0</v>
      </c>
      <c r="AL9" s="192">
        <v>0</v>
      </c>
      <c r="AM9" s="192">
        <v>0</v>
      </c>
      <c r="AN9" s="192">
        <v>0</v>
      </c>
      <c r="AO9" s="192">
        <v>0</v>
      </c>
      <c r="AP9" s="192">
        <v>0</v>
      </c>
      <c r="AQ9" s="192">
        <v>0</v>
      </c>
      <c r="AR9" s="192">
        <v>0</v>
      </c>
      <c r="AS9" s="192">
        <v>0</v>
      </c>
      <c r="AT9" s="192">
        <v>0</v>
      </c>
      <c r="AU9" s="192">
        <v>0</v>
      </c>
      <c r="AV9" s="192">
        <v>0</v>
      </c>
      <c r="AW9" s="192">
        <v>1041.6666666666667</v>
      </c>
    </row>
    <row r="10" spans="1:49" x14ac:dyDescent="0.3">
      <c r="A10" s="192" t="s">
        <v>126</v>
      </c>
      <c r="B10" s="217">
        <v>7</v>
      </c>
      <c r="C10" s="192">
        <v>36</v>
      </c>
      <c r="D10" s="192">
        <v>2</v>
      </c>
      <c r="E10" s="192">
        <v>1</v>
      </c>
      <c r="F10" s="192">
        <v>5</v>
      </c>
      <c r="G10" s="192">
        <v>0</v>
      </c>
      <c r="H10" s="192">
        <v>0</v>
      </c>
      <c r="I10" s="192">
        <v>0</v>
      </c>
      <c r="J10" s="192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192">
        <v>0</v>
      </c>
      <c r="Q10" s="192">
        <v>0</v>
      </c>
      <c r="R10" s="192">
        <v>0</v>
      </c>
      <c r="S10" s="192">
        <v>0</v>
      </c>
      <c r="T10" s="192">
        <v>0</v>
      </c>
      <c r="U10" s="192">
        <v>0</v>
      </c>
      <c r="V10" s="192">
        <v>0</v>
      </c>
      <c r="W10" s="192">
        <v>0</v>
      </c>
      <c r="X10" s="192">
        <v>0</v>
      </c>
      <c r="Y10" s="192">
        <v>0</v>
      </c>
      <c r="Z10" s="192">
        <v>0</v>
      </c>
      <c r="AA10" s="192">
        <v>0</v>
      </c>
      <c r="AB10" s="192">
        <v>0</v>
      </c>
      <c r="AC10" s="192">
        <v>0</v>
      </c>
      <c r="AD10" s="192">
        <v>0</v>
      </c>
      <c r="AE10" s="192">
        <v>0</v>
      </c>
      <c r="AF10" s="192">
        <v>0</v>
      </c>
      <c r="AG10" s="192">
        <v>0</v>
      </c>
      <c r="AH10" s="192">
        <v>0</v>
      </c>
      <c r="AI10" s="192">
        <v>5</v>
      </c>
      <c r="AJ10" s="192">
        <v>0</v>
      </c>
      <c r="AK10" s="192">
        <v>0</v>
      </c>
      <c r="AL10" s="192">
        <v>0</v>
      </c>
      <c r="AM10" s="192">
        <v>0</v>
      </c>
      <c r="AN10" s="192">
        <v>0</v>
      </c>
      <c r="AO10" s="192">
        <v>0</v>
      </c>
      <c r="AP10" s="192">
        <v>0</v>
      </c>
      <c r="AQ10" s="192">
        <v>0</v>
      </c>
      <c r="AR10" s="192">
        <v>0</v>
      </c>
      <c r="AS10" s="192">
        <v>0</v>
      </c>
      <c r="AT10" s="192">
        <v>0</v>
      </c>
      <c r="AU10" s="192">
        <v>0</v>
      </c>
      <c r="AV10" s="192">
        <v>0</v>
      </c>
      <c r="AW10" s="192">
        <v>0</v>
      </c>
    </row>
    <row r="11" spans="1:49" x14ac:dyDescent="0.3">
      <c r="A11" s="192" t="s">
        <v>127</v>
      </c>
      <c r="B11" s="217">
        <v>8</v>
      </c>
      <c r="C11" s="192">
        <v>36</v>
      </c>
      <c r="D11" s="192">
        <v>2</v>
      </c>
      <c r="E11" s="192">
        <v>2</v>
      </c>
      <c r="F11" s="192">
        <v>768</v>
      </c>
      <c r="G11" s="192">
        <v>0</v>
      </c>
      <c r="H11" s="192">
        <v>0</v>
      </c>
      <c r="I11" s="192">
        <v>0</v>
      </c>
      <c r="J11" s="192">
        <v>0</v>
      </c>
      <c r="K11" s="192">
        <v>0</v>
      </c>
      <c r="L11" s="192">
        <v>0</v>
      </c>
      <c r="M11" s="192">
        <v>0</v>
      </c>
      <c r="N11" s="192">
        <v>0</v>
      </c>
      <c r="O11" s="192">
        <v>0</v>
      </c>
      <c r="P11" s="192">
        <v>0</v>
      </c>
      <c r="Q11" s="192">
        <v>0</v>
      </c>
      <c r="R11" s="192">
        <v>0</v>
      </c>
      <c r="S11" s="192">
        <v>0</v>
      </c>
      <c r="T11" s="192">
        <v>0</v>
      </c>
      <c r="U11" s="192">
        <v>0</v>
      </c>
      <c r="V11" s="192">
        <v>0</v>
      </c>
      <c r="W11" s="192">
        <v>0</v>
      </c>
      <c r="X11" s="192">
        <v>0</v>
      </c>
      <c r="Y11" s="192">
        <v>0</v>
      </c>
      <c r="Z11" s="192">
        <v>0</v>
      </c>
      <c r="AA11" s="192">
        <v>0</v>
      </c>
      <c r="AB11" s="192">
        <v>0</v>
      </c>
      <c r="AC11" s="192">
        <v>0</v>
      </c>
      <c r="AD11" s="192">
        <v>0</v>
      </c>
      <c r="AE11" s="192">
        <v>0</v>
      </c>
      <c r="AF11" s="192">
        <v>0</v>
      </c>
      <c r="AG11" s="192">
        <v>0</v>
      </c>
      <c r="AH11" s="192">
        <v>0</v>
      </c>
      <c r="AI11" s="192">
        <v>768</v>
      </c>
      <c r="AJ11" s="192">
        <v>0</v>
      </c>
      <c r="AK11" s="192">
        <v>0</v>
      </c>
      <c r="AL11" s="192">
        <v>0</v>
      </c>
      <c r="AM11" s="192">
        <v>0</v>
      </c>
      <c r="AN11" s="192">
        <v>0</v>
      </c>
      <c r="AO11" s="192">
        <v>0</v>
      </c>
      <c r="AP11" s="192">
        <v>0</v>
      </c>
      <c r="AQ11" s="192">
        <v>0</v>
      </c>
      <c r="AR11" s="192">
        <v>0</v>
      </c>
      <c r="AS11" s="192">
        <v>0</v>
      </c>
      <c r="AT11" s="192">
        <v>0</v>
      </c>
      <c r="AU11" s="192">
        <v>0</v>
      </c>
      <c r="AV11" s="192">
        <v>0</v>
      </c>
      <c r="AW11" s="192">
        <v>0</v>
      </c>
    </row>
    <row r="12" spans="1:49" x14ac:dyDescent="0.3">
      <c r="A12" s="192" t="s">
        <v>128</v>
      </c>
      <c r="B12" s="217">
        <v>9</v>
      </c>
      <c r="C12" s="192">
        <v>36</v>
      </c>
      <c r="D12" s="192">
        <v>2</v>
      </c>
      <c r="E12" s="192">
        <v>6</v>
      </c>
      <c r="F12" s="192">
        <v>216682</v>
      </c>
      <c r="G12" s="192">
        <v>0</v>
      </c>
      <c r="H12" s="192">
        <v>0</v>
      </c>
      <c r="I12" s="192">
        <v>3327</v>
      </c>
      <c r="J12" s="192">
        <v>0</v>
      </c>
      <c r="K12" s="192">
        <v>0</v>
      </c>
      <c r="L12" s="192">
        <v>0</v>
      </c>
      <c r="M12" s="192">
        <v>0</v>
      </c>
      <c r="N12" s="192">
        <v>0</v>
      </c>
      <c r="O12" s="192">
        <v>0</v>
      </c>
      <c r="P12" s="192">
        <v>0</v>
      </c>
      <c r="Q12" s="192">
        <v>0</v>
      </c>
      <c r="R12" s="192">
        <v>0</v>
      </c>
      <c r="S12" s="192">
        <v>0</v>
      </c>
      <c r="T12" s="192">
        <v>0</v>
      </c>
      <c r="U12" s="192">
        <v>0</v>
      </c>
      <c r="V12" s="192">
        <v>0</v>
      </c>
      <c r="W12" s="192">
        <v>0</v>
      </c>
      <c r="X12" s="192">
        <v>0</v>
      </c>
      <c r="Y12" s="192">
        <v>0</v>
      </c>
      <c r="Z12" s="192">
        <v>0</v>
      </c>
      <c r="AA12" s="192">
        <v>0</v>
      </c>
      <c r="AB12" s="192">
        <v>0</v>
      </c>
      <c r="AC12" s="192">
        <v>0</v>
      </c>
      <c r="AD12" s="192">
        <v>0</v>
      </c>
      <c r="AE12" s="192">
        <v>0</v>
      </c>
      <c r="AF12" s="192">
        <v>0</v>
      </c>
      <c r="AG12" s="192">
        <v>0</v>
      </c>
      <c r="AH12" s="192">
        <v>0</v>
      </c>
      <c r="AI12" s="192">
        <v>213355</v>
      </c>
      <c r="AJ12" s="192">
        <v>0</v>
      </c>
      <c r="AK12" s="192">
        <v>0</v>
      </c>
      <c r="AL12" s="192">
        <v>0</v>
      </c>
      <c r="AM12" s="192">
        <v>0</v>
      </c>
      <c r="AN12" s="192">
        <v>0</v>
      </c>
      <c r="AO12" s="192">
        <v>0</v>
      </c>
      <c r="AP12" s="192">
        <v>0</v>
      </c>
      <c r="AQ12" s="192">
        <v>0</v>
      </c>
      <c r="AR12" s="192">
        <v>0</v>
      </c>
      <c r="AS12" s="192">
        <v>0</v>
      </c>
      <c r="AT12" s="192">
        <v>0</v>
      </c>
      <c r="AU12" s="192">
        <v>0</v>
      </c>
      <c r="AV12" s="192">
        <v>0</v>
      </c>
      <c r="AW12" s="192">
        <v>0</v>
      </c>
    </row>
    <row r="13" spans="1:49" x14ac:dyDescent="0.3">
      <c r="A13" s="192" t="s">
        <v>129</v>
      </c>
      <c r="B13" s="217">
        <v>10</v>
      </c>
      <c r="C13" s="192">
        <v>36</v>
      </c>
      <c r="D13" s="192">
        <v>2</v>
      </c>
      <c r="E13" s="192">
        <v>11</v>
      </c>
      <c r="F13" s="192">
        <v>1041.6666666666667</v>
      </c>
      <c r="G13" s="192">
        <v>0</v>
      </c>
      <c r="H13" s="192">
        <v>0</v>
      </c>
      <c r="I13" s="192">
        <v>0</v>
      </c>
      <c r="J13" s="192">
        <v>0</v>
      </c>
      <c r="K13" s="192">
        <v>0</v>
      </c>
      <c r="L13" s="192">
        <v>0</v>
      </c>
      <c r="M13" s="192">
        <v>0</v>
      </c>
      <c r="N13" s="192">
        <v>0</v>
      </c>
      <c r="O13" s="192">
        <v>0</v>
      </c>
      <c r="P13" s="192">
        <v>0</v>
      </c>
      <c r="Q13" s="192">
        <v>0</v>
      </c>
      <c r="R13" s="192">
        <v>0</v>
      </c>
      <c r="S13" s="192">
        <v>0</v>
      </c>
      <c r="T13" s="192">
        <v>0</v>
      </c>
      <c r="U13" s="192">
        <v>0</v>
      </c>
      <c r="V13" s="192">
        <v>0</v>
      </c>
      <c r="W13" s="192">
        <v>0</v>
      </c>
      <c r="X13" s="192">
        <v>0</v>
      </c>
      <c r="Y13" s="192">
        <v>0</v>
      </c>
      <c r="Z13" s="192">
        <v>0</v>
      </c>
      <c r="AA13" s="192">
        <v>0</v>
      </c>
      <c r="AB13" s="192">
        <v>0</v>
      </c>
      <c r="AC13" s="192">
        <v>0</v>
      </c>
      <c r="AD13" s="192">
        <v>0</v>
      </c>
      <c r="AE13" s="192">
        <v>0</v>
      </c>
      <c r="AF13" s="192">
        <v>0</v>
      </c>
      <c r="AG13" s="192">
        <v>0</v>
      </c>
      <c r="AH13" s="192">
        <v>0</v>
      </c>
      <c r="AI13" s="192">
        <v>0</v>
      </c>
      <c r="AJ13" s="192">
        <v>0</v>
      </c>
      <c r="AK13" s="192">
        <v>0</v>
      </c>
      <c r="AL13" s="192">
        <v>0</v>
      </c>
      <c r="AM13" s="192">
        <v>0</v>
      </c>
      <c r="AN13" s="192">
        <v>0</v>
      </c>
      <c r="AO13" s="192">
        <v>0</v>
      </c>
      <c r="AP13" s="192">
        <v>0</v>
      </c>
      <c r="AQ13" s="192">
        <v>0</v>
      </c>
      <c r="AR13" s="192">
        <v>0</v>
      </c>
      <c r="AS13" s="192">
        <v>0</v>
      </c>
      <c r="AT13" s="192">
        <v>0</v>
      </c>
      <c r="AU13" s="192">
        <v>0</v>
      </c>
      <c r="AV13" s="192">
        <v>0</v>
      </c>
      <c r="AW13" s="192">
        <v>1041.6666666666667</v>
      </c>
    </row>
    <row r="14" spans="1:49" x14ac:dyDescent="0.3">
      <c r="A14" s="192" t="s">
        <v>130</v>
      </c>
      <c r="B14" s="217">
        <v>11</v>
      </c>
    </row>
    <row r="15" spans="1:49" x14ac:dyDescent="0.3">
      <c r="A15" s="192" t="s">
        <v>131</v>
      </c>
      <c r="B15" s="217">
        <v>12</v>
      </c>
    </row>
    <row r="16" spans="1:49" x14ac:dyDescent="0.3">
      <c r="A16" s="192" t="s">
        <v>119</v>
      </c>
      <c r="B16" s="217">
        <v>2017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9" hidden="1" customWidth="1" outlineLevel="1"/>
    <col min="10" max="10" width="7.77734375" style="179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9" hidden="1" customWidth="1" outlineLevel="1"/>
    <col min="19" max="19" width="7.77734375" style="179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9" hidden="1" customWidth="1" outlineLevel="1"/>
    <col min="28" max="28" width="7.77734375" style="179" customWidth="1" collapsed="1"/>
    <col min="29" max="16384" width="8.88671875" style="101"/>
  </cols>
  <sheetData>
    <row r="1" spans="1:28" ht="18.600000000000001" customHeight="1" thickBot="1" x14ac:dyDescent="0.4">
      <c r="A1" s="350" t="s">
        <v>364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</row>
    <row r="2" spans="1:28" ht="14.4" customHeight="1" thickBot="1" x14ac:dyDescent="0.35">
      <c r="A2" s="196" t="s">
        <v>247</v>
      </c>
      <c r="B2" s="83"/>
      <c r="C2" s="83"/>
      <c r="D2" s="83"/>
      <c r="E2" s="83"/>
      <c r="F2" s="83"/>
      <c r="G2" s="83"/>
      <c r="H2" s="83"/>
      <c r="I2" s="188"/>
      <c r="J2" s="188"/>
      <c r="K2" s="83"/>
      <c r="L2" s="83"/>
      <c r="M2" s="83"/>
      <c r="N2" s="83"/>
      <c r="O2" s="83"/>
      <c r="P2" s="83"/>
      <c r="Q2" s="83"/>
      <c r="R2" s="188"/>
      <c r="S2" s="188"/>
      <c r="T2" s="83"/>
      <c r="U2" s="83"/>
      <c r="V2" s="83"/>
      <c r="W2" s="83"/>
      <c r="X2" s="83"/>
      <c r="Y2" s="83"/>
      <c r="Z2" s="83"/>
      <c r="AA2" s="188"/>
      <c r="AB2" s="188"/>
    </row>
    <row r="3" spans="1:28" ht="14.4" customHeight="1" thickBot="1" x14ac:dyDescent="0.35">
      <c r="A3" s="181" t="s">
        <v>101</v>
      </c>
      <c r="B3" s="182">
        <f>SUBTOTAL(9,B6:B1048576)/4</f>
        <v>155037</v>
      </c>
      <c r="C3" s="183">
        <f t="shared" ref="C3:Z3" si="0">SUBTOTAL(9,C6:C1048576)</f>
        <v>4</v>
      </c>
      <c r="D3" s="183"/>
      <c r="E3" s="183">
        <f>SUBTOTAL(9,E6:E1048576)/4</f>
        <v>78447.33</v>
      </c>
      <c r="F3" s="183"/>
      <c r="G3" s="183">
        <f t="shared" si="0"/>
        <v>4</v>
      </c>
      <c r="H3" s="183">
        <f>SUBTOTAL(9,H6:H1048576)/4</f>
        <v>124151.33</v>
      </c>
      <c r="I3" s="186">
        <f>IF(B3&lt;&gt;0,H3/B3,"")</f>
        <v>0.80078516741165018</v>
      </c>
      <c r="J3" s="184">
        <f>IF(E3&lt;&gt;0,H3/E3,"")</f>
        <v>1.5826074641418644</v>
      </c>
      <c r="K3" s="185">
        <f t="shared" si="0"/>
        <v>0</v>
      </c>
      <c r="L3" s="185"/>
      <c r="M3" s="183">
        <f t="shared" si="0"/>
        <v>0</v>
      </c>
      <c r="N3" s="183">
        <f t="shared" si="0"/>
        <v>0</v>
      </c>
      <c r="O3" s="183"/>
      <c r="P3" s="183">
        <f t="shared" si="0"/>
        <v>0</v>
      </c>
      <c r="Q3" s="183">
        <f t="shared" si="0"/>
        <v>0</v>
      </c>
      <c r="R3" s="186" t="str">
        <f>IF(K3&lt;&gt;0,Q3/K3,"")</f>
        <v/>
      </c>
      <c r="S3" s="186" t="str">
        <f>IF(N3&lt;&gt;0,Q3/N3,"")</f>
        <v/>
      </c>
      <c r="T3" s="182">
        <f t="shared" si="0"/>
        <v>0</v>
      </c>
      <c r="U3" s="185"/>
      <c r="V3" s="183">
        <f t="shared" si="0"/>
        <v>0</v>
      </c>
      <c r="W3" s="183">
        <f t="shared" si="0"/>
        <v>0</v>
      </c>
      <c r="X3" s="183"/>
      <c r="Y3" s="183">
        <f t="shared" si="0"/>
        <v>0</v>
      </c>
      <c r="Z3" s="183">
        <f t="shared" si="0"/>
        <v>0</v>
      </c>
      <c r="AA3" s="186" t="str">
        <f>IF(T3&lt;&gt;0,Z3/T3,"")</f>
        <v/>
      </c>
      <c r="AB3" s="184" t="str">
        <f>IF(W3&lt;&gt;0,Z3/W3,"")</f>
        <v/>
      </c>
    </row>
    <row r="4" spans="1:28" ht="14.4" customHeight="1" x14ac:dyDescent="0.3">
      <c r="A4" s="351" t="s">
        <v>202</v>
      </c>
      <c r="B4" s="352" t="s">
        <v>76</v>
      </c>
      <c r="C4" s="353"/>
      <c r="D4" s="354"/>
      <c r="E4" s="353"/>
      <c r="F4" s="354"/>
      <c r="G4" s="353"/>
      <c r="H4" s="353"/>
      <c r="I4" s="354"/>
      <c r="J4" s="355"/>
      <c r="K4" s="352" t="s">
        <v>77</v>
      </c>
      <c r="L4" s="354"/>
      <c r="M4" s="353"/>
      <c r="N4" s="353"/>
      <c r="O4" s="354"/>
      <c r="P4" s="353"/>
      <c r="Q4" s="353"/>
      <c r="R4" s="354"/>
      <c r="S4" s="355"/>
      <c r="T4" s="352" t="s">
        <v>78</v>
      </c>
      <c r="U4" s="354"/>
      <c r="V4" s="353"/>
      <c r="W4" s="353"/>
      <c r="X4" s="354"/>
      <c r="Y4" s="353"/>
      <c r="Z4" s="353"/>
      <c r="AA4" s="354"/>
      <c r="AB4" s="355"/>
    </row>
    <row r="5" spans="1:28" ht="14.4" customHeight="1" thickBot="1" x14ac:dyDescent="0.35">
      <c r="A5" s="460"/>
      <c r="B5" s="461">
        <v>2015</v>
      </c>
      <c r="C5" s="462"/>
      <c r="D5" s="462"/>
      <c r="E5" s="462">
        <v>2016</v>
      </c>
      <c r="F5" s="462"/>
      <c r="G5" s="462"/>
      <c r="H5" s="462">
        <v>2017</v>
      </c>
      <c r="I5" s="463" t="s">
        <v>234</v>
      </c>
      <c r="J5" s="464" t="s">
        <v>2</v>
      </c>
      <c r="K5" s="461">
        <v>2015</v>
      </c>
      <c r="L5" s="462"/>
      <c r="M5" s="462"/>
      <c r="N5" s="462">
        <v>2016</v>
      </c>
      <c r="O5" s="462"/>
      <c r="P5" s="462"/>
      <c r="Q5" s="462">
        <v>2017</v>
      </c>
      <c r="R5" s="463" t="s">
        <v>234</v>
      </c>
      <c r="S5" s="464" t="s">
        <v>2</v>
      </c>
      <c r="T5" s="461">
        <v>2015</v>
      </c>
      <c r="U5" s="462"/>
      <c r="V5" s="462"/>
      <c r="W5" s="462">
        <v>2016</v>
      </c>
      <c r="X5" s="462"/>
      <c r="Y5" s="462"/>
      <c r="Z5" s="462">
        <v>2017</v>
      </c>
      <c r="AA5" s="463" t="s">
        <v>234</v>
      </c>
      <c r="AB5" s="464" t="s">
        <v>2</v>
      </c>
    </row>
    <row r="6" spans="1:28" ht="14.4" customHeight="1" x14ac:dyDescent="0.3">
      <c r="A6" s="465" t="s">
        <v>362</v>
      </c>
      <c r="B6" s="466">
        <v>155037</v>
      </c>
      <c r="C6" s="467">
        <v>1</v>
      </c>
      <c r="D6" s="467">
        <v>1.9763196529442111</v>
      </c>
      <c r="E6" s="466">
        <v>78447.33</v>
      </c>
      <c r="F6" s="467">
        <v>0.50599102149809405</v>
      </c>
      <c r="G6" s="467">
        <v>1</v>
      </c>
      <c r="H6" s="466">
        <v>124151.33</v>
      </c>
      <c r="I6" s="467">
        <v>0.80078516741165018</v>
      </c>
      <c r="J6" s="467">
        <v>1.5826074641418644</v>
      </c>
      <c r="K6" s="466"/>
      <c r="L6" s="467"/>
      <c r="M6" s="467"/>
      <c r="N6" s="466"/>
      <c r="O6" s="467"/>
      <c r="P6" s="467"/>
      <c r="Q6" s="466"/>
      <c r="R6" s="467"/>
      <c r="S6" s="467"/>
      <c r="T6" s="466"/>
      <c r="U6" s="467"/>
      <c r="V6" s="467"/>
      <c r="W6" s="466"/>
      <c r="X6" s="467"/>
      <c r="Y6" s="467"/>
      <c r="Z6" s="466"/>
      <c r="AA6" s="467"/>
      <c r="AB6" s="468"/>
    </row>
    <row r="7" spans="1:28" ht="14.4" customHeight="1" thickBot="1" x14ac:dyDescent="0.35">
      <c r="A7" s="472" t="s">
        <v>363</v>
      </c>
      <c r="B7" s="469">
        <v>155037</v>
      </c>
      <c r="C7" s="470">
        <v>1</v>
      </c>
      <c r="D7" s="470">
        <v>1.9763196529442111</v>
      </c>
      <c r="E7" s="469">
        <v>78447.33</v>
      </c>
      <c r="F7" s="470">
        <v>0.50599102149809405</v>
      </c>
      <c r="G7" s="470">
        <v>1</v>
      </c>
      <c r="H7" s="469">
        <v>124151.33</v>
      </c>
      <c r="I7" s="470">
        <v>0.80078516741165018</v>
      </c>
      <c r="J7" s="470">
        <v>1.5826074641418644</v>
      </c>
      <c r="K7" s="469"/>
      <c r="L7" s="470"/>
      <c r="M7" s="470"/>
      <c r="N7" s="469"/>
      <c r="O7" s="470"/>
      <c r="P7" s="470"/>
      <c r="Q7" s="469"/>
      <c r="R7" s="470"/>
      <c r="S7" s="470"/>
      <c r="T7" s="469"/>
      <c r="U7" s="470"/>
      <c r="V7" s="470"/>
      <c r="W7" s="469"/>
      <c r="X7" s="470"/>
      <c r="Y7" s="470"/>
      <c r="Z7" s="469"/>
      <c r="AA7" s="470"/>
      <c r="AB7" s="471"/>
    </row>
    <row r="8" spans="1:28" ht="14.4" customHeight="1" thickBot="1" x14ac:dyDescent="0.35"/>
    <row r="9" spans="1:28" ht="14.4" customHeight="1" x14ac:dyDescent="0.3">
      <c r="A9" s="465" t="s">
        <v>354</v>
      </c>
      <c r="B9" s="466">
        <v>155037</v>
      </c>
      <c r="C9" s="467">
        <v>1</v>
      </c>
      <c r="D9" s="467">
        <v>1.9763196529442111</v>
      </c>
      <c r="E9" s="466">
        <v>78447.33</v>
      </c>
      <c r="F9" s="467">
        <v>0.50599102149809405</v>
      </c>
      <c r="G9" s="467">
        <v>1</v>
      </c>
      <c r="H9" s="466">
        <v>124151.33</v>
      </c>
      <c r="I9" s="467">
        <v>0.80078516741165018</v>
      </c>
      <c r="J9" s="468">
        <v>1.5826074641418644</v>
      </c>
    </row>
    <row r="10" spans="1:28" ht="14.4" customHeight="1" thickBot="1" x14ac:dyDescent="0.35">
      <c r="A10" s="472" t="s">
        <v>365</v>
      </c>
      <c r="B10" s="469">
        <v>155037</v>
      </c>
      <c r="C10" s="470">
        <v>1</v>
      </c>
      <c r="D10" s="470">
        <v>1.9763196529442111</v>
      </c>
      <c r="E10" s="469">
        <v>78447.33</v>
      </c>
      <c r="F10" s="470">
        <v>0.50599102149809405</v>
      </c>
      <c r="G10" s="470">
        <v>1</v>
      </c>
      <c r="H10" s="469">
        <v>124151.33</v>
      </c>
      <c r="I10" s="470">
        <v>0.80078516741165018</v>
      </c>
      <c r="J10" s="471">
        <v>1.5826074641418644</v>
      </c>
    </row>
    <row r="11" spans="1:28" ht="14.4" customHeight="1" x14ac:dyDescent="0.3">
      <c r="A11" s="473" t="s">
        <v>366</v>
      </c>
    </row>
    <row r="12" spans="1:28" ht="14.4" customHeight="1" x14ac:dyDescent="0.3">
      <c r="A12" s="474" t="s">
        <v>367</v>
      </c>
    </row>
    <row r="13" spans="1:28" ht="14.4" customHeight="1" x14ac:dyDescent="0.3">
      <c r="A13" s="473" t="s">
        <v>368</v>
      </c>
    </row>
    <row r="14" spans="1:28" ht="14.4" customHeight="1" x14ac:dyDescent="0.3">
      <c r="A14" s="473" t="s">
        <v>369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6" hidden="1" customWidth="1" outlineLevel="1"/>
    <col min="3" max="3" width="7.77734375" style="176" customWidth="1" collapsed="1"/>
    <col min="4" max="4" width="7.77734375" style="176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50" t="s">
        <v>370</v>
      </c>
      <c r="B1" s="307"/>
      <c r="C1" s="307"/>
      <c r="D1" s="307"/>
      <c r="E1" s="307"/>
      <c r="F1" s="307"/>
      <c r="G1" s="307"/>
    </row>
    <row r="2" spans="1:7" ht="14.4" customHeight="1" thickBot="1" x14ac:dyDescent="0.35">
      <c r="A2" s="196" t="s">
        <v>247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302" t="s">
        <v>101</v>
      </c>
      <c r="B3" s="277">
        <f t="shared" ref="B3:G3" si="0">SUBTOTAL(9,B6:B1048576)</f>
        <v>351</v>
      </c>
      <c r="C3" s="278">
        <f t="shared" si="0"/>
        <v>179</v>
      </c>
      <c r="D3" s="301">
        <f t="shared" si="0"/>
        <v>280</v>
      </c>
      <c r="E3" s="185">
        <f t="shared" si="0"/>
        <v>155037</v>
      </c>
      <c r="F3" s="183">
        <f t="shared" si="0"/>
        <v>78447.33</v>
      </c>
      <c r="G3" s="279">
        <f t="shared" si="0"/>
        <v>124151.33</v>
      </c>
    </row>
    <row r="4" spans="1:7" ht="14.4" customHeight="1" x14ac:dyDescent="0.3">
      <c r="A4" s="351" t="s">
        <v>102</v>
      </c>
      <c r="B4" s="356" t="s">
        <v>199</v>
      </c>
      <c r="C4" s="354"/>
      <c r="D4" s="357"/>
      <c r="E4" s="356" t="s">
        <v>76</v>
      </c>
      <c r="F4" s="354"/>
      <c r="G4" s="357"/>
    </row>
    <row r="5" spans="1:7" ht="14.4" customHeight="1" thickBot="1" x14ac:dyDescent="0.35">
      <c r="A5" s="460"/>
      <c r="B5" s="461">
        <v>2015</v>
      </c>
      <c r="C5" s="462">
        <v>2016</v>
      </c>
      <c r="D5" s="475">
        <v>2017</v>
      </c>
      <c r="E5" s="461">
        <v>2015</v>
      </c>
      <c r="F5" s="462">
        <v>2016</v>
      </c>
      <c r="G5" s="475">
        <v>2017</v>
      </c>
    </row>
    <row r="6" spans="1:7" ht="14.4" customHeight="1" thickBot="1" x14ac:dyDescent="0.35">
      <c r="A6" s="479" t="s">
        <v>365</v>
      </c>
      <c r="B6" s="476">
        <v>351</v>
      </c>
      <c r="C6" s="476">
        <v>179</v>
      </c>
      <c r="D6" s="476">
        <v>280</v>
      </c>
      <c r="E6" s="477">
        <v>155037</v>
      </c>
      <c r="F6" s="477">
        <v>78447.33</v>
      </c>
      <c r="G6" s="478">
        <v>124151.33</v>
      </c>
    </row>
    <row r="7" spans="1:7" ht="14.4" customHeight="1" x14ac:dyDescent="0.3">
      <c r="A7" s="473" t="s">
        <v>366</v>
      </c>
    </row>
    <row r="8" spans="1:7" ht="14.4" customHeight="1" x14ac:dyDescent="0.3">
      <c r="A8" s="474" t="s">
        <v>367</v>
      </c>
    </row>
    <row r="9" spans="1:7" ht="14.4" customHeight="1" x14ac:dyDescent="0.3">
      <c r="A9" s="473" t="s">
        <v>368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6" hidden="1" customWidth="1" outlineLevel="1"/>
    <col min="9" max="10" width="9.33203125" style="101" hidden="1" customWidth="1"/>
    <col min="11" max="12" width="11.109375" style="176" customWidth="1"/>
    <col min="13" max="14" width="9.33203125" style="101" hidden="1" customWidth="1"/>
    <col min="15" max="16" width="11.109375" style="176" customWidth="1"/>
    <col min="17" max="17" width="11.109375" style="179" customWidth="1"/>
    <col min="18" max="18" width="11.109375" style="176" customWidth="1"/>
    <col min="19" max="16384" width="8.88671875" style="101"/>
  </cols>
  <sheetData>
    <row r="1" spans="1:18" ht="18.600000000000001" customHeight="1" thickBot="1" x14ac:dyDescent="0.4">
      <c r="A1" s="307" t="s">
        <v>390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</row>
    <row r="2" spans="1:18" ht="14.4" customHeight="1" thickBot="1" x14ac:dyDescent="0.35">
      <c r="A2" s="196" t="s">
        <v>247</v>
      </c>
      <c r="B2" s="166"/>
      <c r="C2" s="166"/>
      <c r="D2" s="83"/>
      <c r="E2" s="83"/>
      <c r="F2" s="83"/>
      <c r="G2" s="191"/>
      <c r="H2" s="191"/>
      <c r="I2" s="83"/>
      <c r="J2" s="83"/>
      <c r="K2" s="191"/>
      <c r="L2" s="191"/>
      <c r="M2" s="83"/>
      <c r="N2" s="83"/>
      <c r="O2" s="191"/>
      <c r="P2" s="191"/>
      <c r="Q2" s="188"/>
      <c r="R2" s="191"/>
    </row>
    <row r="3" spans="1:18" ht="14.4" customHeight="1" thickBot="1" x14ac:dyDescent="0.35">
      <c r="F3" s="62" t="s">
        <v>101</v>
      </c>
      <c r="G3" s="74">
        <f t="shared" ref="G3:P3" si="0">SUBTOTAL(9,G6:G1048576)</f>
        <v>351</v>
      </c>
      <c r="H3" s="75">
        <f t="shared" si="0"/>
        <v>155037</v>
      </c>
      <c r="I3" s="57"/>
      <c r="J3" s="57"/>
      <c r="K3" s="75">
        <f t="shared" si="0"/>
        <v>179</v>
      </c>
      <c r="L3" s="75">
        <f t="shared" si="0"/>
        <v>78447.33</v>
      </c>
      <c r="M3" s="57"/>
      <c r="N3" s="57"/>
      <c r="O3" s="75">
        <f t="shared" si="0"/>
        <v>280</v>
      </c>
      <c r="P3" s="75">
        <f t="shared" si="0"/>
        <v>124151.33</v>
      </c>
      <c r="Q3" s="58">
        <f>IF(L3=0,0,P3/L3)</f>
        <v>1.5826074641418644</v>
      </c>
      <c r="R3" s="76">
        <f>IF(O3=0,0,P3/O3)</f>
        <v>443.39760714285717</v>
      </c>
    </row>
    <row r="4" spans="1:18" ht="14.4" customHeight="1" x14ac:dyDescent="0.3">
      <c r="A4" s="358" t="s">
        <v>235</v>
      </c>
      <c r="B4" s="358" t="s">
        <v>72</v>
      </c>
      <c r="C4" s="366" t="s">
        <v>0</v>
      </c>
      <c r="D4" s="360" t="s">
        <v>73</v>
      </c>
      <c r="E4" s="365" t="s">
        <v>48</v>
      </c>
      <c r="F4" s="361" t="s">
        <v>47</v>
      </c>
      <c r="G4" s="362">
        <v>2015</v>
      </c>
      <c r="H4" s="363"/>
      <c r="I4" s="73"/>
      <c r="J4" s="73"/>
      <c r="K4" s="362">
        <v>2016</v>
      </c>
      <c r="L4" s="363"/>
      <c r="M4" s="73"/>
      <c r="N4" s="73"/>
      <c r="O4" s="362">
        <v>2017</v>
      </c>
      <c r="P4" s="363"/>
      <c r="Q4" s="364" t="s">
        <v>2</v>
      </c>
      <c r="R4" s="359" t="s">
        <v>75</v>
      </c>
    </row>
    <row r="5" spans="1:18" ht="14.4" customHeight="1" thickBot="1" x14ac:dyDescent="0.35">
      <c r="A5" s="480"/>
      <c r="B5" s="480"/>
      <c r="C5" s="481"/>
      <c r="D5" s="482"/>
      <c r="E5" s="483"/>
      <c r="F5" s="484"/>
      <c r="G5" s="485" t="s">
        <v>49</v>
      </c>
      <c r="H5" s="486" t="s">
        <v>5</v>
      </c>
      <c r="I5" s="487"/>
      <c r="J5" s="487"/>
      <c r="K5" s="485" t="s">
        <v>49</v>
      </c>
      <c r="L5" s="486" t="s">
        <v>5</v>
      </c>
      <c r="M5" s="487"/>
      <c r="N5" s="487"/>
      <c r="O5" s="485" t="s">
        <v>49</v>
      </c>
      <c r="P5" s="486" t="s">
        <v>5</v>
      </c>
      <c r="Q5" s="488"/>
      <c r="R5" s="489"/>
    </row>
    <row r="6" spans="1:18" ht="14.4" customHeight="1" x14ac:dyDescent="0.3">
      <c r="A6" s="490" t="s">
        <v>371</v>
      </c>
      <c r="B6" s="491" t="s">
        <v>372</v>
      </c>
      <c r="C6" s="491" t="s">
        <v>354</v>
      </c>
      <c r="D6" s="491" t="s">
        <v>373</v>
      </c>
      <c r="E6" s="491" t="s">
        <v>374</v>
      </c>
      <c r="F6" s="491" t="s">
        <v>375</v>
      </c>
      <c r="G6" s="411">
        <v>1</v>
      </c>
      <c r="H6" s="411">
        <v>35</v>
      </c>
      <c r="I6" s="491"/>
      <c r="J6" s="491">
        <v>35</v>
      </c>
      <c r="K6" s="411"/>
      <c r="L6" s="411"/>
      <c r="M6" s="491"/>
      <c r="N6" s="491"/>
      <c r="O6" s="411"/>
      <c r="P6" s="411"/>
      <c r="Q6" s="412"/>
      <c r="R6" s="423"/>
    </row>
    <row r="7" spans="1:18" ht="14.4" customHeight="1" x14ac:dyDescent="0.3">
      <c r="A7" s="492" t="s">
        <v>371</v>
      </c>
      <c r="B7" s="493" t="s">
        <v>372</v>
      </c>
      <c r="C7" s="493" t="s">
        <v>354</v>
      </c>
      <c r="D7" s="493" t="s">
        <v>373</v>
      </c>
      <c r="E7" s="493" t="s">
        <v>376</v>
      </c>
      <c r="F7" s="493" t="s">
        <v>377</v>
      </c>
      <c r="G7" s="494"/>
      <c r="H7" s="494"/>
      <c r="I7" s="493"/>
      <c r="J7" s="493"/>
      <c r="K7" s="494"/>
      <c r="L7" s="494"/>
      <c r="M7" s="493"/>
      <c r="N7" s="493"/>
      <c r="O7" s="494">
        <v>1</v>
      </c>
      <c r="P7" s="494">
        <v>141</v>
      </c>
      <c r="Q7" s="495"/>
      <c r="R7" s="496">
        <v>141</v>
      </c>
    </row>
    <row r="8" spans="1:18" ht="14.4" customHeight="1" x14ac:dyDescent="0.3">
      <c r="A8" s="492" t="s">
        <v>371</v>
      </c>
      <c r="B8" s="493" t="s">
        <v>372</v>
      </c>
      <c r="C8" s="493" t="s">
        <v>354</v>
      </c>
      <c r="D8" s="493" t="s">
        <v>373</v>
      </c>
      <c r="E8" s="493" t="s">
        <v>378</v>
      </c>
      <c r="F8" s="493" t="s">
        <v>379</v>
      </c>
      <c r="G8" s="494">
        <v>37</v>
      </c>
      <c r="H8" s="494">
        <v>9916</v>
      </c>
      <c r="I8" s="493">
        <v>1.1997580157289776</v>
      </c>
      <c r="J8" s="493">
        <v>268</v>
      </c>
      <c r="K8" s="494">
        <v>29</v>
      </c>
      <c r="L8" s="494">
        <v>8265</v>
      </c>
      <c r="M8" s="493">
        <v>1</v>
      </c>
      <c r="N8" s="493">
        <v>285</v>
      </c>
      <c r="O8" s="494">
        <v>46</v>
      </c>
      <c r="P8" s="494">
        <v>12834</v>
      </c>
      <c r="Q8" s="495">
        <v>1.5528130671506353</v>
      </c>
      <c r="R8" s="496">
        <v>279</v>
      </c>
    </row>
    <row r="9" spans="1:18" ht="14.4" customHeight="1" x14ac:dyDescent="0.3">
      <c r="A9" s="492" t="s">
        <v>371</v>
      </c>
      <c r="B9" s="493" t="s">
        <v>372</v>
      </c>
      <c r="C9" s="493" t="s">
        <v>354</v>
      </c>
      <c r="D9" s="493" t="s">
        <v>373</v>
      </c>
      <c r="E9" s="493" t="s">
        <v>380</v>
      </c>
      <c r="F9" s="493" t="s">
        <v>381</v>
      </c>
      <c r="G9" s="494">
        <v>201</v>
      </c>
      <c r="H9" s="494">
        <v>104118</v>
      </c>
      <c r="I9" s="493">
        <v>2.2414104882459314</v>
      </c>
      <c r="J9" s="493">
        <v>518</v>
      </c>
      <c r="K9" s="494">
        <v>84</v>
      </c>
      <c r="L9" s="494">
        <v>46452</v>
      </c>
      <c r="M9" s="493">
        <v>1</v>
      </c>
      <c r="N9" s="493">
        <v>553</v>
      </c>
      <c r="O9" s="494">
        <v>124</v>
      </c>
      <c r="P9" s="494">
        <v>68696</v>
      </c>
      <c r="Q9" s="495">
        <v>1.4788598983897356</v>
      </c>
      <c r="R9" s="496">
        <v>554</v>
      </c>
    </row>
    <row r="10" spans="1:18" ht="14.4" customHeight="1" x14ac:dyDescent="0.3">
      <c r="A10" s="492" t="s">
        <v>371</v>
      </c>
      <c r="B10" s="493" t="s">
        <v>372</v>
      </c>
      <c r="C10" s="493" t="s">
        <v>354</v>
      </c>
      <c r="D10" s="493" t="s">
        <v>373</v>
      </c>
      <c r="E10" s="493" t="s">
        <v>382</v>
      </c>
      <c r="F10" s="493" t="s">
        <v>383</v>
      </c>
      <c r="G10" s="494">
        <v>5</v>
      </c>
      <c r="H10" s="494">
        <v>0</v>
      </c>
      <c r="I10" s="493">
        <v>0</v>
      </c>
      <c r="J10" s="493">
        <v>0</v>
      </c>
      <c r="K10" s="494">
        <v>10</v>
      </c>
      <c r="L10" s="494">
        <v>333.33</v>
      </c>
      <c r="M10" s="493">
        <v>1</v>
      </c>
      <c r="N10" s="493">
        <v>33.332999999999998</v>
      </c>
      <c r="O10" s="494">
        <v>10</v>
      </c>
      <c r="P10" s="494">
        <v>333.33000000000004</v>
      </c>
      <c r="Q10" s="495">
        <v>1.0000000000000002</v>
      </c>
      <c r="R10" s="496">
        <v>33.333000000000006</v>
      </c>
    </row>
    <row r="11" spans="1:18" ht="14.4" customHeight="1" x14ac:dyDescent="0.3">
      <c r="A11" s="492" t="s">
        <v>371</v>
      </c>
      <c r="B11" s="493" t="s">
        <v>372</v>
      </c>
      <c r="C11" s="493" t="s">
        <v>354</v>
      </c>
      <c r="D11" s="493" t="s">
        <v>373</v>
      </c>
      <c r="E11" s="493" t="s">
        <v>384</v>
      </c>
      <c r="F11" s="493" t="s">
        <v>385</v>
      </c>
      <c r="G11" s="494">
        <v>13</v>
      </c>
      <c r="H11" s="494">
        <v>4550</v>
      </c>
      <c r="I11" s="493">
        <v>1.7473118279569892</v>
      </c>
      <c r="J11" s="493">
        <v>350</v>
      </c>
      <c r="K11" s="494">
        <v>7</v>
      </c>
      <c r="L11" s="494">
        <v>2604</v>
      </c>
      <c r="M11" s="493">
        <v>1</v>
      </c>
      <c r="N11" s="493">
        <v>372</v>
      </c>
      <c r="O11" s="494">
        <v>9</v>
      </c>
      <c r="P11" s="494">
        <v>3357</v>
      </c>
      <c r="Q11" s="495">
        <v>1.2891705069124424</v>
      </c>
      <c r="R11" s="496">
        <v>373</v>
      </c>
    </row>
    <row r="12" spans="1:18" ht="14.4" customHeight="1" x14ac:dyDescent="0.3">
      <c r="A12" s="492" t="s">
        <v>371</v>
      </c>
      <c r="B12" s="493" t="s">
        <v>372</v>
      </c>
      <c r="C12" s="493" t="s">
        <v>354</v>
      </c>
      <c r="D12" s="493" t="s">
        <v>373</v>
      </c>
      <c r="E12" s="493" t="s">
        <v>386</v>
      </c>
      <c r="F12" s="493" t="s">
        <v>387</v>
      </c>
      <c r="G12" s="494">
        <v>84</v>
      </c>
      <c r="H12" s="494">
        <v>33768</v>
      </c>
      <c r="I12" s="493">
        <v>1.7171624713958811</v>
      </c>
      <c r="J12" s="493">
        <v>402</v>
      </c>
      <c r="K12" s="494">
        <v>45</v>
      </c>
      <c r="L12" s="494">
        <v>19665</v>
      </c>
      <c r="M12" s="493">
        <v>1</v>
      </c>
      <c r="N12" s="493">
        <v>437</v>
      </c>
      <c r="O12" s="494">
        <v>90</v>
      </c>
      <c r="P12" s="494">
        <v>38790</v>
      </c>
      <c r="Q12" s="495">
        <v>1.9725400457665905</v>
      </c>
      <c r="R12" s="496">
        <v>431</v>
      </c>
    </row>
    <row r="13" spans="1:18" ht="14.4" customHeight="1" thickBot="1" x14ac:dyDescent="0.35">
      <c r="A13" s="497" t="s">
        <v>371</v>
      </c>
      <c r="B13" s="498" t="s">
        <v>372</v>
      </c>
      <c r="C13" s="498" t="s">
        <v>354</v>
      </c>
      <c r="D13" s="498" t="s">
        <v>373</v>
      </c>
      <c r="E13" s="498" t="s">
        <v>388</v>
      </c>
      <c r="F13" s="498" t="s">
        <v>389</v>
      </c>
      <c r="G13" s="414">
        <v>10</v>
      </c>
      <c r="H13" s="414">
        <v>2650</v>
      </c>
      <c r="I13" s="498">
        <v>2.3492907801418439</v>
      </c>
      <c r="J13" s="498">
        <v>265</v>
      </c>
      <c r="K13" s="414">
        <v>4</v>
      </c>
      <c r="L13" s="414">
        <v>1128</v>
      </c>
      <c r="M13" s="498">
        <v>1</v>
      </c>
      <c r="N13" s="498">
        <v>282</v>
      </c>
      <c r="O13" s="414"/>
      <c r="P13" s="414"/>
      <c r="Q13" s="415"/>
      <c r="R13" s="424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6" hidden="1" customWidth="1" outlineLevel="1"/>
    <col min="10" max="11" width="9.33203125" style="101" hidden="1" customWidth="1"/>
    <col min="12" max="13" width="11.109375" style="176" customWidth="1"/>
    <col min="14" max="15" width="9.33203125" style="101" hidden="1" customWidth="1"/>
    <col min="16" max="17" width="11.109375" style="176" customWidth="1"/>
    <col min="18" max="18" width="11.109375" style="179" customWidth="1"/>
    <col min="19" max="19" width="11.109375" style="176" customWidth="1"/>
    <col min="20" max="16384" width="8.88671875" style="101"/>
  </cols>
  <sheetData>
    <row r="1" spans="1:19" ht="18.600000000000001" customHeight="1" thickBot="1" x14ac:dyDescent="0.4">
      <c r="A1" s="307" t="s">
        <v>391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</row>
    <row r="2" spans="1:19" ht="14.4" customHeight="1" thickBot="1" x14ac:dyDescent="0.35">
      <c r="A2" s="196" t="s">
        <v>247</v>
      </c>
      <c r="B2" s="166"/>
      <c r="C2" s="166"/>
      <c r="D2" s="166"/>
      <c r="E2" s="83"/>
      <c r="F2" s="83"/>
      <c r="G2" s="83"/>
      <c r="H2" s="191"/>
      <c r="I2" s="191"/>
      <c r="J2" s="83"/>
      <c r="K2" s="83"/>
      <c r="L2" s="191"/>
      <c r="M2" s="191"/>
      <c r="N2" s="83"/>
      <c r="O2" s="83"/>
      <c r="P2" s="191"/>
      <c r="Q2" s="191"/>
      <c r="R2" s="188"/>
      <c r="S2" s="191"/>
    </row>
    <row r="3" spans="1:19" ht="14.4" customHeight="1" thickBot="1" x14ac:dyDescent="0.35">
      <c r="G3" s="62" t="s">
        <v>101</v>
      </c>
      <c r="H3" s="74">
        <f t="shared" ref="H3:Q3" si="0">SUBTOTAL(9,H6:H1048576)</f>
        <v>351</v>
      </c>
      <c r="I3" s="75">
        <f t="shared" si="0"/>
        <v>155037</v>
      </c>
      <c r="J3" s="57"/>
      <c r="K3" s="57"/>
      <c r="L3" s="75">
        <f t="shared" si="0"/>
        <v>179</v>
      </c>
      <c r="M3" s="75">
        <f t="shared" si="0"/>
        <v>78447.33</v>
      </c>
      <c r="N3" s="57"/>
      <c r="O3" s="57"/>
      <c r="P3" s="75">
        <f t="shared" si="0"/>
        <v>280</v>
      </c>
      <c r="Q3" s="75">
        <f t="shared" si="0"/>
        <v>124151.33</v>
      </c>
      <c r="R3" s="58">
        <f>IF(M3=0,0,Q3/M3)</f>
        <v>1.5826074641418644</v>
      </c>
      <c r="S3" s="76">
        <f>IF(P3=0,0,Q3/P3)</f>
        <v>443.39760714285717</v>
      </c>
    </row>
    <row r="4" spans="1:19" ht="14.4" customHeight="1" x14ac:dyDescent="0.3">
      <c r="A4" s="358" t="s">
        <v>235</v>
      </c>
      <c r="B4" s="358" t="s">
        <v>72</v>
      </c>
      <c r="C4" s="366" t="s">
        <v>0</v>
      </c>
      <c r="D4" s="292" t="s">
        <v>102</v>
      </c>
      <c r="E4" s="360" t="s">
        <v>73</v>
      </c>
      <c r="F4" s="365" t="s">
        <v>48</v>
      </c>
      <c r="G4" s="361" t="s">
        <v>47</v>
      </c>
      <c r="H4" s="362">
        <v>2015</v>
      </c>
      <c r="I4" s="363"/>
      <c r="J4" s="73"/>
      <c r="K4" s="73"/>
      <c r="L4" s="362">
        <v>2016</v>
      </c>
      <c r="M4" s="363"/>
      <c r="N4" s="73"/>
      <c r="O4" s="73"/>
      <c r="P4" s="362">
        <v>2017</v>
      </c>
      <c r="Q4" s="363"/>
      <c r="R4" s="364" t="s">
        <v>2</v>
      </c>
      <c r="S4" s="359" t="s">
        <v>75</v>
      </c>
    </row>
    <row r="5" spans="1:19" ht="14.4" customHeight="1" thickBot="1" x14ac:dyDescent="0.35">
      <c r="A5" s="480"/>
      <c r="B5" s="480"/>
      <c r="C5" s="481"/>
      <c r="D5" s="499"/>
      <c r="E5" s="482"/>
      <c r="F5" s="483"/>
      <c r="G5" s="484"/>
      <c r="H5" s="485" t="s">
        <v>49</v>
      </c>
      <c r="I5" s="486" t="s">
        <v>5</v>
      </c>
      <c r="J5" s="487"/>
      <c r="K5" s="487"/>
      <c r="L5" s="485" t="s">
        <v>49</v>
      </c>
      <c r="M5" s="486" t="s">
        <v>5</v>
      </c>
      <c r="N5" s="487"/>
      <c r="O5" s="487"/>
      <c r="P5" s="485" t="s">
        <v>49</v>
      </c>
      <c r="Q5" s="486" t="s">
        <v>5</v>
      </c>
      <c r="R5" s="488"/>
      <c r="S5" s="489"/>
    </row>
    <row r="6" spans="1:19" ht="14.4" customHeight="1" x14ac:dyDescent="0.3">
      <c r="A6" s="490" t="s">
        <v>371</v>
      </c>
      <c r="B6" s="491" t="s">
        <v>372</v>
      </c>
      <c r="C6" s="491" t="s">
        <v>354</v>
      </c>
      <c r="D6" s="491" t="s">
        <v>365</v>
      </c>
      <c r="E6" s="491" t="s">
        <v>373</v>
      </c>
      <c r="F6" s="491" t="s">
        <v>374</v>
      </c>
      <c r="G6" s="491" t="s">
        <v>375</v>
      </c>
      <c r="H6" s="411">
        <v>1</v>
      </c>
      <c r="I6" s="411">
        <v>35</v>
      </c>
      <c r="J6" s="491"/>
      <c r="K6" s="491">
        <v>35</v>
      </c>
      <c r="L6" s="411"/>
      <c r="M6" s="411"/>
      <c r="N6" s="491"/>
      <c r="O6" s="491"/>
      <c r="P6" s="411"/>
      <c r="Q6" s="411"/>
      <c r="R6" s="412"/>
      <c r="S6" s="423"/>
    </row>
    <row r="7" spans="1:19" ht="14.4" customHeight="1" x14ac:dyDescent="0.3">
      <c r="A7" s="492" t="s">
        <v>371</v>
      </c>
      <c r="B7" s="493" t="s">
        <v>372</v>
      </c>
      <c r="C7" s="493" t="s">
        <v>354</v>
      </c>
      <c r="D7" s="493" t="s">
        <v>365</v>
      </c>
      <c r="E7" s="493" t="s">
        <v>373</v>
      </c>
      <c r="F7" s="493" t="s">
        <v>376</v>
      </c>
      <c r="G7" s="493" t="s">
        <v>377</v>
      </c>
      <c r="H7" s="494"/>
      <c r="I7" s="494"/>
      <c r="J7" s="493"/>
      <c r="K7" s="493"/>
      <c r="L7" s="494"/>
      <c r="M7" s="494"/>
      <c r="N7" s="493"/>
      <c r="O7" s="493"/>
      <c r="P7" s="494">
        <v>1</v>
      </c>
      <c r="Q7" s="494">
        <v>141</v>
      </c>
      <c r="R7" s="495"/>
      <c r="S7" s="496">
        <v>141</v>
      </c>
    </row>
    <row r="8" spans="1:19" ht="14.4" customHeight="1" x14ac:dyDescent="0.3">
      <c r="A8" s="492" t="s">
        <v>371</v>
      </c>
      <c r="B8" s="493" t="s">
        <v>372</v>
      </c>
      <c r="C8" s="493" t="s">
        <v>354</v>
      </c>
      <c r="D8" s="493" t="s">
        <v>365</v>
      </c>
      <c r="E8" s="493" t="s">
        <v>373</v>
      </c>
      <c r="F8" s="493" t="s">
        <v>378</v>
      </c>
      <c r="G8" s="493" t="s">
        <v>379</v>
      </c>
      <c r="H8" s="494">
        <v>37</v>
      </c>
      <c r="I8" s="494">
        <v>9916</v>
      </c>
      <c r="J8" s="493">
        <v>1.1997580157289776</v>
      </c>
      <c r="K8" s="493">
        <v>268</v>
      </c>
      <c r="L8" s="494">
        <v>29</v>
      </c>
      <c r="M8" s="494">
        <v>8265</v>
      </c>
      <c r="N8" s="493">
        <v>1</v>
      </c>
      <c r="O8" s="493">
        <v>285</v>
      </c>
      <c r="P8" s="494">
        <v>46</v>
      </c>
      <c r="Q8" s="494">
        <v>12834</v>
      </c>
      <c r="R8" s="495">
        <v>1.5528130671506353</v>
      </c>
      <c r="S8" s="496">
        <v>279</v>
      </c>
    </row>
    <row r="9" spans="1:19" ht="14.4" customHeight="1" x14ac:dyDescent="0.3">
      <c r="A9" s="492" t="s">
        <v>371</v>
      </c>
      <c r="B9" s="493" t="s">
        <v>372</v>
      </c>
      <c r="C9" s="493" t="s">
        <v>354</v>
      </c>
      <c r="D9" s="493" t="s">
        <v>365</v>
      </c>
      <c r="E9" s="493" t="s">
        <v>373</v>
      </c>
      <c r="F9" s="493" t="s">
        <v>380</v>
      </c>
      <c r="G9" s="493" t="s">
        <v>381</v>
      </c>
      <c r="H9" s="494">
        <v>201</v>
      </c>
      <c r="I9" s="494">
        <v>104118</v>
      </c>
      <c r="J9" s="493">
        <v>2.2414104882459314</v>
      </c>
      <c r="K9" s="493">
        <v>518</v>
      </c>
      <c r="L9" s="494">
        <v>84</v>
      </c>
      <c r="M9" s="494">
        <v>46452</v>
      </c>
      <c r="N9" s="493">
        <v>1</v>
      </c>
      <c r="O9" s="493">
        <v>553</v>
      </c>
      <c r="P9" s="494">
        <v>124</v>
      </c>
      <c r="Q9" s="494">
        <v>68696</v>
      </c>
      <c r="R9" s="495">
        <v>1.4788598983897356</v>
      </c>
      <c r="S9" s="496">
        <v>554</v>
      </c>
    </row>
    <row r="10" spans="1:19" ht="14.4" customHeight="1" x14ac:dyDescent="0.3">
      <c r="A10" s="492" t="s">
        <v>371</v>
      </c>
      <c r="B10" s="493" t="s">
        <v>372</v>
      </c>
      <c r="C10" s="493" t="s">
        <v>354</v>
      </c>
      <c r="D10" s="493" t="s">
        <v>365</v>
      </c>
      <c r="E10" s="493" t="s">
        <v>373</v>
      </c>
      <c r="F10" s="493" t="s">
        <v>382</v>
      </c>
      <c r="G10" s="493" t="s">
        <v>383</v>
      </c>
      <c r="H10" s="494">
        <v>5</v>
      </c>
      <c r="I10" s="494">
        <v>0</v>
      </c>
      <c r="J10" s="493">
        <v>0</v>
      </c>
      <c r="K10" s="493">
        <v>0</v>
      </c>
      <c r="L10" s="494">
        <v>10</v>
      </c>
      <c r="M10" s="494">
        <v>333.33</v>
      </c>
      <c r="N10" s="493">
        <v>1</v>
      </c>
      <c r="O10" s="493">
        <v>33.332999999999998</v>
      </c>
      <c r="P10" s="494">
        <v>10</v>
      </c>
      <c r="Q10" s="494">
        <v>333.33000000000004</v>
      </c>
      <c r="R10" s="495">
        <v>1.0000000000000002</v>
      </c>
      <c r="S10" s="496">
        <v>33.333000000000006</v>
      </c>
    </row>
    <row r="11" spans="1:19" ht="14.4" customHeight="1" x14ac:dyDescent="0.3">
      <c r="A11" s="492" t="s">
        <v>371</v>
      </c>
      <c r="B11" s="493" t="s">
        <v>372</v>
      </c>
      <c r="C11" s="493" t="s">
        <v>354</v>
      </c>
      <c r="D11" s="493" t="s">
        <v>365</v>
      </c>
      <c r="E11" s="493" t="s">
        <v>373</v>
      </c>
      <c r="F11" s="493" t="s">
        <v>384</v>
      </c>
      <c r="G11" s="493" t="s">
        <v>385</v>
      </c>
      <c r="H11" s="494">
        <v>13</v>
      </c>
      <c r="I11" s="494">
        <v>4550</v>
      </c>
      <c r="J11" s="493">
        <v>1.7473118279569892</v>
      </c>
      <c r="K11" s="493">
        <v>350</v>
      </c>
      <c r="L11" s="494">
        <v>7</v>
      </c>
      <c r="M11" s="494">
        <v>2604</v>
      </c>
      <c r="N11" s="493">
        <v>1</v>
      </c>
      <c r="O11" s="493">
        <v>372</v>
      </c>
      <c r="P11" s="494">
        <v>9</v>
      </c>
      <c r="Q11" s="494">
        <v>3357</v>
      </c>
      <c r="R11" s="495">
        <v>1.2891705069124424</v>
      </c>
      <c r="S11" s="496">
        <v>373</v>
      </c>
    </row>
    <row r="12" spans="1:19" ht="14.4" customHeight="1" x14ac:dyDescent="0.3">
      <c r="A12" s="492" t="s">
        <v>371</v>
      </c>
      <c r="B12" s="493" t="s">
        <v>372</v>
      </c>
      <c r="C12" s="493" t="s">
        <v>354</v>
      </c>
      <c r="D12" s="493" t="s">
        <v>365</v>
      </c>
      <c r="E12" s="493" t="s">
        <v>373</v>
      </c>
      <c r="F12" s="493" t="s">
        <v>386</v>
      </c>
      <c r="G12" s="493" t="s">
        <v>387</v>
      </c>
      <c r="H12" s="494">
        <v>84</v>
      </c>
      <c r="I12" s="494">
        <v>33768</v>
      </c>
      <c r="J12" s="493">
        <v>1.7171624713958811</v>
      </c>
      <c r="K12" s="493">
        <v>402</v>
      </c>
      <c r="L12" s="494">
        <v>45</v>
      </c>
      <c r="M12" s="494">
        <v>19665</v>
      </c>
      <c r="N12" s="493">
        <v>1</v>
      </c>
      <c r="O12" s="493">
        <v>437</v>
      </c>
      <c r="P12" s="494">
        <v>90</v>
      </c>
      <c r="Q12" s="494">
        <v>38790</v>
      </c>
      <c r="R12" s="495">
        <v>1.9725400457665905</v>
      </c>
      <c r="S12" s="496">
        <v>431</v>
      </c>
    </row>
    <row r="13" spans="1:19" ht="14.4" customHeight="1" thickBot="1" x14ac:dyDescent="0.35">
      <c r="A13" s="497" t="s">
        <v>371</v>
      </c>
      <c r="B13" s="498" t="s">
        <v>372</v>
      </c>
      <c r="C13" s="498" t="s">
        <v>354</v>
      </c>
      <c r="D13" s="498" t="s">
        <v>365</v>
      </c>
      <c r="E13" s="498" t="s">
        <v>373</v>
      </c>
      <c r="F13" s="498" t="s">
        <v>388</v>
      </c>
      <c r="G13" s="498" t="s">
        <v>389</v>
      </c>
      <c r="H13" s="414">
        <v>10</v>
      </c>
      <c r="I13" s="414">
        <v>2650</v>
      </c>
      <c r="J13" s="498">
        <v>2.3492907801418439</v>
      </c>
      <c r="K13" s="498">
        <v>265</v>
      </c>
      <c r="L13" s="414">
        <v>4</v>
      </c>
      <c r="M13" s="414">
        <v>1128</v>
      </c>
      <c r="N13" s="498">
        <v>1</v>
      </c>
      <c r="O13" s="498">
        <v>282</v>
      </c>
      <c r="P13" s="414"/>
      <c r="Q13" s="414"/>
      <c r="R13" s="415"/>
      <c r="S13" s="424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9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9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9" customWidth="1"/>
    <col min="20" max="16384" width="8.88671875" style="101"/>
  </cols>
  <sheetData>
    <row r="1" spans="1:19" ht="18.600000000000001" customHeight="1" thickBot="1" x14ac:dyDescent="0.4">
      <c r="A1" s="319" t="s">
        <v>100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4.4" customHeight="1" thickBot="1" x14ac:dyDescent="0.35">
      <c r="A2" s="196" t="s">
        <v>247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" customHeight="1" thickBot="1" x14ac:dyDescent="0.35">
      <c r="A3" s="181" t="s">
        <v>101</v>
      </c>
      <c r="B3" s="182">
        <f>SUBTOTAL(9,B6:B1048576)</f>
        <v>204091</v>
      </c>
      <c r="C3" s="183">
        <f t="shared" ref="C3:R3" si="0">SUBTOTAL(9,C6:C1048576)</f>
        <v>2.7001707725891069</v>
      </c>
      <c r="D3" s="183">
        <f t="shared" si="0"/>
        <v>250464.98</v>
      </c>
      <c r="E3" s="183">
        <f t="shared" si="0"/>
        <v>5</v>
      </c>
      <c r="F3" s="183">
        <f t="shared" si="0"/>
        <v>80105</v>
      </c>
      <c r="G3" s="186">
        <f>IF(D3&lt;&gt;0,F3/D3,"")</f>
        <v>0.31982515080551377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IF(J3&lt;&gt;0,L3/J3,"")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IF(P3&lt;&gt;0,R3/P3,"")</f>
        <v/>
      </c>
    </row>
    <row r="4" spans="1:19" ht="14.4" customHeight="1" x14ac:dyDescent="0.3">
      <c r="A4" s="351" t="s">
        <v>82</v>
      </c>
      <c r="B4" s="352" t="s">
        <v>76</v>
      </c>
      <c r="C4" s="353"/>
      <c r="D4" s="353"/>
      <c r="E4" s="353"/>
      <c r="F4" s="353"/>
      <c r="G4" s="355"/>
      <c r="H4" s="352" t="s">
        <v>77</v>
      </c>
      <c r="I4" s="353"/>
      <c r="J4" s="353"/>
      <c r="K4" s="353"/>
      <c r="L4" s="353"/>
      <c r="M4" s="355"/>
      <c r="N4" s="352" t="s">
        <v>78</v>
      </c>
      <c r="O4" s="353"/>
      <c r="P4" s="353"/>
      <c r="Q4" s="353"/>
      <c r="R4" s="353"/>
      <c r="S4" s="355"/>
    </row>
    <row r="5" spans="1:19" ht="14.4" customHeight="1" thickBot="1" x14ac:dyDescent="0.35">
      <c r="A5" s="460"/>
      <c r="B5" s="461">
        <v>2015</v>
      </c>
      <c r="C5" s="462"/>
      <c r="D5" s="462">
        <v>2016</v>
      </c>
      <c r="E5" s="462"/>
      <c r="F5" s="462">
        <v>2017</v>
      </c>
      <c r="G5" s="500" t="s">
        <v>2</v>
      </c>
      <c r="H5" s="461">
        <v>2015</v>
      </c>
      <c r="I5" s="462"/>
      <c r="J5" s="462">
        <v>2016</v>
      </c>
      <c r="K5" s="462"/>
      <c r="L5" s="462">
        <v>2017</v>
      </c>
      <c r="M5" s="500" t="s">
        <v>2</v>
      </c>
      <c r="N5" s="461">
        <v>2015</v>
      </c>
      <c r="O5" s="462"/>
      <c r="P5" s="462">
        <v>2016</v>
      </c>
      <c r="Q5" s="462"/>
      <c r="R5" s="462">
        <v>2017</v>
      </c>
      <c r="S5" s="500" t="s">
        <v>2</v>
      </c>
    </row>
    <row r="6" spans="1:19" ht="14.4" customHeight="1" x14ac:dyDescent="0.3">
      <c r="A6" s="410" t="s">
        <v>392</v>
      </c>
      <c r="B6" s="501">
        <v>3976</v>
      </c>
      <c r="C6" s="491"/>
      <c r="D6" s="501"/>
      <c r="E6" s="491"/>
      <c r="F6" s="501">
        <v>554</v>
      </c>
      <c r="G6" s="412"/>
      <c r="H6" s="501"/>
      <c r="I6" s="491"/>
      <c r="J6" s="501"/>
      <c r="K6" s="491"/>
      <c r="L6" s="501"/>
      <c r="M6" s="412"/>
      <c r="N6" s="501"/>
      <c r="O6" s="491"/>
      <c r="P6" s="501"/>
      <c r="Q6" s="491"/>
      <c r="R6" s="501"/>
      <c r="S6" s="413"/>
    </row>
    <row r="7" spans="1:19" ht="14.4" customHeight="1" x14ac:dyDescent="0.3">
      <c r="A7" s="505" t="s">
        <v>393</v>
      </c>
      <c r="B7" s="502"/>
      <c r="C7" s="493"/>
      <c r="D7" s="502"/>
      <c r="E7" s="493"/>
      <c r="F7" s="502">
        <v>2872</v>
      </c>
      <c r="G7" s="495"/>
      <c r="H7" s="502"/>
      <c r="I7" s="493"/>
      <c r="J7" s="502"/>
      <c r="K7" s="493"/>
      <c r="L7" s="502"/>
      <c r="M7" s="495"/>
      <c r="N7" s="502"/>
      <c r="O7" s="493"/>
      <c r="P7" s="502"/>
      <c r="Q7" s="493"/>
      <c r="R7" s="502"/>
      <c r="S7" s="503"/>
    </row>
    <row r="8" spans="1:19" ht="14.4" customHeight="1" x14ac:dyDescent="0.3">
      <c r="A8" s="505" t="s">
        <v>394</v>
      </c>
      <c r="B8" s="502"/>
      <c r="C8" s="493"/>
      <c r="D8" s="502">
        <v>553</v>
      </c>
      <c r="E8" s="493">
        <v>1</v>
      </c>
      <c r="F8" s="502"/>
      <c r="G8" s="495"/>
      <c r="H8" s="502"/>
      <c r="I8" s="493"/>
      <c r="J8" s="502"/>
      <c r="K8" s="493"/>
      <c r="L8" s="502"/>
      <c r="M8" s="495"/>
      <c r="N8" s="502"/>
      <c r="O8" s="493"/>
      <c r="P8" s="502"/>
      <c r="Q8" s="493"/>
      <c r="R8" s="502"/>
      <c r="S8" s="503"/>
    </row>
    <row r="9" spans="1:19" ht="14.4" customHeight="1" x14ac:dyDescent="0.3">
      <c r="A9" s="505" t="s">
        <v>395</v>
      </c>
      <c r="B9" s="502"/>
      <c r="C9" s="493"/>
      <c r="D9" s="502">
        <v>6103</v>
      </c>
      <c r="E9" s="493">
        <v>1</v>
      </c>
      <c r="F9" s="502">
        <v>4070</v>
      </c>
      <c r="G9" s="495">
        <v>0.66688513845649677</v>
      </c>
      <c r="H9" s="502"/>
      <c r="I9" s="493"/>
      <c r="J9" s="502"/>
      <c r="K9" s="493"/>
      <c r="L9" s="502"/>
      <c r="M9" s="495"/>
      <c r="N9" s="502"/>
      <c r="O9" s="493"/>
      <c r="P9" s="502"/>
      <c r="Q9" s="493"/>
      <c r="R9" s="502"/>
      <c r="S9" s="503"/>
    </row>
    <row r="10" spans="1:19" ht="14.4" customHeight="1" x14ac:dyDescent="0.3">
      <c r="A10" s="505" t="s">
        <v>396</v>
      </c>
      <c r="B10" s="502">
        <v>93548</v>
      </c>
      <c r="C10" s="493">
        <v>0.93848013329010171</v>
      </c>
      <c r="D10" s="502">
        <v>99680.320000000007</v>
      </c>
      <c r="E10" s="493">
        <v>1</v>
      </c>
      <c r="F10" s="502">
        <v>37504</v>
      </c>
      <c r="G10" s="495">
        <v>0.37624277289639518</v>
      </c>
      <c r="H10" s="502"/>
      <c r="I10" s="493"/>
      <c r="J10" s="502"/>
      <c r="K10" s="493"/>
      <c r="L10" s="502"/>
      <c r="M10" s="495"/>
      <c r="N10" s="502"/>
      <c r="O10" s="493"/>
      <c r="P10" s="502"/>
      <c r="Q10" s="493"/>
      <c r="R10" s="502"/>
      <c r="S10" s="503"/>
    </row>
    <row r="11" spans="1:19" ht="14.4" customHeight="1" x14ac:dyDescent="0.3">
      <c r="A11" s="505" t="s">
        <v>397</v>
      </c>
      <c r="B11" s="502">
        <v>350</v>
      </c>
      <c r="C11" s="493"/>
      <c r="D11" s="502"/>
      <c r="E11" s="493"/>
      <c r="F11" s="502"/>
      <c r="G11" s="495"/>
      <c r="H11" s="502"/>
      <c r="I11" s="493"/>
      <c r="J11" s="502"/>
      <c r="K11" s="493"/>
      <c r="L11" s="502"/>
      <c r="M11" s="495"/>
      <c r="N11" s="502"/>
      <c r="O11" s="493"/>
      <c r="P11" s="502"/>
      <c r="Q11" s="493"/>
      <c r="R11" s="502"/>
      <c r="S11" s="503"/>
    </row>
    <row r="12" spans="1:19" ht="14.4" customHeight="1" x14ac:dyDescent="0.3">
      <c r="A12" s="505" t="s">
        <v>398</v>
      </c>
      <c r="B12" s="502">
        <v>74907</v>
      </c>
      <c r="C12" s="493">
        <v>1.4188904290861646</v>
      </c>
      <c r="D12" s="502">
        <v>52792.66</v>
      </c>
      <c r="E12" s="493">
        <v>1</v>
      </c>
      <c r="F12" s="502">
        <v>24760</v>
      </c>
      <c r="G12" s="495">
        <v>0.46900459268390715</v>
      </c>
      <c r="H12" s="502"/>
      <c r="I12" s="493"/>
      <c r="J12" s="502"/>
      <c r="K12" s="493"/>
      <c r="L12" s="502"/>
      <c r="M12" s="495"/>
      <c r="N12" s="502"/>
      <c r="O12" s="493"/>
      <c r="P12" s="502"/>
      <c r="Q12" s="493"/>
      <c r="R12" s="502"/>
      <c r="S12" s="503"/>
    </row>
    <row r="13" spans="1:19" ht="14.4" customHeight="1" thickBot="1" x14ac:dyDescent="0.35">
      <c r="A13" s="506" t="s">
        <v>399</v>
      </c>
      <c r="B13" s="504">
        <v>31310</v>
      </c>
      <c r="C13" s="498">
        <v>0.34280021021284052</v>
      </c>
      <c r="D13" s="504">
        <v>91336</v>
      </c>
      <c r="E13" s="498">
        <v>1</v>
      </c>
      <c r="F13" s="504">
        <v>10345</v>
      </c>
      <c r="G13" s="415">
        <v>0.11326311640536042</v>
      </c>
      <c r="H13" s="504"/>
      <c r="I13" s="498"/>
      <c r="J13" s="504"/>
      <c r="K13" s="498"/>
      <c r="L13" s="504"/>
      <c r="M13" s="415"/>
      <c r="N13" s="504"/>
      <c r="O13" s="498"/>
      <c r="P13" s="504"/>
      <c r="Q13" s="498"/>
      <c r="R13" s="504"/>
      <c r="S13" s="41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6" hidden="1" customWidth="1" outlineLevel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1"/>
  </cols>
  <sheetData>
    <row r="1" spans="1:17" ht="18.600000000000001" customHeight="1" thickBot="1" x14ac:dyDescent="0.4">
      <c r="A1" s="307" t="s">
        <v>407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ht="14.4" customHeight="1" thickBot="1" x14ac:dyDescent="0.35">
      <c r="A2" s="196" t="s">
        <v>247</v>
      </c>
      <c r="B2" s="102"/>
      <c r="C2" s="102"/>
      <c r="D2" s="102"/>
      <c r="E2" s="102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" customHeight="1" thickBot="1" x14ac:dyDescent="0.35">
      <c r="E3" s="62" t="s">
        <v>101</v>
      </c>
      <c r="F3" s="74">
        <f t="shared" ref="F3:O3" si="0">SUBTOTAL(9,F6:F1048576)</f>
        <v>432</v>
      </c>
      <c r="G3" s="75">
        <f t="shared" si="0"/>
        <v>204091</v>
      </c>
      <c r="H3" s="75"/>
      <c r="I3" s="75"/>
      <c r="J3" s="75">
        <f t="shared" si="0"/>
        <v>506</v>
      </c>
      <c r="K3" s="75">
        <f t="shared" si="0"/>
        <v>250464.98</v>
      </c>
      <c r="L3" s="75"/>
      <c r="M3" s="75"/>
      <c r="N3" s="75">
        <f t="shared" si="0"/>
        <v>157</v>
      </c>
      <c r="O3" s="75">
        <f t="shared" si="0"/>
        <v>80105</v>
      </c>
      <c r="P3" s="58">
        <f>IF(K3=0,0,O3/K3)</f>
        <v>0.31982515080551377</v>
      </c>
      <c r="Q3" s="76">
        <f>IF(N3=0,0,O3/N3)</f>
        <v>510.22292993630572</v>
      </c>
    </row>
    <row r="4" spans="1:17" ht="14.4" customHeight="1" x14ac:dyDescent="0.3">
      <c r="A4" s="360" t="s">
        <v>46</v>
      </c>
      <c r="B4" s="358" t="s">
        <v>72</v>
      </c>
      <c r="C4" s="360" t="s">
        <v>73</v>
      </c>
      <c r="D4" s="369" t="s">
        <v>74</v>
      </c>
      <c r="E4" s="361" t="s">
        <v>47</v>
      </c>
      <c r="F4" s="367">
        <v>2015</v>
      </c>
      <c r="G4" s="368"/>
      <c r="H4" s="77"/>
      <c r="I4" s="77"/>
      <c r="J4" s="367">
        <v>2016</v>
      </c>
      <c r="K4" s="368"/>
      <c r="L4" s="77"/>
      <c r="M4" s="77"/>
      <c r="N4" s="367">
        <v>2017</v>
      </c>
      <c r="O4" s="368"/>
      <c r="P4" s="370" t="s">
        <v>2</v>
      </c>
      <c r="Q4" s="359" t="s">
        <v>75</v>
      </c>
    </row>
    <row r="5" spans="1:17" ht="14.4" customHeight="1" thickBot="1" x14ac:dyDescent="0.35">
      <c r="A5" s="482"/>
      <c r="B5" s="480"/>
      <c r="C5" s="482"/>
      <c r="D5" s="507"/>
      <c r="E5" s="484"/>
      <c r="F5" s="508" t="s">
        <v>49</v>
      </c>
      <c r="G5" s="509" t="s">
        <v>5</v>
      </c>
      <c r="H5" s="510"/>
      <c r="I5" s="510"/>
      <c r="J5" s="508" t="s">
        <v>49</v>
      </c>
      <c r="K5" s="509" t="s">
        <v>5</v>
      </c>
      <c r="L5" s="510"/>
      <c r="M5" s="510"/>
      <c r="N5" s="508" t="s">
        <v>49</v>
      </c>
      <c r="O5" s="509" t="s">
        <v>5</v>
      </c>
      <c r="P5" s="511"/>
      <c r="Q5" s="489"/>
    </row>
    <row r="6" spans="1:17" ht="14.4" customHeight="1" x14ac:dyDescent="0.3">
      <c r="A6" s="490" t="s">
        <v>400</v>
      </c>
      <c r="B6" s="491" t="s">
        <v>372</v>
      </c>
      <c r="C6" s="491" t="s">
        <v>373</v>
      </c>
      <c r="D6" s="491" t="s">
        <v>380</v>
      </c>
      <c r="E6" s="491" t="s">
        <v>381</v>
      </c>
      <c r="F6" s="411">
        <v>7</v>
      </c>
      <c r="G6" s="411">
        <v>3626</v>
      </c>
      <c r="H6" s="411"/>
      <c r="I6" s="411">
        <v>518</v>
      </c>
      <c r="J6" s="411"/>
      <c r="K6" s="411"/>
      <c r="L6" s="411"/>
      <c r="M6" s="411"/>
      <c r="N6" s="411">
        <v>1</v>
      </c>
      <c r="O6" s="411">
        <v>554</v>
      </c>
      <c r="P6" s="412"/>
      <c r="Q6" s="423">
        <v>554</v>
      </c>
    </row>
    <row r="7" spans="1:17" ht="14.4" customHeight="1" x14ac:dyDescent="0.3">
      <c r="A7" s="492" t="s">
        <v>400</v>
      </c>
      <c r="B7" s="493" t="s">
        <v>372</v>
      </c>
      <c r="C7" s="493" t="s">
        <v>373</v>
      </c>
      <c r="D7" s="493" t="s">
        <v>382</v>
      </c>
      <c r="E7" s="493" t="s">
        <v>383</v>
      </c>
      <c r="F7" s="494">
        <v>1</v>
      </c>
      <c r="G7" s="494">
        <v>0</v>
      </c>
      <c r="H7" s="494"/>
      <c r="I7" s="494">
        <v>0</v>
      </c>
      <c r="J7" s="494"/>
      <c r="K7" s="494"/>
      <c r="L7" s="494"/>
      <c r="M7" s="494"/>
      <c r="N7" s="494"/>
      <c r="O7" s="494"/>
      <c r="P7" s="495"/>
      <c r="Q7" s="496"/>
    </row>
    <row r="8" spans="1:17" ht="14.4" customHeight="1" x14ac:dyDescent="0.3">
      <c r="A8" s="492" t="s">
        <v>400</v>
      </c>
      <c r="B8" s="493" t="s">
        <v>372</v>
      </c>
      <c r="C8" s="493" t="s">
        <v>373</v>
      </c>
      <c r="D8" s="493" t="s">
        <v>384</v>
      </c>
      <c r="E8" s="493" t="s">
        <v>385</v>
      </c>
      <c r="F8" s="494">
        <v>1</v>
      </c>
      <c r="G8" s="494">
        <v>350</v>
      </c>
      <c r="H8" s="494"/>
      <c r="I8" s="494">
        <v>350</v>
      </c>
      <c r="J8" s="494"/>
      <c r="K8" s="494"/>
      <c r="L8" s="494"/>
      <c r="M8" s="494"/>
      <c r="N8" s="494"/>
      <c r="O8" s="494"/>
      <c r="P8" s="495"/>
      <c r="Q8" s="496"/>
    </row>
    <row r="9" spans="1:17" ht="14.4" customHeight="1" x14ac:dyDescent="0.3">
      <c r="A9" s="492" t="s">
        <v>401</v>
      </c>
      <c r="B9" s="493" t="s">
        <v>372</v>
      </c>
      <c r="C9" s="493" t="s">
        <v>373</v>
      </c>
      <c r="D9" s="493" t="s">
        <v>380</v>
      </c>
      <c r="E9" s="493" t="s">
        <v>381</v>
      </c>
      <c r="F9" s="494"/>
      <c r="G9" s="494"/>
      <c r="H9" s="494"/>
      <c r="I9" s="494"/>
      <c r="J9" s="494"/>
      <c r="K9" s="494"/>
      <c r="L9" s="494"/>
      <c r="M9" s="494"/>
      <c r="N9" s="494">
        <v>4</v>
      </c>
      <c r="O9" s="494">
        <v>2216</v>
      </c>
      <c r="P9" s="495"/>
      <c r="Q9" s="496">
        <v>554</v>
      </c>
    </row>
    <row r="10" spans="1:17" ht="14.4" customHeight="1" x14ac:dyDescent="0.3">
      <c r="A10" s="492" t="s">
        <v>401</v>
      </c>
      <c r="B10" s="493" t="s">
        <v>372</v>
      </c>
      <c r="C10" s="493" t="s">
        <v>373</v>
      </c>
      <c r="D10" s="493" t="s">
        <v>384</v>
      </c>
      <c r="E10" s="493" t="s">
        <v>385</v>
      </c>
      <c r="F10" s="494"/>
      <c r="G10" s="494"/>
      <c r="H10" s="494"/>
      <c r="I10" s="494"/>
      <c r="J10" s="494"/>
      <c r="K10" s="494"/>
      <c r="L10" s="494"/>
      <c r="M10" s="494"/>
      <c r="N10" s="494">
        <v>1</v>
      </c>
      <c r="O10" s="494">
        <v>373</v>
      </c>
      <c r="P10" s="495"/>
      <c r="Q10" s="496">
        <v>373</v>
      </c>
    </row>
    <row r="11" spans="1:17" ht="14.4" customHeight="1" x14ac:dyDescent="0.3">
      <c r="A11" s="492" t="s">
        <v>401</v>
      </c>
      <c r="B11" s="493" t="s">
        <v>372</v>
      </c>
      <c r="C11" s="493" t="s">
        <v>373</v>
      </c>
      <c r="D11" s="493" t="s">
        <v>388</v>
      </c>
      <c r="E11" s="493" t="s">
        <v>389</v>
      </c>
      <c r="F11" s="494"/>
      <c r="G11" s="494"/>
      <c r="H11" s="494"/>
      <c r="I11" s="494"/>
      <c r="J11" s="494"/>
      <c r="K11" s="494"/>
      <c r="L11" s="494"/>
      <c r="M11" s="494"/>
      <c r="N11" s="494">
        <v>1</v>
      </c>
      <c r="O11" s="494">
        <v>283</v>
      </c>
      <c r="P11" s="495"/>
      <c r="Q11" s="496">
        <v>283</v>
      </c>
    </row>
    <row r="12" spans="1:17" ht="14.4" customHeight="1" x14ac:dyDescent="0.3">
      <c r="A12" s="492" t="s">
        <v>402</v>
      </c>
      <c r="B12" s="493" t="s">
        <v>372</v>
      </c>
      <c r="C12" s="493" t="s">
        <v>373</v>
      </c>
      <c r="D12" s="493" t="s">
        <v>380</v>
      </c>
      <c r="E12" s="493" t="s">
        <v>381</v>
      </c>
      <c r="F12" s="494"/>
      <c r="G12" s="494"/>
      <c r="H12" s="494"/>
      <c r="I12" s="494"/>
      <c r="J12" s="494">
        <v>1</v>
      </c>
      <c r="K12" s="494">
        <v>553</v>
      </c>
      <c r="L12" s="494">
        <v>1</v>
      </c>
      <c r="M12" s="494">
        <v>553</v>
      </c>
      <c r="N12" s="494"/>
      <c r="O12" s="494"/>
      <c r="P12" s="495"/>
      <c r="Q12" s="496"/>
    </row>
    <row r="13" spans="1:17" ht="14.4" customHeight="1" x14ac:dyDescent="0.3">
      <c r="A13" s="492" t="s">
        <v>371</v>
      </c>
      <c r="B13" s="493" t="s">
        <v>372</v>
      </c>
      <c r="C13" s="493" t="s">
        <v>373</v>
      </c>
      <c r="D13" s="493" t="s">
        <v>380</v>
      </c>
      <c r="E13" s="493" t="s">
        <v>381</v>
      </c>
      <c r="F13" s="494"/>
      <c r="G13" s="494"/>
      <c r="H13" s="494"/>
      <c r="I13" s="494"/>
      <c r="J13" s="494">
        <v>9</v>
      </c>
      <c r="K13" s="494">
        <v>4977</v>
      </c>
      <c r="L13" s="494">
        <v>1</v>
      </c>
      <c r="M13" s="494">
        <v>553</v>
      </c>
      <c r="N13" s="494">
        <v>6</v>
      </c>
      <c r="O13" s="494">
        <v>3324</v>
      </c>
      <c r="P13" s="495">
        <v>0.66787221217600967</v>
      </c>
      <c r="Q13" s="496">
        <v>554</v>
      </c>
    </row>
    <row r="14" spans="1:17" ht="14.4" customHeight="1" x14ac:dyDescent="0.3">
      <c r="A14" s="492" t="s">
        <v>371</v>
      </c>
      <c r="B14" s="493" t="s">
        <v>372</v>
      </c>
      <c r="C14" s="493" t="s">
        <v>373</v>
      </c>
      <c r="D14" s="493" t="s">
        <v>382</v>
      </c>
      <c r="E14" s="493" t="s">
        <v>383</v>
      </c>
      <c r="F14" s="494"/>
      <c r="G14" s="494"/>
      <c r="H14" s="494"/>
      <c r="I14" s="494"/>
      <c r="J14" s="494">
        <v>3</v>
      </c>
      <c r="K14" s="494">
        <v>100</v>
      </c>
      <c r="L14" s="494">
        <v>1</v>
      </c>
      <c r="M14" s="494">
        <v>33.333333333333336</v>
      </c>
      <c r="N14" s="494"/>
      <c r="O14" s="494"/>
      <c r="P14" s="495"/>
      <c r="Q14" s="496"/>
    </row>
    <row r="15" spans="1:17" ht="14.4" customHeight="1" x14ac:dyDescent="0.3">
      <c r="A15" s="492" t="s">
        <v>371</v>
      </c>
      <c r="B15" s="493" t="s">
        <v>372</v>
      </c>
      <c r="C15" s="493" t="s">
        <v>373</v>
      </c>
      <c r="D15" s="493" t="s">
        <v>384</v>
      </c>
      <c r="E15" s="493" t="s">
        <v>385</v>
      </c>
      <c r="F15" s="494"/>
      <c r="G15" s="494"/>
      <c r="H15" s="494"/>
      <c r="I15" s="494"/>
      <c r="J15" s="494">
        <v>2</v>
      </c>
      <c r="K15" s="494">
        <v>744</v>
      </c>
      <c r="L15" s="494">
        <v>1</v>
      </c>
      <c r="M15" s="494">
        <v>372</v>
      </c>
      <c r="N15" s="494">
        <v>2</v>
      </c>
      <c r="O15" s="494">
        <v>746</v>
      </c>
      <c r="P15" s="495">
        <v>1.0026881720430108</v>
      </c>
      <c r="Q15" s="496">
        <v>373</v>
      </c>
    </row>
    <row r="16" spans="1:17" ht="14.4" customHeight="1" x14ac:dyDescent="0.3">
      <c r="A16" s="492" t="s">
        <v>371</v>
      </c>
      <c r="B16" s="493" t="s">
        <v>372</v>
      </c>
      <c r="C16" s="493" t="s">
        <v>373</v>
      </c>
      <c r="D16" s="493" t="s">
        <v>388</v>
      </c>
      <c r="E16" s="493" t="s">
        <v>389</v>
      </c>
      <c r="F16" s="494"/>
      <c r="G16" s="494"/>
      <c r="H16" s="494"/>
      <c r="I16" s="494"/>
      <c r="J16" s="494">
        <v>1</v>
      </c>
      <c r="K16" s="494">
        <v>282</v>
      </c>
      <c r="L16" s="494">
        <v>1</v>
      </c>
      <c r="M16" s="494">
        <v>282</v>
      </c>
      <c r="N16" s="494"/>
      <c r="O16" s="494"/>
      <c r="P16" s="495"/>
      <c r="Q16" s="496"/>
    </row>
    <row r="17" spans="1:17" ht="14.4" customHeight="1" x14ac:dyDescent="0.3">
      <c r="A17" s="492" t="s">
        <v>403</v>
      </c>
      <c r="B17" s="493" t="s">
        <v>372</v>
      </c>
      <c r="C17" s="493" t="s">
        <v>373</v>
      </c>
      <c r="D17" s="493" t="s">
        <v>380</v>
      </c>
      <c r="E17" s="493" t="s">
        <v>381</v>
      </c>
      <c r="F17" s="494">
        <v>161</v>
      </c>
      <c r="G17" s="494">
        <v>83398</v>
      </c>
      <c r="H17" s="494">
        <v>0.98568710184495745</v>
      </c>
      <c r="I17" s="494">
        <v>518</v>
      </c>
      <c r="J17" s="494">
        <v>153</v>
      </c>
      <c r="K17" s="494">
        <v>84609</v>
      </c>
      <c r="L17" s="494">
        <v>1</v>
      </c>
      <c r="M17" s="494">
        <v>553</v>
      </c>
      <c r="N17" s="494">
        <v>53</v>
      </c>
      <c r="O17" s="494">
        <v>29362</v>
      </c>
      <c r="P17" s="495">
        <v>0.34703163966008344</v>
      </c>
      <c r="Q17" s="496">
        <v>554</v>
      </c>
    </row>
    <row r="18" spans="1:17" ht="14.4" customHeight="1" x14ac:dyDescent="0.3">
      <c r="A18" s="492" t="s">
        <v>403</v>
      </c>
      <c r="B18" s="493" t="s">
        <v>372</v>
      </c>
      <c r="C18" s="493" t="s">
        <v>373</v>
      </c>
      <c r="D18" s="493" t="s">
        <v>382</v>
      </c>
      <c r="E18" s="493" t="s">
        <v>383</v>
      </c>
      <c r="F18" s="494">
        <v>19</v>
      </c>
      <c r="G18" s="494">
        <v>0</v>
      </c>
      <c r="H18" s="494">
        <v>0</v>
      </c>
      <c r="I18" s="494">
        <v>0</v>
      </c>
      <c r="J18" s="494">
        <v>25</v>
      </c>
      <c r="K18" s="494">
        <v>833.32</v>
      </c>
      <c r="L18" s="494">
        <v>1</v>
      </c>
      <c r="M18" s="494">
        <v>33.332799999999999</v>
      </c>
      <c r="N18" s="494"/>
      <c r="O18" s="494"/>
      <c r="P18" s="495"/>
      <c r="Q18" s="496"/>
    </row>
    <row r="19" spans="1:17" ht="14.4" customHeight="1" x14ac:dyDescent="0.3">
      <c r="A19" s="492" t="s">
        <v>403</v>
      </c>
      <c r="B19" s="493" t="s">
        <v>372</v>
      </c>
      <c r="C19" s="493" t="s">
        <v>373</v>
      </c>
      <c r="D19" s="493" t="s">
        <v>384</v>
      </c>
      <c r="E19" s="493" t="s">
        <v>385</v>
      </c>
      <c r="F19" s="494">
        <v>29</v>
      </c>
      <c r="G19" s="494">
        <v>10150</v>
      </c>
      <c r="H19" s="494">
        <v>0.75791517323775393</v>
      </c>
      <c r="I19" s="494">
        <v>350</v>
      </c>
      <c r="J19" s="494">
        <v>36</v>
      </c>
      <c r="K19" s="494">
        <v>13392</v>
      </c>
      <c r="L19" s="494">
        <v>1</v>
      </c>
      <c r="M19" s="494">
        <v>372</v>
      </c>
      <c r="N19" s="494">
        <v>15</v>
      </c>
      <c r="O19" s="494">
        <v>5595</v>
      </c>
      <c r="P19" s="495">
        <v>0.41778673835125446</v>
      </c>
      <c r="Q19" s="496">
        <v>373</v>
      </c>
    </row>
    <row r="20" spans="1:17" ht="14.4" customHeight="1" x14ac:dyDescent="0.3">
      <c r="A20" s="492" t="s">
        <v>403</v>
      </c>
      <c r="B20" s="493" t="s">
        <v>372</v>
      </c>
      <c r="C20" s="493" t="s">
        <v>373</v>
      </c>
      <c r="D20" s="493" t="s">
        <v>388</v>
      </c>
      <c r="E20" s="493" t="s">
        <v>389</v>
      </c>
      <c r="F20" s="494"/>
      <c r="G20" s="494"/>
      <c r="H20" s="494"/>
      <c r="I20" s="494"/>
      <c r="J20" s="494">
        <v>3</v>
      </c>
      <c r="K20" s="494">
        <v>846</v>
      </c>
      <c r="L20" s="494">
        <v>1</v>
      </c>
      <c r="M20" s="494">
        <v>282</v>
      </c>
      <c r="N20" s="494">
        <v>9</v>
      </c>
      <c r="O20" s="494">
        <v>2547</v>
      </c>
      <c r="P20" s="495">
        <v>3.0106382978723403</v>
      </c>
      <c r="Q20" s="496">
        <v>283</v>
      </c>
    </row>
    <row r="21" spans="1:17" ht="14.4" customHeight="1" x14ac:dyDescent="0.3">
      <c r="A21" s="492" t="s">
        <v>404</v>
      </c>
      <c r="B21" s="493" t="s">
        <v>372</v>
      </c>
      <c r="C21" s="493" t="s">
        <v>373</v>
      </c>
      <c r="D21" s="493" t="s">
        <v>382</v>
      </c>
      <c r="E21" s="493" t="s">
        <v>383</v>
      </c>
      <c r="F21" s="494">
        <v>1</v>
      </c>
      <c r="G21" s="494">
        <v>0</v>
      </c>
      <c r="H21" s="494"/>
      <c r="I21" s="494">
        <v>0</v>
      </c>
      <c r="J21" s="494"/>
      <c r="K21" s="494"/>
      <c r="L21" s="494"/>
      <c r="M21" s="494"/>
      <c r="N21" s="494"/>
      <c r="O21" s="494"/>
      <c r="P21" s="495"/>
      <c r="Q21" s="496"/>
    </row>
    <row r="22" spans="1:17" ht="14.4" customHeight="1" x14ac:dyDescent="0.3">
      <c r="A22" s="492" t="s">
        <v>404</v>
      </c>
      <c r="B22" s="493" t="s">
        <v>372</v>
      </c>
      <c r="C22" s="493" t="s">
        <v>373</v>
      </c>
      <c r="D22" s="493" t="s">
        <v>384</v>
      </c>
      <c r="E22" s="493" t="s">
        <v>385</v>
      </c>
      <c r="F22" s="494">
        <v>1</v>
      </c>
      <c r="G22" s="494">
        <v>350</v>
      </c>
      <c r="H22" s="494"/>
      <c r="I22" s="494">
        <v>350</v>
      </c>
      <c r="J22" s="494"/>
      <c r="K22" s="494"/>
      <c r="L22" s="494"/>
      <c r="M22" s="494"/>
      <c r="N22" s="494"/>
      <c r="O22" s="494"/>
      <c r="P22" s="495"/>
      <c r="Q22" s="496"/>
    </row>
    <row r="23" spans="1:17" ht="14.4" customHeight="1" x14ac:dyDescent="0.3">
      <c r="A23" s="492" t="s">
        <v>405</v>
      </c>
      <c r="B23" s="493" t="s">
        <v>372</v>
      </c>
      <c r="C23" s="493" t="s">
        <v>373</v>
      </c>
      <c r="D23" s="493" t="s">
        <v>376</v>
      </c>
      <c r="E23" s="493" t="s">
        <v>377</v>
      </c>
      <c r="F23" s="494">
        <v>1</v>
      </c>
      <c r="G23" s="494">
        <v>133</v>
      </c>
      <c r="H23" s="494"/>
      <c r="I23" s="494">
        <v>133</v>
      </c>
      <c r="J23" s="494"/>
      <c r="K23" s="494"/>
      <c r="L23" s="494"/>
      <c r="M23" s="494"/>
      <c r="N23" s="494"/>
      <c r="O23" s="494"/>
      <c r="P23" s="495"/>
      <c r="Q23" s="496"/>
    </row>
    <row r="24" spans="1:17" ht="14.4" customHeight="1" x14ac:dyDescent="0.3">
      <c r="A24" s="492" t="s">
        <v>405</v>
      </c>
      <c r="B24" s="493" t="s">
        <v>372</v>
      </c>
      <c r="C24" s="493" t="s">
        <v>373</v>
      </c>
      <c r="D24" s="493" t="s">
        <v>380</v>
      </c>
      <c r="E24" s="493" t="s">
        <v>381</v>
      </c>
      <c r="F24" s="494">
        <v>143</v>
      </c>
      <c r="G24" s="494">
        <v>74074</v>
      </c>
      <c r="H24" s="494">
        <v>1.4249932669000809</v>
      </c>
      <c r="I24" s="494">
        <v>518</v>
      </c>
      <c r="J24" s="494">
        <v>94</v>
      </c>
      <c r="K24" s="494">
        <v>51982</v>
      </c>
      <c r="L24" s="494">
        <v>1</v>
      </c>
      <c r="M24" s="494">
        <v>553</v>
      </c>
      <c r="N24" s="494">
        <v>42</v>
      </c>
      <c r="O24" s="494">
        <v>23268</v>
      </c>
      <c r="P24" s="495">
        <v>0.44761648262860221</v>
      </c>
      <c r="Q24" s="496">
        <v>554</v>
      </c>
    </row>
    <row r="25" spans="1:17" ht="14.4" customHeight="1" x14ac:dyDescent="0.3">
      <c r="A25" s="492" t="s">
        <v>405</v>
      </c>
      <c r="B25" s="493" t="s">
        <v>372</v>
      </c>
      <c r="C25" s="493" t="s">
        <v>373</v>
      </c>
      <c r="D25" s="493" t="s">
        <v>382</v>
      </c>
      <c r="E25" s="493" t="s">
        <v>383</v>
      </c>
      <c r="F25" s="494">
        <v>1</v>
      </c>
      <c r="G25" s="494">
        <v>0</v>
      </c>
      <c r="H25" s="494">
        <v>0</v>
      </c>
      <c r="I25" s="494">
        <v>0</v>
      </c>
      <c r="J25" s="494">
        <v>2</v>
      </c>
      <c r="K25" s="494">
        <v>66.66</v>
      </c>
      <c r="L25" s="494">
        <v>1</v>
      </c>
      <c r="M25" s="494">
        <v>33.33</v>
      </c>
      <c r="N25" s="494"/>
      <c r="O25" s="494"/>
      <c r="P25" s="495"/>
      <c r="Q25" s="496"/>
    </row>
    <row r="26" spans="1:17" ht="14.4" customHeight="1" x14ac:dyDescent="0.3">
      <c r="A26" s="492" t="s">
        <v>405</v>
      </c>
      <c r="B26" s="493" t="s">
        <v>372</v>
      </c>
      <c r="C26" s="493" t="s">
        <v>373</v>
      </c>
      <c r="D26" s="493" t="s">
        <v>384</v>
      </c>
      <c r="E26" s="493" t="s">
        <v>385</v>
      </c>
      <c r="F26" s="494">
        <v>2</v>
      </c>
      <c r="G26" s="494">
        <v>700</v>
      </c>
      <c r="H26" s="494">
        <v>0.94086021505376349</v>
      </c>
      <c r="I26" s="494">
        <v>350</v>
      </c>
      <c r="J26" s="494">
        <v>2</v>
      </c>
      <c r="K26" s="494">
        <v>744</v>
      </c>
      <c r="L26" s="494">
        <v>1</v>
      </c>
      <c r="M26" s="494">
        <v>372</v>
      </c>
      <c r="N26" s="494">
        <v>4</v>
      </c>
      <c r="O26" s="494">
        <v>1492</v>
      </c>
      <c r="P26" s="495">
        <v>2.0053763440860215</v>
      </c>
      <c r="Q26" s="496">
        <v>373</v>
      </c>
    </row>
    <row r="27" spans="1:17" ht="14.4" customHeight="1" x14ac:dyDescent="0.3">
      <c r="A27" s="492" t="s">
        <v>406</v>
      </c>
      <c r="B27" s="493" t="s">
        <v>372</v>
      </c>
      <c r="C27" s="493" t="s">
        <v>373</v>
      </c>
      <c r="D27" s="493" t="s">
        <v>376</v>
      </c>
      <c r="E27" s="493" t="s">
        <v>377</v>
      </c>
      <c r="F27" s="494">
        <v>1</v>
      </c>
      <c r="G27" s="494">
        <v>133</v>
      </c>
      <c r="H27" s="494">
        <v>0.31442080378250592</v>
      </c>
      <c r="I27" s="494">
        <v>133</v>
      </c>
      <c r="J27" s="494">
        <v>3</v>
      </c>
      <c r="K27" s="494">
        <v>423</v>
      </c>
      <c r="L27" s="494">
        <v>1</v>
      </c>
      <c r="M27" s="494">
        <v>141</v>
      </c>
      <c r="N27" s="494"/>
      <c r="O27" s="494"/>
      <c r="P27" s="495"/>
      <c r="Q27" s="496"/>
    </row>
    <row r="28" spans="1:17" ht="14.4" customHeight="1" x14ac:dyDescent="0.3">
      <c r="A28" s="492" t="s">
        <v>406</v>
      </c>
      <c r="B28" s="493" t="s">
        <v>372</v>
      </c>
      <c r="C28" s="493" t="s">
        <v>373</v>
      </c>
      <c r="D28" s="493" t="s">
        <v>380</v>
      </c>
      <c r="E28" s="493" t="s">
        <v>381</v>
      </c>
      <c r="F28" s="494">
        <v>59</v>
      </c>
      <c r="G28" s="494">
        <v>30562</v>
      </c>
      <c r="H28" s="494">
        <v>0.34326598002987657</v>
      </c>
      <c r="I28" s="494">
        <v>518</v>
      </c>
      <c r="J28" s="494">
        <v>161</v>
      </c>
      <c r="K28" s="494">
        <v>89033</v>
      </c>
      <c r="L28" s="494">
        <v>1</v>
      </c>
      <c r="M28" s="494">
        <v>553</v>
      </c>
      <c r="N28" s="494">
        <v>18</v>
      </c>
      <c r="O28" s="494">
        <v>9972</v>
      </c>
      <c r="P28" s="495">
        <v>0.11200341446429976</v>
      </c>
      <c r="Q28" s="496">
        <v>554</v>
      </c>
    </row>
    <row r="29" spans="1:17" ht="14.4" customHeight="1" x14ac:dyDescent="0.3">
      <c r="A29" s="492" t="s">
        <v>406</v>
      </c>
      <c r="B29" s="493" t="s">
        <v>372</v>
      </c>
      <c r="C29" s="493" t="s">
        <v>373</v>
      </c>
      <c r="D29" s="493" t="s">
        <v>382</v>
      </c>
      <c r="E29" s="493" t="s">
        <v>383</v>
      </c>
      <c r="F29" s="494">
        <v>3</v>
      </c>
      <c r="G29" s="494">
        <v>0</v>
      </c>
      <c r="H29" s="494">
        <v>0</v>
      </c>
      <c r="I29" s="494">
        <v>0</v>
      </c>
      <c r="J29" s="494">
        <v>6</v>
      </c>
      <c r="K29" s="494">
        <v>200</v>
      </c>
      <c r="L29" s="494">
        <v>1</v>
      </c>
      <c r="M29" s="494">
        <v>33.333333333333336</v>
      </c>
      <c r="N29" s="494"/>
      <c r="O29" s="494"/>
      <c r="P29" s="495"/>
      <c r="Q29" s="496"/>
    </row>
    <row r="30" spans="1:17" ht="14.4" customHeight="1" x14ac:dyDescent="0.3">
      <c r="A30" s="492" t="s">
        <v>406</v>
      </c>
      <c r="B30" s="493" t="s">
        <v>372</v>
      </c>
      <c r="C30" s="493" t="s">
        <v>373</v>
      </c>
      <c r="D30" s="493" t="s">
        <v>384</v>
      </c>
      <c r="E30" s="493" t="s">
        <v>385</v>
      </c>
      <c r="F30" s="494">
        <v>1</v>
      </c>
      <c r="G30" s="494">
        <v>350</v>
      </c>
      <c r="H30" s="494">
        <v>0.31362007168458783</v>
      </c>
      <c r="I30" s="494">
        <v>350</v>
      </c>
      <c r="J30" s="494">
        <v>3</v>
      </c>
      <c r="K30" s="494">
        <v>1116</v>
      </c>
      <c r="L30" s="494">
        <v>1</v>
      </c>
      <c r="M30" s="494">
        <v>372</v>
      </c>
      <c r="N30" s="494">
        <v>1</v>
      </c>
      <c r="O30" s="494">
        <v>373</v>
      </c>
      <c r="P30" s="495">
        <v>0.3342293906810036</v>
      </c>
      <c r="Q30" s="496">
        <v>373</v>
      </c>
    </row>
    <row r="31" spans="1:17" ht="14.4" customHeight="1" thickBot="1" x14ac:dyDescent="0.35">
      <c r="A31" s="497" t="s">
        <v>406</v>
      </c>
      <c r="B31" s="498" t="s">
        <v>372</v>
      </c>
      <c r="C31" s="498" t="s">
        <v>373</v>
      </c>
      <c r="D31" s="498" t="s">
        <v>388</v>
      </c>
      <c r="E31" s="498" t="s">
        <v>389</v>
      </c>
      <c r="F31" s="414">
        <v>1</v>
      </c>
      <c r="G31" s="414">
        <v>265</v>
      </c>
      <c r="H31" s="414">
        <v>0.46985815602836878</v>
      </c>
      <c r="I31" s="414">
        <v>265</v>
      </c>
      <c r="J31" s="414">
        <v>2</v>
      </c>
      <c r="K31" s="414">
        <v>564</v>
      </c>
      <c r="L31" s="414">
        <v>1</v>
      </c>
      <c r="M31" s="414">
        <v>282</v>
      </c>
      <c r="N31" s="414"/>
      <c r="O31" s="414"/>
      <c r="P31" s="415"/>
      <c r="Q31" s="42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307" t="s">
        <v>94</v>
      </c>
      <c r="B1" s="307"/>
      <c r="C1" s="308"/>
      <c r="D1" s="308"/>
      <c r="E1" s="308"/>
    </row>
    <row r="2" spans="1:5" ht="14.4" customHeight="1" thickBot="1" x14ac:dyDescent="0.35">
      <c r="A2" s="196" t="s">
        <v>247</v>
      </c>
      <c r="B2" s="120"/>
    </row>
    <row r="3" spans="1:5" ht="14.4" customHeight="1" thickBot="1" x14ac:dyDescent="0.35">
      <c r="A3" s="123"/>
      <c r="C3" s="124" t="s">
        <v>84</v>
      </c>
      <c r="D3" s="125" t="s">
        <v>50</v>
      </c>
      <c r="E3" s="126" t="s">
        <v>52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594.31648546919007</v>
      </c>
      <c r="D4" s="129">
        <f ca="1">IF(ISERROR(VLOOKUP("Náklady celkem",INDIRECT("HI!$A:$G"),5,0)),0,VLOOKUP("Náklady celkem",INDIRECT("HI!$A:$G"),5,0))</f>
        <v>638.89361000000008</v>
      </c>
      <c r="E4" s="130">
        <f ca="1">IF(C4=0,0,D4/C4)</f>
        <v>1.0750057008693239</v>
      </c>
    </row>
    <row r="5" spans="1:5" ht="14.4" customHeight="1" x14ac:dyDescent="0.3">
      <c r="A5" s="131" t="s">
        <v>108</v>
      </c>
      <c r="B5" s="132"/>
      <c r="C5" s="133"/>
      <c r="D5" s="133"/>
      <c r="E5" s="134"/>
    </row>
    <row r="6" spans="1:5" ht="14.4" customHeight="1" x14ac:dyDescent="0.3">
      <c r="A6" s="135" t="s">
        <v>113</v>
      </c>
      <c r="B6" s="136"/>
      <c r="C6" s="137"/>
      <c r="D6" s="137"/>
      <c r="E6" s="134"/>
    </row>
    <row r="7" spans="1:5" ht="14.4" customHeight="1" x14ac:dyDescent="0.3">
      <c r="A7" s="27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88</v>
      </c>
      <c r="C7" s="137">
        <f>IF(ISERROR(HI!F5),"",HI!F5)</f>
        <v>0</v>
      </c>
      <c r="D7" s="137">
        <f>IF(ISERROR(HI!E5),"",HI!E5)</f>
        <v>0</v>
      </c>
      <c r="E7" s="134">
        <f t="shared" ref="E7:E12" si="0">IF(C7=0,0,D7/C7)</f>
        <v>0</v>
      </c>
    </row>
    <row r="8" spans="1:5" ht="14.4" customHeight="1" x14ac:dyDescent="0.3">
      <c r="A8" s="275" t="str">
        <f>HYPERLINK("#'LŽ Statim'!A1","Podíl statimových žádanek (max. 30%)")</f>
        <v>Podíl statimových žádanek (max. 30%)</v>
      </c>
      <c r="B8" s="273" t="s">
        <v>197</v>
      </c>
      <c r="C8" s="274">
        <v>0.3</v>
      </c>
      <c r="D8" s="274">
        <f>IF('LŽ Statim'!G3="",0,'LŽ Statim'!G3)</f>
        <v>0</v>
      </c>
      <c r="E8" s="134">
        <f>IF(C8=0,0,D8/C8)</f>
        <v>0</v>
      </c>
    </row>
    <row r="9" spans="1:5" ht="14.4" customHeight="1" x14ac:dyDescent="0.3">
      <c r="A9" s="139" t="s">
        <v>109</v>
      </c>
      <c r="B9" s="136"/>
      <c r="C9" s="137"/>
      <c r="D9" s="137"/>
      <c r="E9" s="134"/>
    </row>
    <row r="10" spans="1:5" ht="14.4" customHeight="1" x14ac:dyDescent="0.3">
      <c r="A10" s="139" t="s">
        <v>110</v>
      </c>
      <c r="B10" s="136"/>
      <c r="C10" s="137"/>
      <c r="D10" s="137"/>
      <c r="E10" s="134"/>
    </row>
    <row r="11" spans="1:5" ht="14.4" customHeight="1" x14ac:dyDescent="0.3">
      <c r="A11" s="140" t="s">
        <v>114</v>
      </c>
      <c r="B11" s="136"/>
      <c r="C11" s="133"/>
      <c r="D11" s="133"/>
      <c r="E11" s="134"/>
    </row>
    <row r="12" spans="1:5" ht="14.4" customHeight="1" x14ac:dyDescent="0.3">
      <c r="A12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6" t="s">
        <v>88</v>
      </c>
      <c r="C12" s="137">
        <f>IF(ISERROR(HI!F6),"",HI!F6)</f>
        <v>4.3359969311666672E-3</v>
      </c>
      <c r="D12" s="137">
        <f>IF(ISERROR(HI!E6),"",HI!E6)</f>
        <v>0</v>
      </c>
      <c r="E12" s="134">
        <f t="shared" si="0"/>
        <v>0</v>
      </c>
    </row>
    <row r="13" spans="1:5" ht="14.4" customHeight="1" thickBot="1" x14ac:dyDescent="0.35">
      <c r="A13" s="142" t="str">
        <f>HYPERLINK("#HI!A1","Osobní náklady")</f>
        <v>Osobní náklady</v>
      </c>
      <c r="B13" s="136"/>
      <c r="C13" s="133">
        <f ca="1">IF(ISERROR(VLOOKUP("Osobní náklady (Kč) *",INDIRECT("HI!$A:$G"),6,0)),0,VLOOKUP("Osobní náklady (Kč) *",INDIRECT("HI!$A:$G"),6,0))</f>
        <v>558.83333333333337</v>
      </c>
      <c r="D13" s="133">
        <f ca="1">IF(ISERROR(VLOOKUP("Osobní náklady (Kč) *",INDIRECT("HI!$A:$G"),5,0)),0,VLOOKUP("Osobní náklady (Kč) *",INDIRECT("HI!$A:$G"),5,0))</f>
        <v>593.50593000000003</v>
      </c>
      <c r="E13" s="134">
        <f ca="1">IF(C13=0,0,D13/C13)</f>
        <v>1.0620446107963017</v>
      </c>
    </row>
    <row r="14" spans="1:5" ht="14.4" customHeight="1" thickBot="1" x14ac:dyDescent="0.35">
      <c r="A14" s="146"/>
      <c r="B14" s="147"/>
      <c r="C14" s="148"/>
      <c r="D14" s="148"/>
      <c r="E14" s="149"/>
    </row>
    <row r="15" spans="1:5" ht="14.4" customHeight="1" thickBot="1" x14ac:dyDescent="0.35">
      <c r="A15" s="150" t="str">
        <f>HYPERLINK("#HI!A1","VÝNOSY CELKEM (v tisících)")</f>
        <v>VÝNOSY CELKEM (v tisících)</v>
      </c>
      <c r="B15" s="151"/>
      <c r="C15" s="152">
        <f ca="1">IF(ISERROR(VLOOKUP("Výnosy celkem",INDIRECT("HI!$A:$G"),6,0)),0,VLOOKUP("Výnosy celkem",INDIRECT("HI!$A:$G"),6,0))</f>
        <v>78.447330000000008</v>
      </c>
      <c r="D15" s="152">
        <f ca="1">IF(ISERROR(VLOOKUP("Výnosy celkem",INDIRECT("HI!$A:$G"),5,0)),0,VLOOKUP("Výnosy celkem",INDIRECT("HI!$A:$G"),5,0))</f>
        <v>124.15133</v>
      </c>
      <c r="E15" s="153">
        <f t="shared" ref="E15:E20" ca="1" si="1">IF(C15=0,0,D15/C15)</f>
        <v>1.5826074641418642</v>
      </c>
    </row>
    <row r="16" spans="1:5" ht="14.4" customHeight="1" x14ac:dyDescent="0.3">
      <c r="A16" s="154" t="str">
        <f>HYPERLINK("#HI!A1","Ambulance (body za výkony + Kč za ZUM a ZULP)")</f>
        <v>Ambulance (body za výkony + Kč za ZUM a ZULP)</v>
      </c>
      <c r="B16" s="132"/>
      <c r="C16" s="133">
        <f ca="1">IF(ISERROR(VLOOKUP("Ambulance *",INDIRECT("HI!$A:$G"),6,0)),0,VLOOKUP("Ambulance *",INDIRECT("HI!$A:$G"),6,0))</f>
        <v>78.447330000000008</v>
      </c>
      <c r="D16" s="133">
        <f ca="1">IF(ISERROR(VLOOKUP("Ambulance *",INDIRECT("HI!$A:$G"),5,0)),0,VLOOKUP("Ambulance *",INDIRECT("HI!$A:$G"),5,0))</f>
        <v>124.15133</v>
      </c>
      <c r="E16" s="134">
        <f t="shared" ca="1" si="1"/>
        <v>1.5826074641418642</v>
      </c>
    </row>
    <row r="17" spans="1:5" ht="14.4" customHeight="1" x14ac:dyDescent="0.3">
      <c r="A17" s="290" t="str">
        <f>HYPERLINK("#'ZV Vykáz.-A'!A1","Zdravotní výkony vykázané u ambulantních pacientů (min. 100 % 2016)")</f>
        <v>Zdravotní výkony vykázané u ambulantních pacientů (min. 100 % 2016)</v>
      </c>
      <c r="B17" s="291" t="s">
        <v>96</v>
      </c>
      <c r="C17" s="138">
        <v>1</v>
      </c>
      <c r="D17" s="138">
        <f>IF(ISERROR(VLOOKUP("Celkem:",'ZV Vykáz.-A'!$A:$AB,10,0)),"",VLOOKUP("Celkem:",'ZV Vykáz.-A'!$A:$AB,10,0))</f>
        <v>1.5826074641418644</v>
      </c>
      <c r="E17" s="134">
        <f t="shared" si="1"/>
        <v>1.5826074641418644</v>
      </c>
    </row>
    <row r="18" spans="1:5" ht="14.4" customHeight="1" x14ac:dyDescent="0.3">
      <c r="A18" s="289" t="str">
        <f>HYPERLINK("#'ZV Vykáz.-A'!A1","Specializovaná ambulantní péče")</f>
        <v>Specializovaná ambulantní péče</v>
      </c>
      <c r="B18" s="291" t="s">
        <v>96</v>
      </c>
      <c r="C18" s="138">
        <v>1</v>
      </c>
      <c r="D18" s="274">
        <f>IF(ISERROR(VLOOKUP("Specializovaná ambulantní péče",'ZV Vykáz.-A'!$A:$AB,10,0)),"",VLOOKUP("Specializovaná ambulantní péče",'ZV Vykáz.-A'!$A:$AB,10,0))</f>
        <v>1.5826074641418644</v>
      </c>
      <c r="E18" s="134">
        <f t="shared" si="1"/>
        <v>1.5826074641418644</v>
      </c>
    </row>
    <row r="19" spans="1:5" ht="14.4" customHeight="1" x14ac:dyDescent="0.3">
      <c r="A19" s="289" t="str">
        <f>HYPERLINK("#'ZV Vykáz.-A'!A1","Ambulantní péče ve vyjmenovaných odbornostech (§9)")</f>
        <v>Ambulantní péče ve vyjmenovaných odbornostech (§9)</v>
      </c>
      <c r="B19" s="291" t="s">
        <v>96</v>
      </c>
      <c r="C19" s="138">
        <v>1</v>
      </c>
      <c r="D19" s="274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4">
        <f>IF(OR(C19=0,D19=""),0,IF(C19="","",D19/C19))</f>
        <v>0</v>
      </c>
    </row>
    <row r="20" spans="1:5" ht="14.4" customHeight="1" x14ac:dyDescent="0.3">
      <c r="A20" s="155" t="str">
        <f>HYPERLINK("#'ZV Vykáz.-H'!A1","Zdravotní výkony vykázané u hospitalizovaných pacientů (max. 85 %)")</f>
        <v>Zdravotní výkony vykázané u hospitalizovaných pacientů (max. 85 %)</v>
      </c>
      <c r="B20" s="291" t="s">
        <v>98</v>
      </c>
      <c r="C20" s="138">
        <v>0.85</v>
      </c>
      <c r="D20" s="138">
        <f>IF(ISERROR(VLOOKUP("Celkem:",'ZV Vykáz.-H'!$A:$S,7,0)),"",VLOOKUP("Celkem:",'ZV Vykáz.-H'!$A:$S,7,0))</f>
        <v>0.31982515080551377</v>
      </c>
      <c r="E20" s="134">
        <f t="shared" si="1"/>
        <v>0.37626488330060442</v>
      </c>
    </row>
    <row r="21" spans="1:5" ht="14.4" customHeight="1" x14ac:dyDescent="0.3">
      <c r="A21" s="156" t="str">
        <f>HYPERLINK("#HI!A1","Hospitalizace (casemix * 30000)")</f>
        <v>Hospitalizace (casemix * 30000)</v>
      </c>
      <c r="B21" s="136"/>
      <c r="C21" s="133">
        <f ca="1">IF(ISERROR(VLOOKUP("Hospitalizace *",INDIRECT("HI!$A:$G"),6,0)),0,VLOOKUP("Hospitalizace *",INDIRECT("HI!$A:$G"),6,0))</f>
        <v>0</v>
      </c>
      <c r="D21" s="133">
        <f ca="1">IF(ISERROR(VLOOKUP("Hospitalizace *",INDIRECT("HI!$A:$G"),5,0)),0,VLOOKUP("Hospitalizace *",INDIRECT("HI!$A:$G"),5,0))</f>
        <v>0</v>
      </c>
      <c r="E21" s="134">
        <f ca="1">IF(C21=0,0,D21/C21)</f>
        <v>0</v>
      </c>
    </row>
    <row r="22" spans="1:5" ht="14.4" customHeight="1" thickBot="1" x14ac:dyDescent="0.35">
      <c r="A22" s="157" t="s">
        <v>111</v>
      </c>
      <c r="B22" s="143"/>
      <c r="C22" s="144"/>
      <c r="D22" s="144"/>
      <c r="E22" s="145"/>
    </row>
    <row r="23" spans="1:5" ht="14.4" customHeight="1" thickBot="1" x14ac:dyDescent="0.35">
      <c r="A23" s="158"/>
      <c r="B23" s="159"/>
      <c r="C23" s="160"/>
      <c r="D23" s="160"/>
      <c r="E23" s="161"/>
    </row>
    <row r="24" spans="1:5" ht="14.4" customHeight="1" thickBot="1" x14ac:dyDescent="0.35">
      <c r="A24" s="162" t="s">
        <v>112</v>
      </c>
      <c r="B24" s="163"/>
      <c r="C24" s="164"/>
      <c r="D24" s="164"/>
      <c r="E24" s="165"/>
    </row>
  </sheetData>
  <mergeCells count="1">
    <mergeCell ref="A1:E1"/>
  </mergeCells>
  <conditionalFormatting sqref="E5">
    <cfRule type="cellIs" dxfId="58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5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51" priority="25" operator="lessThan">
      <formula>1</formula>
    </cfRule>
    <cfRule type="iconSet" priority="26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50" priority="31" operator="greaterThan">
      <formula>1</formula>
    </cfRule>
    <cfRule type="iconSet" priority="3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318" t="s">
        <v>103</v>
      </c>
      <c r="B1" s="318"/>
      <c r="C1" s="318"/>
      <c r="D1" s="318"/>
      <c r="E1" s="318"/>
      <c r="F1" s="318"/>
      <c r="G1" s="318"/>
      <c r="H1" s="318"/>
      <c r="I1" s="318"/>
      <c r="J1" s="318"/>
    </row>
    <row r="2" spans="1:10" ht="14.4" customHeight="1" thickBot="1" x14ac:dyDescent="0.35">
      <c r="A2" s="196" t="s">
        <v>247</v>
      </c>
      <c r="B2" s="83"/>
      <c r="C2" s="83"/>
      <c r="D2" s="83"/>
      <c r="E2" s="83"/>
      <c r="F2" s="83"/>
    </row>
    <row r="3" spans="1:10" ht="14.4" customHeight="1" x14ac:dyDescent="0.3">
      <c r="A3" s="309"/>
      <c r="B3" s="79">
        <v>2015</v>
      </c>
      <c r="C3" s="40">
        <v>2016</v>
      </c>
      <c r="D3" s="7"/>
      <c r="E3" s="313">
        <v>2017</v>
      </c>
      <c r="F3" s="314"/>
      <c r="G3" s="314"/>
      <c r="H3" s="315"/>
      <c r="I3" s="316">
        <v>2017</v>
      </c>
      <c r="J3" s="317"/>
    </row>
    <row r="4" spans="1:10" ht="14.4" customHeight="1" thickBot="1" x14ac:dyDescent="0.35">
      <c r="A4" s="310"/>
      <c r="B4" s="311" t="s">
        <v>50</v>
      </c>
      <c r="C4" s="312"/>
      <c r="D4" s="7"/>
      <c r="E4" s="100" t="s">
        <v>50</v>
      </c>
      <c r="F4" s="81" t="s">
        <v>51</v>
      </c>
      <c r="G4" s="81" t="s">
        <v>45</v>
      </c>
      <c r="H4" s="82" t="s">
        <v>52</v>
      </c>
      <c r="I4" s="294" t="s">
        <v>238</v>
      </c>
      <c r="J4" s="295" t="s">
        <v>239</v>
      </c>
    </row>
    <row r="5" spans="1:10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4.3359969311666672E-3</v>
      </c>
      <c r="G6" s="91">
        <f>E6-F6</f>
        <v>-4.3359969311666672E-3</v>
      </c>
      <c r="H6" s="95">
        <f>IF(F6&lt;0.00000001,"",E6/F6)</f>
        <v>0</v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506.63250000000096</v>
      </c>
      <c r="C7" s="31">
        <v>509.54344000000003</v>
      </c>
      <c r="D7" s="8"/>
      <c r="E7" s="90">
        <v>593.50593000000003</v>
      </c>
      <c r="F7" s="30">
        <v>558.83333333333337</v>
      </c>
      <c r="G7" s="91">
        <f>E7-F7</f>
        <v>34.672596666666664</v>
      </c>
      <c r="H7" s="95">
        <f>IF(F7&lt;0.00000001,"",E7/F7)</f>
        <v>1.0620446107963017</v>
      </c>
    </row>
    <row r="8" spans="1:10" ht="14.4" customHeight="1" thickBot="1" x14ac:dyDescent="0.35">
      <c r="A8" s="1" t="s">
        <v>53</v>
      </c>
      <c r="B8" s="11">
        <v>43.229090000000042</v>
      </c>
      <c r="C8" s="33">
        <v>43.718689999999924</v>
      </c>
      <c r="D8" s="8"/>
      <c r="E8" s="92">
        <v>45.387680000000046</v>
      </c>
      <c r="F8" s="32">
        <v>35.478816138925531</v>
      </c>
      <c r="G8" s="93">
        <f>E8-F8</f>
        <v>9.908863861074515</v>
      </c>
      <c r="H8" s="96">
        <f>IF(F8&lt;0.00000001,"",E8/F8)</f>
        <v>1.2792895857143052</v>
      </c>
    </row>
    <row r="9" spans="1:10" ht="14.4" customHeight="1" thickBot="1" x14ac:dyDescent="0.35">
      <c r="A9" s="2" t="s">
        <v>54</v>
      </c>
      <c r="B9" s="3">
        <v>549.861590000001</v>
      </c>
      <c r="C9" s="35">
        <v>553.26212999999996</v>
      </c>
      <c r="D9" s="8"/>
      <c r="E9" s="3">
        <v>638.89361000000008</v>
      </c>
      <c r="F9" s="34">
        <v>594.31648546919007</v>
      </c>
      <c r="G9" s="34">
        <f>E9-F9</f>
        <v>44.577124530810011</v>
      </c>
      <c r="H9" s="97">
        <f>IF(F9&lt;0.00000001,"",E9/F9)</f>
        <v>1.0750057008693239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155.03700000000001</v>
      </c>
      <c r="C11" s="29">
        <f>IF(ISERROR(VLOOKUP("Celkem:",'ZV Vykáz.-A'!A:H,5,0)),0,VLOOKUP("Celkem:",'ZV Vykáz.-A'!A:H,5,0)/1000)</f>
        <v>78.447330000000008</v>
      </c>
      <c r="D11" s="8"/>
      <c r="E11" s="89">
        <f>IF(ISERROR(VLOOKUP("Celkem:",'ZV Vykáz.-A'!A:H,8,0)),0,VLOOKUP("Celkem:",'ZV Vykáz.-A'!A:H,8,0)/1000)</f>
        <v>124.15133</v>
      </c>
      <c r="F11" s="28">
        <f>C11</f>
        <v>78.447330000000008</v>
      </c>
      <c r="G11" s="88">
        <f>E11-F11</f>
        <v>45.703999999999994</v>
      </c>
      <c r="H11" s="94">
        <f>IF(F11&lt;0.00000001,"",E11/F11)</f>
        <v>1.5826074641418642</v>
      </c>
      <c r="I11" s="88">
        <f>E11-B11</f>
        <v>-30.885670000000005</v>
      </c>
      <c r="J11" s="94">
        <f>IF(B11&lt;0.00000001,"",E11/B11)</f>
        <v>0.80078516741165007</v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57</v>
      </c>
      <c r="B13" s="5">
        <f>SUM(B11:B12)</f>
        <v>155.03700000000001</v>
      </c>
      <c r="C13" s="37">
        <f>SUM(C11:C12)</f>
        <v>78.447330000000008</v>
      </c>
      <c r="D13" s="8"/>
      <c r="E13" s="5">
        <f>SUM(E11:E12)</f>
        <v>124.15133</v>
      </c>
      <c r="F13" s="36">
        <f>SUM(F11:F12)</f>
        <v>78.447330000000008</v>
      </c>
      <c r="G13" s="36">
        <f>E13-F13</f>
        <v>45.703999999999994</v>
      </c>
      <c r="H13" s="98">
        <f>IF(F13&lt;0.00000001,"",E13/F13)</f>
        <v>1.5826074641418642</v>
      </c>
      <c r="I13" s="36">
        <f>SUM(I11:I12)</f>
        <v>-30.885670000000005</v>
      </c>
      <c r="J13" s="98">
        <f>IF(B13&lt;0.00000001,"",E13/B13)</f>
        <v>0.80078516741165007</v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0.2819564101576903</v>
      </c>
      <c r="C15" s="39">
        <f>IF(C9=0,"",C13/C9)</f>
        <v>0.14179052884028048</v>
      </c>
      <c r="D15" s="8"/>
      <c r="E15" s="6">
        <f>IF(E9=0,"",E13/E9)</f>
        <v>0.1943223849116287</v>
      </c>
      <c r="F15" s="38">
        <f>IF(F9=0,"",F13/F9)</f>
        <v>0.13199588420985639</v>
      </c>
      <c r="G15" s="38">
        <f>IF(ISERROR(F15-E15),"",E15-F15)</f>
        <v>6.2326500701772314E-2</v>
      </c>
      <c r="H15" s="99">
        <f>IF(ISERROR(F15-E15),"",IF(F15&lt;0.00000001,"",E15/F15))</f>
        <v>1.4721851827037367</v>
      </c>
    </row>
    <row r="17" spans="1:8" ht="14.4" customHeight="1" x14ac:dyDescent="0.3">
      <c r="A17" s="85" t="s">
        <v>115</v>
      </c>
    </row>
    <row r="18" spans="1:8" ht="14.4" customHeight="1" x14ac:dyDescent="0.3">
      <c r="A18" s="251" t="s">
        <v>150</v>
      </c>
      <c r="B18" s="252"/>
      <c r="C18" s="252"/>
      <c r="D18" s="252"/>
      <c r="E18" s="252"/>
      <c r="F18" s="252"/>
      <c r="G18" s="252"/>
      <c r="H18" s="252"/>
    </row>
    <row r="19" spans="1:8" x14ac:dyDescent="0.3">
      <c r="A19" s="250" t="s">
        <v>149</v>
      </c>
      <c r="B19" s="252"/>
      <c r="C19" s="252"/>
      <c r="D19" s="252"/>
      <c r="E19" s="252"/>
      <c r="F19" s="252"/>
      <c r="G19" s="252"/>
      <c r="H19" s="252"/>
    </row>
    <row r="20" spans="1:8" ht="14.4" customHeight="1" x14ac:dyDescent="0.3">
      <c r="A20" s="86" t="s">
        <v>198</v>
      </c>
    </row>
    <row r="21" spans="1:8" ht="14.4" customHeight="1" x14ac:dyDescent="0.3">
      <c r="A21" s="86" t="s">
        <v>116</v>
      </c>
    </row>
    <row r="22" spans="1:8" ht="14.4" customHeight="1" x14ac:dyDescent="0.3">
      <c r="A22" s="87" t="s">
        <v>237</v>
      </c>
    </row>
    <row r="23" spans="1:8" ht="14.4" customHeight="1" x14ac:dyDescent="0.3">
      <c r="A23" s="87" t="s">
        <v>117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307" t="s">
        <v>81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</row>
    <row r="2" spans="1:13" ht="14.4" customHeight="1" x14ac:dyDescent="0.3">
      <c r="A2" s="196" t="s">
        <v>247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59</v>
      </c>
      <c r="C3" s="169" t="s">
        <v>60</v>
      </c>
      <c r="D3" s="169" t="s">
        <v>61</v>
      </c>
      <c r="E3" s="168" t="s">
        <v>62</v>
      </c>
      <c r="F3" s="169" t="s">
        <v>63</v>
      </c>
      <c r="G3" s="169" t="s">
        <v>64</v>
      </c>
      <c r="H3" s="169" t="s">
        <v>65</v>
      </c>
      <c r="I3" s="169" t="s">
        <v>66</v>
      </c>
      <c r="J3" s="169" t="s">
        <v>67</v>
      </c>
      <c r="K3" s="169" t="s">
        <v>68</v>
      </c>
      <c r="L3" s="169" t="s">
        <v>69</v>
      </c>
      <c r="M3" s="169" t="s">
        <v>70</v>
      </c>
    </row>
    <row r="4" spans="1:13" ht="14.4" customHeight="1" x14ac:dyDescent="0.3">
      <c r="A4" s="167" t="s">
        <v>58</v>
      </c>
      <c r="B4" s="170">
        <f>(B10+B8)/B6</f>
        <v>0.2341415814807298</v>
      </c>
      <c r="C4" s="170">
        <f t="shared" ref="C4:M4" si="0">(C10+C8)/C6</f>
        <v>0.19432236925957044</v>
      </c>
      <c r="D4" s="170">
        <f t="shared" si="0"/>
        <v>0.19432236925957044</v>
      </c>
      <c r="E4" s="170">
        <f t="shared" si="0"/>
        <v>0.19432236925957044</v>
      </c>
      <c r="F4" s="170">
        <f t="shared" si="0"/>
        <v>0.19432236925957044</v>
      </c>
      <c r="G4" s="170">
        <f t="shared" si="0"/>
        <v>0.19432236925957044</v>
      </c>
      <c r="H4" s="170">
        <f t="shared" si="0"/>
        <v>0.19432236925957044</v>
      </c>
      <c r="I4" s="170">
        <f t="shared" si="0"/>
        <v>0.19432236925957044</v>
      </c>
      <c r="J4" s="170">
        <f t="shared" si="0"/>
        <v>0.19432236925957044</v>
      </c>
      <c r="K4" s="170">
        <f t="shared" si="0"/>
        <v>0.19432236925957044</v>
      </c>
      <c r="L4" s="170">
        <f t="shared" si="0"/>
        <v>0.19432236925957044</v>
      </c>
      <c r="M4" s="170">
        <f t="shared" si="0"/>
        <v>0.19432236925957044</v>
      </c>
    </row>
    <row r="5" spans="1:13" ht="14.4" customHeight="1" x14ac:dyDescent="0.3">
      <c r="A5" s="171" t="s">
        <v>30</v>
      </c>
      <c r="B5" s="170">
        <f>IF(ISERROR(VLOOKUP($A5,'Man Tab'!$A:$Q,COLUMN()+2,0)),0,VLOOKUP($A5,'Man Tab'!$A:$Q,COLUMN()+2,0))</f>
        <v>324.41192000000001</v>
      </c>
      <c r="C5" s="170">
        <f>IF(ISERROR(VLOOKUP($A5,'Man Tab'!$A:$Q,COLUMN()+2,0)),0,VLOOKUP($A5,'Man Tab'!$A:$Q,COLUMN()+2,0))</f>
        <v>314.48169000000001</v>
      </c>
      <c r="D5" s="170">
        <f>IF(ISERROR(VLOOKUP($A5,'Man Tab'!$A:$Q,COLUMN()+2,0)),0,VLOOKUP($A5,'Man Tab'!$A:$Q,COLUMN()+2,0))</f>
        <v>0</v>
      </c>
      <c r="E5" s="170">
        <f>IF(ISERROR(VLOOKUP($A5,'Man Tab'!$A:$Q,COLUMN()+2,0)),0,VLOOKUP($A5,'Man Tab'!$A:$Q,COLUMN()+2,0))</f>
        <v>0</v>
      </c>
      <c r="F5" s="170">
        <f>IF(ISERROR(VLOOKUP($A5,'Man Tab'!$A:$Q,COLUMN()+2,0)),0,VLOOKUP($A5,'Man Tab'!$A:$Q,COLUMN()+2,0))</f>
        <v>0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54</v>
      </c>
      <c r="B6" s="172">
        <f>B5</f>
        <v>324.41192000000001</v>
      </c>
      <c r="C6" s="172">
        <f t="shared" ref="C6:M6" si="1">C5+B6</f>
        <v>638.89361000000008</v>
      </c>
      <c r="D6" s="172">
        <f t="shared" si="1"/>
        <v>638.89361000000008</v>
      </c>
      <c r="E6" s="172">
        <f t="shared" si="1"/>
        <v>638.89361000000008</v>
      </c>
      <c r="F6" s="172">
        <f t="shared" si="1"/>
        <v>638.89361000000008</v>
      </c>
      <c r="G6" s="172">
        <f t="shared" si="1"/>
        <v>638.89361000000008</v>
      </c>
      <c r="H6" s="172">
        <f t="shared" si="1"/>
        <v>638.89361000000008</v>
      </c>
      <c r="I6" s="172">
        <f t="shared" si="1"/>
        <v>638.89361000000008</v>
      </c>
      <c r="J6" s="172">
        <f t="shared" si="1"/>
        <v>638.89361000000008</v>
      </c>
      <c r="K6" s="172">
        <f t="shared" si="1"/>
        <v>638.89361000000008</v>
      </c>
      <c r="L6" s="172">
        <f t="shared" si="1"/>
        <v>638.89361000000008</v>
      </c>
      <c r="M6" s="172">
        <f t="shared" si="1"/>
        <v>638.89361000000008</v>
      </c>
    </row>
    <row r="7" spans="1:13" ht="14.4" customHeight="1" x14ac:dyDescent="0.3">
      <c r="A7" s="171" t="s">
        <v>79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55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80</v>
      </c>
      <c r="B9" s="171">
        <v>75958.320000000007</v>
      </c>
      <c r="C9" s="171">
        <v>48193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56</v>
      </c>
      <c r="B10" s="172">
        <f>B9/1000</f>
        <v>75.958320000000001</v>
      </c>
      <c r="C10" s="172">
        <f t="shared" ref="C10:M10" si="3">C9/1000+B10</f>
        <v>124.15132</v>
      </c>
      <c r="D10" s="172">
        <f t="shared" si="3"/>
        <v>124.15132</v>
      </c>
      <c r="E10" s="172">
        <f t="shared" si="3"/>
        <v>124.15132</v>
      </c>
      <c r="F10" s="172">
        <f t="shared" si="3"/>
        <v>124.15132</v>
      </c>
      <c r="G10" s="172">
        <f t="shared" si="3"/>
        <v>124.15132</v>
      </c>
      <c r="H10" s="172">
        <f t="shared" si="3"/>
        <v>124.15132</v>
      </c>
      <c r="I10" s="172">
        <f t="shared" si="3"/>
        <v>124.15132</v>
      </c>
      <c r="J10" s="172">
        <f t="shared" si="3"/>
        <v>124.15132</v>
      </c>
      <c r="K10" s="172">
        <f t="shared" si="3"/>
        <v>124.15132</v>
      </c>
      <c r="L10" s="172">
        <f t="shared" si="3"/>
        <v>124.15132</v>
      </c>
      <c r="M10" s="172">
        <f t="shared" si="3"/>
        <v>124.15132</v>
      </c>
    </row>
    <row r="11" spans="1:13" ht="14.4" customHeight="1" x14ac:dyDescent="0.3">
      <c r="A11" s="167"/>
      <c r="B11" s="167" t="s">
        <v>71</v>
      </c>
      <c r="C11" s="167">
        <f ca="1">IF(MONTH(TODAY())=1,12,MONTH(TODAY())-1)</f>
        <v>2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0.13199588420985639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0.13199588420985639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319" t="s">
        <v>249</v>
      </c>
      <c r="B1" s="319"/>
      <c r="C1" s="319"/>
      <c r="D1" s="319"/>
      <c r="E1" s="319"/>
      <c r="F1" s="319"/>
      <c r="G1" s="319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s="173" customFormat="1" ht="14.4" customHeight="1" thickBot="1" x14ac:dyDescent="0.3">
      <c r="A2" s="196" t="s">
        <v>247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320" t="s">
        <v>6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109"/>
      <c r="Q3" s="111"/>
    </row>
    <row r="4" spans="1:17" ht="14.4" customHeight="1" x14ac:dyDescent="0.3">
      <c r="A4" s="60"/>
      <c r="B4" s="20">
        <v>2017</v>
      </c>
      <c r="C4" s="110" t="s">
        <v>7</v>
      </c>
      <c r="D4" s="288" t="s">
        <v>213</v>
      </c>
      <c r="E4" s="288" t="s">
        <v>214</v>
      </c>
      <c r="F4" s="288" t="s">
        <v>215</v>
      </c>
      <c r="G4" s="288" t="s">
        <v>216</v>
      </c>
      <c r="H4" s="288" t="s">
        <v>217</v>
      </c>
      <c r="I4" s="288" t="s">
        <v>218</v>
      </c>
      <c r="J4" s="288" t="s">
        <v>219</v>
      </c>
      <c r="K4" s="288" t="s">
        <v>220</v>
      </c>
      <c r="L4" s="288" t="s">
        <v>221</v>
      </c>
      <c r="M4" s="288" t="s">
        <v>222</v>
      </c>
      <c r="N4" s="288" t="s">
        <v>223</v>
      </c>
      <c r="O4" s="288" t="s">
        <v>224</v>
      </c>
      <c r="P4" s="322" t="s">
        <v>3</v>
      </c>
      <c r="Q4" s="323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248</v>
      </c>
    </row>
    <row r="7" spans="1:17" ht="14.4" customHeight="1" x14ac:dyDescent="0.3">
      <c r="A7" s="15" t="s">
        <v>12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248</v>
      </c>
    </row>
    <row r="8" spans="1:17" ht="14.4" customHeight="1" x14ac:dyDescent="0.3">
      <c r="A8" s="15" t="s">
        <v>13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248</v>
      </c>
    </row>
    <row r="9" spans="1:17" ht="14.4" customHeight="1" x14ac:dyDescent="0.3">
      <c r="A9" s="15" t="s">
        <v>14</v>
      </c>
      <c r="B9" s="46">
        <v>2.6015981587000001E-2</v>
      </c>
      <c r="C9" s="47">
        <v>2.1679984649999999E-3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>
        <v>0</v>
      </c>
    </row>
    <row r="10" spans="1:17" ht="14.4" customHeight="1" x14ac:dyDescent="0.3">
      <c r="A10" s="15" t="s">
        <v>15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248</v>
      </c>
    </row>
    <row r="11" spans="1:17" ht="14.4" customHeight="1" x14ac:dyDescent="0.3">
      <c r="A11" s="15" t="s">
        <v>16</v>
      </c>
      <c r="B11" s="46">
        <v>11.13397429518</v>
      </c>
      <c r="C11" s="47">
        <v>0.92783119126500002</v>
      </c>
      <c r="D11" s="47">
        <v>0.22444</v>
      </c>
      <c r="E11" s="47">
        <v>1.82284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2.0472800000000002</v>
      </c>
      <c r="Q11" s="70">
        <v>1.10326103459</v>
      </c>
    </row>
    <row r="12" spans="1:17" ht="14.4" customHeight="1" x14ac:dyDescent="0.3">
      <c r="A12" s="15" t="s">
        <v>17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248</v>
      </c>
    </row>
    <row r="13" spans="1:17" ht="14.4" customHeight="1" x14ac:dyDescent="0.3">
      <c r="A13" s="15" t="s">
        <v>18</v>
      </c>
      <c r="B13" s="46">
        <v>2</v>
      </c>
      <c r="C13" s="47">
        <v>0.166666666666</v>
      </c>
      <c r="D13" s="47">
        <v>0.29766999999999999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0.29766999999999999</v>
      </c>
      <c r="Q13" s="70">
        <v>0.89300999999899999</v>
      </c>
    </row>
    <row r="14" spans="1:17" ht="14.4" customHeight="1" x14ac:dyDescent="0.3">
      <c r="A14" s="15" t="s">
        <v>19</v>
      </c>
      <c r="B14" s="46">
        <v>149.503906610581</v>
      </c>
      <c r="C14" s="47">
        <v>12.458658884215</v>
      </c>
      <c r="D14" s="47">
        <v>18.437999999999999</v>
      </c>
      <c r="E14" s="47">
        <v>14.398999999999999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32.837000000000003</v>
      </c>
      <c r="Q14" s="70">
        <v>1.317838473031</v>
      </c>
    </row>
    <row r="15" spans="1:17" ht="14.4" customHeight="1" x14ac:dyDescent="0.3">
      <c r="A15" s="15" t="s">
        <v>20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248</v>
      </c>
    </row>
    <row r="16" spans="1:17" ht="14.4" customHeight="1" x14ac:dyDescent="0.3">
      <c r="A16" s="15" t="s">
        <v>21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248</v>
      </c>
    </row>
    <row r="17" spans="1:17" ht="14.4" customHeight="1" x14ac:dyDescent="0.3">
      <c r="A17" s="15" t="s">
        <v>22</v>
      </c>
      <c r="B17" s="46">
        <v>2.124120602439</v>
      </c>
      <c r="C17" s="47">
        <v>0.17701005020300001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>
        <v>0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0.52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0.52</v>
      </c>
      <c r="Q18" s="70" t="s">
        <v>248</v>
      </c>
    </row>
    <row r="19" spans="1:17" ht="14.4" customHeight="1" x14ac:dyDescent="0.3">
      <c r="A19" s="15" t="s">
        <v>24</v>
      </c>
      <c r="B19" s="46">
        <v>27.110895325348</v>
      </c>
      <c r="C19" s="47">
        <v>2.2592412771119998</v>
      </c>
      <c r="D19" s="47">
        <v>2.7864100000000001</v>
      </c>
      <c r="E19" s="47">
        <v>1.8453200000000001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4.6317300000000001</v>
      </c>
      <c r="Q19" s="70">
        <v>1.025063158796</v>
      </c>
    </row>
    <row r="20" spans="1:17" ht="14.4" customHeight="1" x14ac:dyDescent="0.3">
      <c r="A20" s="15" t="s">
        <v>25</v>
      </c>
      <c r="B20" s="46">
        <v>3353</v>
      </c>
      <c r="C20" s="47">
        <v>279.41666666666703</v>
      </c>
      <c r="D20" s="47">
        <v>298.8184</v>
      </c>
      <c r="E20" s="47">
        <v>294.68752999999998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593.50593000000003</v>
      </c>
      <c r="Q20" s="70">
        <v>1.062044610796</v>
      </c>
    </row>
    <row r="21" spans="1:17" ht="14.4" customHeight="1" x14ac:dyDescent="0.3">
      <c r="A21" s="16" t="s">
        <v>26</v>
      </c>
      <c r="B21" s="46">
        <v>21</v>
      </c>
      <c r="C21" s="47">
        <v>1.75</v>
      </c>
      <c r="D21" s="47">
        <v>1.7270000000000001</v>
      </c>
      <c r="E21" s="47">
        <v>1.7270000000000001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3.4540000000000002</v>
      </c>
      <c r="Q21" s="70">
        <v>0.98685714285699999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248</v>
      </c>
    </row>
    <row r="23" spans="1:17" ht="14.4" customHeight="1" x14ac:dyDescent="0.3">
      <c r="A23" s="16" t="s">
        <v>28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248</v>
      </c>
    </row>
    <row r="24" spans="1:17" ht="14.4" customHeight="1" x14ac:dyDescent="0.3">
      <c r="A24" s="16" t="s">
        <v>29</v>
      </c>
      <c r="B24" s="46">
        <v>0</v>
      </c>
      <c r="C24" s="47">
        <v>0</v>
      </c>
      <c r="D24" s="47">
        <v>1.6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1.6</v>
      </c>
      <c r="Q24" s="70" t="s">
        <v>248</v>
      </c>
    </row>
    <row r="25" spans="1:17" ht="14.4" customHeight="1" x14ac:dyDescent="0.3">
      <c r="A25" s="17" t="s">
        <v>30</v>
      </c>
      <c r="B25" s="49">
        <v>3565.8989128151402</v>
      </c>
      <c r="C25" s="50">
        <v>297.15824273459498</v>
      </c>
      <c r="D25" s="50">
        <v>324.41192000000001</v>
      </c>
      <c r="E25" s="50">
        <v>314.48169000000001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638.89360999999997</v>
      </c>
      <c r="Q25" s="71">
        <v>1.0750057008689999</v>
      </c>
    </row>
    <row r="26" spans="1:17" ht="14.4" customHeight="1" x14ac:dyDescent="0.3">
      <c r="A26" s="15" t="s">
        <v>31</v>
      </c>
      <c r="B26" s="46">
        <v>0</v>
      </c>
      <c r="C26" s="47">
        <v>0</v>
      </c>
      <c r="D26" s="47">
        <v>33.292839999999998</v>
      </c>
      <c r="E26" s="47">
        <v>32.205010000000001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65.49785</v>
      </c>
      <c r="Q26" s="70" t="s">
        <v>248</v>
      </c>
    </row>
    <row r="27" spans="1:17" ht="14.4" customHeight="1" x14ac:dyDescent="0.3">
      <c r="A27" s="18" t="s">
        <v>32</v>
      </c>
      <c r="B27" s="49">
        <v>3565.8989128151402</v>
      </c>
      <c r="C27" s="50">
        <v>297.15824273459498</v>
      </c>
      <c r="D27" s="50">
        <v>357.70476000000002</v>
      </c>
      <c r="E27" s="50">
        <v>346.68669999999997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704.39146000000005</v>
      </c>
      <c r="Q27" s="71">
        <v>1.185212722887</v>
      </c>
    </row>
    <row r="28" spans="1:17" ht="14.4" customHeight="1" x14ac:dyDescent="0.3">
      <c r="A28" s="16" t="s">
        <v>33</v>
      </c>
      <c r="B28" s="46">
        <v>1</v>
      </c>
      <c r="C28" s="47">
        <v>8.3333333332999998E-2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248</v>
      </c>
    </row>
    <row r="30" spans="1:17" ht="14.4" customHeight="1" x14ac:dyDescent="0.3">
      <c r="A30" s="16" t="s">
        <v>35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10</v>
      </c>
    </row>
    <row r="31" spans="1:17" ht="14.4" customHeight="1" thickBot="1" x14ac:dyDescent="0.35">
      <c r="A31" s="19" t="s">
        <v>36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248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115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225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37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319" t="s">
        <v>38</v>
      </c>
      <c r="B1" s="319"/>
      <c r="C1" s="319"/>
      <c r="D1" s="319"/>
      <c r="E1" s="319"/>
      <c r="F1" s="319"/>
      <c r="G1" s="319"/>
      <c r="H1" s="324"/>
      <c r="I1" s="324"/>
      <c r="J1" s="324"/>
      <c r="K1" s="324"/>
    </row>
    <row r="2" spans="1:11" s="55" customFormat="1" ht="14.4" customHeight="1" thickBot="1" x14ac:dyDescent="0.35">
      <c r="A2" s="196" t="s">
        <v>247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320" t="s">
        <v>39</v>
      </c>
      <c r="C3" s="321"/>
      <c r="D3" s="321"/>
      <c r="E3" s="321"/>
      <c r="F3" s="327" t="s">
        <v>40</v>
      </c>
      <c r="G3" s="321"/>
      <c r="H3" s="321"/>
      <c r="I3" s="321"/>
      <c r="J3" s="321"/>
      <c r="K3" s="328"/>
    </row>
    <row r="4" spans="1:11" ht="14.4" customHeight="1" x14ac:dyDescent="0.3">
      <c r="A4" s="60"/>
      <c r="B4" s="325"/>
      <c r="C4" s="326"/>
      <c r="D4" s="326"/>
      <c r="E4" s="326"/>
      <c r="F4" s="329" t="s">
        <v>226</v>
      </c>
      <c r="G4" s="331" t="s">
        <v>41</v>
      </c>
      <c r="H4" s="112" t="s">
        <v>107</v>
      </c>
      <c r="I4" s="329" t="s">
        <v>42</v>
      </c>
      <c r="J4" s="331" t="s">
        <v>233</v>
      </c>
      <c r="K4" s="332" t="s">
        <v>227</v>
      </c>
    </row>
    <row r="5" spans="1:11" ht="42" thickBot="1" x14ac:dyDescent="0.35">
      <c r="A5" s="61"/>
      <c r="B5" s="24" t="s">
        <v>229</v>
      </c>
      <c r="C5" s="25" t="s">
        <v>230</v>
      </c>
      <c r="D5" s="26" t="s">
        <v>231</v>
      </c>
      <c r="E5" s="26" t="s">
        <v>232</v>
      </c>
      <c r="F5" s="330"/>
      <c r="G5" s="330"/>
      <c r="H5" s="25" t="s">
        <v>228</v>
      </c>
      <c r="I5" s="330"/>
      <c r="J5" s="330"/>
      <c r="K5" s="333"/>
    </row>
    <row r="6" spans="1:11" ht="14.4" customHeight="1" thickBot="1" x14ac:dyDescent="0.35">
      <c r="A6" s="389" t="s">
        <v>250</v>
      </c>
      <c r="B6" s="371">
        <v>3463.4170893518199</v>
      </c>
      <c r="C6" s="371">
        <v>3594.6075000000001</v>
      </c>
      <c r="D6" s="372">
        <v>131.190410648181</v>
      </c>
      <c r="E6" s="373">
        <v>1.0378788945320001</v>
      </c>
      <c r="F6" s="371">
        <v>3565.8989128151402</v>
      </c>
      <c r="G6" s="372">
        <v>594.31648546918996</v>
      </c>
      <c r="H6" s="374">
        <v>314.48169000000001</v>
      </c>
      <c r="I6" s="371">
        <v>638.89360999999997</v>
      </c>
      <c r="J6" s="372">
        <v>44.577124530810003</v>
      </c>
      <c r="K6" s="375">
        <v>0.17916761681099999</v>
      </c>
    </row>
    <row r="7" spans="1:11" ht="14.4" customHeight="1" thickBot="1" x14ac:dyDescent="0.35">
      <c r="A7" s="390" t="s">
        <v>251</v>
      </c>
      <c r="B7" s="371">
        <v>152.785294993881</v>
      </c>
      <c r="C7" s="371">
        <v>154.99132</v>
      </c>
      <c r="D7" s="372">
        <v>2.2060250061179998</v>
      </c>
      <c r="E7" s="373">
        <v>1.0144387259659999</v>
      </c>
      <c r="F7" s="371">
        <v>162.66389688734901</v>
      </c>
      <c r="G7" s="372">
        <v>27.110649481224002</v>
      </c>
      <c r="H7" s="374">
        <v>16.22184</v>
      </c>
      <c r="I7" s="371">
        <v>35.181950000000001</v>
      </c>
      <c r="J7" s="372">
        <v>8.0713005187750007</v>
      </c>
      <c r="K7" s="375">
        <v>0.21628616228399999</v>
      </c>
    </row>
    <row r="8" spans="1:11" ht="14.4" customHeight="1" thickBot="1" x14ac:dyDescent="0.35">
      <c r="A8" s="391" t="s">
        <v>252</v>
      </c>
      <c r="B8" s="371">
        <v>10.615760610106999</v>
      </c>
      <c r="C8" s="371">
        <v>10.50732</v>
      </c>
      <c r="D8" s="372">
        <v>-0.108440610107</v>
      </c>
      <c r="E8" s="373">
        <v>0.98978494202199996</v>
      </c>
      <c r="F8" s="371">
        <v>13.159990276766999</v>
      </c>
      <c r="G8" s="372">
        <v>2.193331712794</v>
      </c>
      <c r="H8" s="374">
        <v>1.82284</v>
      </c>
      <c r="I8" s="371">
        <v>2.3449499999999999</v>
      </c>
      <c r="J8" s="372">
        <v>0.15161828720500001</v>
      </c>
      <c r="K8" s="375">
        <v>0.17818782162300001</v>
      </c>
    </row>
    <row r="9" spans="1:11" ht="14.4" customHeight="1" thickBot="1" x14ac:dyDescent="0.35">
      <c r="A9" s="392" t="s">
        <v>253</v>
      </c>
      <c r="B9" s="376">
        <v>0.338580030566</v>
      </c>
      <c r="C9" s="376">
        <v>0</v>
      </c>
      <c r="D9" s="377">
        <v>-0.338580030566</v>
      </c>
      <c r="E9" s="378">
        <v>0</v>
      </c>
      <c r="F9" s="376">
        <v>0</v>
      </c>
      <c r="G9" s="377">
        <v>0</v>
      </c>
      <c r="H9" s="379">
        <v>0</v>
      </c>
      <c r="I9" s="376">
        <v>0</v>
      </c>
      <c r="J9" s="377">
        <v>0</v>
      </c>
      <c r="K9" s="380" t="s">
        <v>248</v>
      </c>
    </row>
    <row r="10" spans="1:11" ht="14.4" customHeight="1" thickBot="1" x14ac:dyDescent="0.35">
      <c r="A10" s="393" t="s">
        <v>254</v>
      </c>
      <c r="B10" s="371">
        <v>0.338580030566</v>
      </c>
      <c r="C10" s="371">
        <v>0</v>
      </c>
      <c r="D10" s="372">
        <v>-0.338580030566</v>
      </c>
      <c r="E10" s="373">
        <v>0</v>
      </c>
      <c r="F10" s="371">
        <v>0</v>
      </c>
      <c r="G10" s="372">
        <v>0</v>
      </c>
      <c r="H10" s="374">
        <v>0</v>
      </c>
      <c r="I10" s="371">
        <v>0</v>
      </c>
      <c r="J10" s="372">
        <v>0</v>
      </c>
      <c r="K10" s="375">
        <v>2</v>
      </c>
    </row>
    <row r="11" spans="1:11" ht="14.4" customHeight="1" thickBot="1" x14ac:dyDescent="0.35">
      <c r="A11" s="392" t="s">
        <v>255</v>
      </c>
      <c r="B11" s="376">
        <v>0.28936002612299999</v>
      </c>
      <c r="C11" s="376">
        <v>0.16800000000000001</v>
      </c>
      <c r="D11" s="377">
        <v>-0.12136002612299999</v>
      </c>
      <c r="E11" s="378">
        <v>0.58059159812299999</v>
      </c>
      <c r="F11" s="376">
        <v>2.6015981587000001E-2</v>
      </c>
      <c r="G11" s="377">
        <v>4.3359969310000001E-3</v>
      </c>
      <c r="H11" s="379">
        <v>0</v>
      </c>
      <c r="I11" s="376">
        <v>0</v>
      </c>
      <c r="J11" s="377">
        <v>-4.3359969310000001E-3</v>
      </c>
      <c r="K11" s="381">
        <v>0</v>
      </c>
    </row>
    <row r="12" spans="1:11" ht="14.4" customHeight="1" thickBot="1" x14ac:dyDescent="0.35">
      <c r="A12" s="393" t="s">
        <v>256</v>
      </c>
      <c r="B12" s="371">
        <v>0.28936002612299999</v>
      </c>
      <c r="C12" s="371">
        <v>0</v>
      </c>
      <c r="D12" s="372">
        <v>-0.28936002612299999</v>
      </c>
      <c r="E12" s="373">
        <v>0</v>
      </c>
      <c r="F12" s="371">
        <v>0</v>
      </c>
      <c r="G12" s="372">
        <v>0</v>
      </c>
      <c r="H12" s="374">
        <v>0</v>
      </c>
      <c r="I12" s="371">
        <v>0</v>
      </c>
      <c r="J12" s="372">
        <v>0</v>
      </c>
      <c r="K12" s="375">
        <v>2</v>
      </c>
    </row>
    <row r="13" spans="1:11" ht="14.4" customHeight="1" thickBot="1" x14ac:dyDescent="0.35">
      <c r="A13" s="393" t="s">
        <v>257</v>
      </c>
      <c r="B13" s="371">
        <v>0</v>
      </c>
      <c r="C13" s="371">
        <v>2.5999999999999999E-2</v>
      </c>
      <c r="D13" s="372">
        <v>2.5999999999999999E-2</v>
      </c>
      <c r="E13" s="382" t="s">
        <v>248</v>
      </c>
      <c r="F13" s="371">
        <v>2.6015981587000001E-2</v>
      </c>
      <c r="G13" s="372">
        <v>4.3359969310000001E-3</v>
      </c>
      <c r="H13" s="374">
        <v>0</v>
      </c>
      <c r="I13" s="371">
        <v>0</v>
      </c>
      <c r="J13" s="372">
        <v>-4.3359969310000001E-3</v>
      </c>
      <c r="K13" s="375">
        <v>0</v>
      </c>
    </row>
    <row r="14" spans="1:11" ht="14.4" customHeight="1" thickBot="1" x14ac:dyDescent="0.35">
      <c r="A14" s="393" t="s">
        <v>258</v>
      </c>
      <c r="B14" s="371">
        <v>0</v>
      </c>
      <c r="C14" s="371">
        <v>0.14199999999999999</v>
      </c>
      <c r="D14" s="372">
        <v>0.14199999999999999</v>
      </c>
      <c r="E14" s="382" t="s">
        <v>259</v>
      </c>
      <c r="F14" s="371">
        <v>0</v>
      </c>
      <c r="G14" s="372">
        <v>0</v>
      </c>
      <c r="H14" s="374">
        <v>0</v>
      </c>
      <c r="I14" s="371">
        <v>0</v>
      </c>
      <c r="J14" s="372">
        <v>0</v>
      </c>
      <c r="K14" s="383" t="s">
        <v>248</v>
      </c>
    </row>
    <row r="15" spans="1:11" ht="14.4" customHeight="1" thickBot="1" x14ac:dyDescent="0.35">
      <c r="A15" s="392" t="s">
        <v>260</v>
      </c>
      <c r="B15" s="376">
        <v>9.8668176663189993</v>
      </c>
      <c r="C15" s="376">
        <v>9.5951699999999995</v>
      </c>
      <c r="D15" s="377">
        <v>-0.271647666319</v>
      </c>
      <c r="E15" s="378">
        <v>0.97246856326800002</v>
      </c>
      <c r="F15" s="376">
        <v>11.13397429518</v>
      </c>
      <c r="G15" s="377">
        <v>1.85566238253</v>
      </c>
      <c r="H15" s="379">
        <v>1.82284</v>
      </c>
      <c r="I15" s="376">
        <v>2.0472800000000002</v>
      </c>
      <c r="J15" s="377">
        <v>0.191617617469</v>
      </c>
      <c r="K15" s="381">
        <v>0.18387683909800001</v>
      </c>
    </row>
    <row r="16" spans="1:11" ht="14.4" customHeight="1" thickBot="1" x14ac:dyDescent="0.35">
      <c r="A16" s="393" t="s">
        <v>261</v>
      </c>
      <c r="B16" s="371">
        <v>1.208739430944</v>
      </c>
      <c r="C16" s="371">
        <v>0</v>
      </c>
      <c r="D16" s="372">
        <v>-1.208739430944</v>
      </c>
      <c r="E16" s="373">
        <v>0</v>
      </c>
      <c r="F16" s="371">
        <v>0</v>
      </c>
      <c r="G16" s="372">
        <v>0</v>
      </c>
      <c r="H16" s="374">
        <v>0</v>
      </c>
      <c r="I16" s="371">
        <v>0</v>
      </c>
      <c r="J16" s="372">
        <v>0</v>
      </c>
      <c r="K16" s="375">
        <v>2</v>
      </c>
    </row>
    <row r="17" spans="1:11" ht="14.4" customHeight="1" thickBot="1" x14ac:dyDescent="0.35">
      <c r="A17" s="393" t="s">
        <v>262</v>
      </c>
      <c r="B17" s="371">
        <v>0</v>
      </c>
      <c r="C17" s="371">
        <v>0</v>
      </c>
      <c r="D17" s="372">
        <v>0</v>
      </c>
      <c r="E17" s="373">
        <v>1</v>
      </c>
      <c r="F17" s="371">
        <v>0</v>
      </c>
      <c r="G17" s="372">
        <v>0</v>
      </c>
      <c r="H17" s="374">
        <v>5.0819999999999997E-2</v>
      </c>
      <c r="I17" s="371">
        <v>5.0819999999999997E-2</v>
      </c>
      <c r="J17" s="372">
        <v>5.0819999999999997E-2</v>
      </c>
      <c r="K17" s="383" t="s">
        <v>259</v>
      </c>
    </row>
    <row r="18" spans="1:11" ht="14.4" customHeight="1" thickBot="1" x14ac:dyDescent="0.35">
      <c r="A18" s="393" t="s">
        <v>263</v>
      </c>
      <c r="B18" s="371">
        <v>1.2532184636679999</v>
      </c>
      <c r="C18" s="371">
        <v>1.6807799999999999</v>
      </c>
      <c r="D18" s="372">
        <v>0.42756153633100002</v>
      </c>
      <c r="E18" s="373">
        <v>1.3411707924239999</v>
      </c>
      <c r="F18" s="371">
        <v>1.6191333473759999</v>
      </c>
      <c r="G18" s="372">
        <v>0.26985555789600002</v>
      </c>
      <c r="H18" s="374">
        <v>0.89690000000000003</v>
      </c>
      <c r="I18" s="371">
        <v>0.89690000000000003</v>
      </c>
      <c r="J18" s="372">
        <v>0.62704444210300003</v>
      </c>
      <c r="K18" s="375">
        <v>0.55393831610800004</v>
      </c>
    </row>
    <row r="19" spans="1:11" ht="14.4" customHeight="1" thickBot="1" x14ac:dyDescent="0.35">
      <c r="A19" s="393" t="s">
        <v>264</v>
      </c>
      <c r="B19" s="371">
        <v>3.3807641541120002</v>
      </c>
      <c r="C19" s="371">
        <v>4.1232199999999999</v>
      </c>
      <c r="D19" s="372">
        <v>0.74245584588699998</v>
      </c>
      <c r="E19" s="373">
        <v>1.2196118427789999</v>
      </c>
      <c r="F19" s="371">
        <v>5</v>
      </c>
      <c r="G19" s="372">
        <v>0.83333333333299997</v>
      </c>
      <c r="H19" s="374">
        <v>0.58426</v>
      </c>
      <c r="I19" s="371">
        <v>0.78169999999999995</v>
      </c>
      <c r="J19" s="372">
        <v>-5.1633333332999999E-2</v>
      </c>
      <c r="K19" s="375">
        <v>0.15634000000000001</v>
      </c>
    </row>
    <row r="20" spans="1:11" ht="14.4" customHeight="1" thickBot="1" x14ac:dyDescent="0.35">
      <c r="A20" s="393" t="s">
        <v>265</v>
      </c>
      <c r="B20" s="371">
        <v>2.6932863846699999</v>
      </c>
      <c r="C20" s="371">
        <v>1.6990000000000001</v>
      </c>
      <c r="D20" s="372">
        <v>-0.99428638466999997</v>
      </c>
      <c r="E20" s="373">
        <v>0.63082782791600001</v>
      </c>
      <c r="F20" s="371">
        <v>1.8359810398809999</v>
      </c>
      <c r="G20" s="372">
        <v>0.30599683997999999</v>
      </c>
      <c r="H20" s="374">
        <v>0</v>
      </c>
      <c r="I20" s="371">
        <v>0</v>
      </c>
      <c r="J20" s="372">
        <v>-0.30599683997999999</v>
      </c>
      <c r="K20" s="375">
        <v>0</v>
      </c>
    </row>
    <row r="21" spans="1:11" ht="14.4" customHeight="1" thickBot="1" x14ac:dyDescent="0.35">
      <c r="A21" s="393" t="s">
        <v>266</v>
      </c>
      <c r="B21" s="371">
        <v>1.284028234082</v>
      </c>
      <c r="C21" s="371">
        <v>1.2801800000000001</v>
      </c>
      <c r="D21" s="372">
        <v>-3.848234082E-3</v>
      </c>
      <c r="E21" s="373">
        <v>0.99700299885900001</v>
      </c>
      <c r="F21" s="371">
        <v>1.3090744554680001</v>
      </c>
      <c r="G21" s="372">
        <v>0.218179075911</v>
      </c>
      <c r="H21" s="374">
        <v>0</v>
      </c>
      <c r="I21" s="371">
        <v>0</v>
      </c>
      <c r="J21" s="372">
        <v>-0.218179075911</v>
      </c>
      <c r="K21" s="375">
        <v>0</v>
      </c>
    </row>
    <row r="22" spans="1:11" ht="14.4" customHeight="1" thickBot="1" x14ac:dyDescent="0.35">
      <c r="A22" s="393" t="s">
        <v>267</v>
      </c>
      <c r="B22" s="371">
        <v>4.6780998841000003E-2</v>
      </c>
      <c r="C22" s="371">
        <v>0.81198999999999999</v>
      </c>
      <c r="D22" s="372">
        <v>0.76520900115799995</v>
      </c>
      <c r="E22" s="373">
        <v>17.357260856263</v>
      </c>
      <c r="F22" s="371">
        <v>1.3697854524540001</v>
      </c>
      <c r="G22" s="372">
        <v>0.228297575409</v>
      </c>
      <c r="H22" s="374">
        <v>0.29086000000000001</v>
      </c>
      <c r="I22" s="371">
        <v>0.31785999999999998</v>
      </c>
      <c r="J22" s="372">
        <v>8.9562424589999995E-2</v>
      </c>
      <c r="K22" s="375">
        <v>0.23205093865599999</v>
      </c>
    </row>
    <row r="23" spans="1:11" ht="14.4" customHeight="1" thickBot="1" x14ac:dyDescent="0.35">
      <c r="A23" s="392" t="s">
        <v>268</v>
      </c>
      <c r="B23" s="376">
        <v>0.12100288709699999</v>
      </c>
      <c r="C23" s="376">
        <v>0</v>
      </c>
      <c r="D23" s="377">
        <v>-0.12100288709699999</v>
      </c>
      <c r="E23" s="378">
        <v>0</v>
      </c>
      <c r="F23" s="376">
        <v>0</v>
      </c>
      <c r="G23" s="377">
        <v>0</v>
      </c>
      <c r="H23" s="379">
        <v>0</v>
      </c>
      <c r="I23" s="376">
        <v>0</v>
      </c>
      <c r="J23" s="377">
        <v>0</v>
      </c>
      <c r="K23" s="381">
        <v>2</v>
      </c>
    </row>
    <row r="24" spans="1:11" ht="14.4" customHeight="1" thickBot="1" x14ac:dyDescent="0.35">
      <c r="A24" s="393" t="s">
        <v>269</v>
      </c>
      <c r="B24" s="371">
        <v>0.12100288709699999</v>
      </c>
      <c r="C24" s="371">
        <v>0</v>
      </c>
      <c r="D24" s="372">
        <v>-0.12100288709699999</v>
      </c>
      <c r="E24" s="373">
        <v>0</v>
      </c>
      <c r="F24" s="371">
        <v>0</v>
      </c>
      <c r="G24" s="372">
        <v>0</v>
      </c>
      <c r="H24" s="374">
        <v>0</v>
      </c>
      <c r="I24" s="371">
        <v>0</v>
      </c>
      <c r="J24" s="372">
        <v>0</v>
      </c>
      <c r="K24" s="375">
        <v>2</v>
      </c>
    </row>
    <row r="25" spans="1:11" ht="14.4" customHeight="1" thickBot="1" x14ac:dyDescent="0.35">
      <c r="A25" s="392" t="s">
        <v>270</v>
      </c>
      <c r="B25" s="376">
        <v>0</v>
      </c>
      <c r="C25" s="376">
        <v>0.74414999999999998</v>
      </c>
      <c r="D25" s="377">
        <v>0.74414999999999998</v>
      </c>
      <c r="E25" s="384" t="s">
        <v>248</v>
      </c>
      <c r="F25" s="376">
        <v>2</v>
      </c>
      <c r="G25" s="377">
        <v>0.33333333333300003</v>
      </c>
      <c r="H25" s="379">
        <v>0</v>
      </c>
      <c r="I25" s="376">
        <v>0.29766999999999999</v>
      </c>
      <c r="J25" s="377">
        <v>-3.5663333333000001E-2</v>
      </c>
      <c r="K25" s="381">
        <v>0.148835</v>
      </c>
    </row>
    <row r="26" spans="1:11" ht="14.4" customHeight="1" thickBot="1" x14ac:dyDescent="0.35">
      <c r="A26" s="393" t="s">
        <v>271</v>
      </c>
      <c r="B26" s="371">
        <v>0</v>
      </c>
      <c r="C26" s="371">
        <v>0</v>
      </c>
      <c r="D26" s="372">
        <v>0</v>
      </c>
      <c r="E26" s="373">
        <v>1</v>
      </c>
      <c r="F26" s="371">
        <v>1</v>
      </c>
      <c r="G26" s="372">
        <v>0.166666666666</v>
      </c>
      <c r="H26" s="374">
        <v>0</v>
      </c>
      <c r="I26" s="371">
        <v>0</v>
      </c>
      <c r="J26" s="372">
        <v>-0.166666666666</v>
      </c>
      <c r="K26" s="375">
        <v>0</v>
      </c>
    </row>
    <row r="27" spans="1:11" ht="14.4" customHeight="1" thickBot="1" x14ac:dyDescent="0.35">
      <c r="A27" s="393" t="s">
        <v>272</v>
      </c>
      <c r="B27" s="371">
        <v>0</v>
      </c>
      <c r="C27" s="371">
        <v>0.74414999999999998</v>
      </c>
      <c r="D27" s="372">
        <v>0.74414999999999998</v>
      </c>
      <c r="E27" s="382" t="s">
        <v>248</v>
      </c>
      <c r="F27" s="371">
        <v>1</v>
      </c>
      <c r="G27" s="372">
        <v>0.166666666666</v>
      </c>
      <c r="H27" s="374">
        <v>0</v>
      </c>
      <c r="I27" s="371">
        <v>0.29766999999999999</v>
      </c>
      <c r="J27" s="372">
        <v>0.13100333333299999</v>
      </c>
      <c r="K27" s="375">
        <v>0.29766999999900001</v>
      </c>
    </row>
    <row r="28" spans="1:11" ht="14.4" customHeight="1" thickBot="1" x14ac:dyDescent="0.35">
      <c r="A28" s="391" t="s">
        <v>19</v>
      </c>
      <c r="B28" s="371">
        <v>142.16953438377399</v>
      </c>
      <c r="C28" s="371">
        <v>144.48400000000001</v>
      </c>
      <c r="D28" s="372">
        <v>2.3144656162250001</v>
      </c>
      <c r="E28" s="373">
        <v>1.016279617333</v>
      </c>
      <c r="F28" s="371">
        <v>149.503906610581</v>
      </c>
      <c r="G28" s="372">
        <v>24.917317768429999</v>
      </c>
      <c r="H28" s="374">
        <v>14.398999999999999</v>
      </c>
      <c r="I28" s="371">
        <v>32.837000000000003</v>
      </c>
      <c r="J28" s="372">
        <v>7.9196822315690003</v>
      </c>
      <c r="K28" s="375">
        <v>0.21963974550500001</v>
      </c>
    </row>
    <row r="29" spans="1:11" ht="14.4" customHeight="1" thickBot="1" x14ac:dyDescent="0.35">
      <c r="A29" s="392" t="s">
        <v>273</v>
      </c>
      <c r="B29" s="376">
        <v>142.16953438377399</v>
      </c>
      <c r="C29" s="376">
        <v>144.48400000000001</v>
      </c>
      <c r="D29" s="377">
        <v>2.3144656162250001</v>
      </c>
      <c r="E29" s="378">
        <v>1.016279617333</v>
      </c>
      <c r="F29" s="376">
        <v>149.503906610581</v>
      </c>
      <c r="G29" s="377">
        <v>24.917317768429999</v>
      </c>
      <c r="H29" s="379">
        <v>14.398999999999999</v>
      </c>
      <c r="I29" s="376">
        <v>32.837000000000003</v>
      </c>
      <c r="J29" s="377">
        <v>7.9196822315690003</v>
      </c>
      <c r="K29" s="381">
        <v>0.21963974550500001</v>
      </c>
    </row>
    <row r="30" spans="1:11" ht="14.4" customHeight="1" thickBot="1" x14ac:dyDescent="0.35">
      <c r="A30" s="393" t="s">
        <v>274</v>
      </c>
      <c r="B30" s="371">
        <v>26.417290932158998</v>
      </c>
      <c r="C30" s="371">
        <v>24.004000000000001</v>
      </c>
      <c r="D30" s="372">
        <v>-2.4132909321590001</v>
      </c>
      <c r="E30" s="373">
        <v>0.908647297016</v>
      </c>
      <c r="F30" s="371">
        <v>24.999999999999002</v>
      </c>
      <c r="G30" s="372">
        <v>4.1666666666659999</v>
      </c>
      <c r="H30" s="374">
        <v>1.982</v>
      </c>
      <c r="I30" s="371">
        <v>4.0940000000000003</v>
      </c>
      <c r="J30" s="372">
        <v>-7.2666666665999996E-2</v>
      </c>
      <c r="K30" s="375">
        <v>0.16375999999999999</v>
      </c>
    </row>
    <row r="31" spans="1:11" ht="14.4" customHeight="1" thickBot="1" x14ac:dyDescent="0.35">
      <c r="A31" s="393" t="s">
        <v>275</v>
      </c>
      <c r="B31" s="371">
        <v>51.881250560989997</v>
      </c>
      <c r="C31" s="371">
        <v>54.173999999999999</v>
      </c>
      <c r="D31" s="372">
        <v>2.292749439009</v>
      </c>
      <c r="E31" s="373">
        <v>1.0441922547010001</v>
      </c>
      <c r="F31" s="371">
        <v>58.503906610580998</v>
      </c>
      <c r="G31" s="372">
        <v>9.7506511017629993</v>
      </c>
      <c r="H31" s="374">
        <v>4.46</v>
      </c>
      <c r="I31" s="371">
        <v>10.202</v>
      </c>
      <c r="J31" s="372">
        <v>0.451348898236</v>
      </c>
      <c r="K31" s="375">
        <v>0.174381517253</v>
      </c>
    </row>
    <row r="32" spans="1:11" ht="14.4" customHeight="1" thickBot="1" x14ac:dyDescent="0.35">
      <c r="A32" s="393" t="s">
        <v>276</v>
      </c>
      <c r="B32" s="371">
        <v>63.870992890624002</v>
      </c>
      <c r="C32" s="371">
        <v>66.305999999999997</v>
      </c>
      <c r="D32" s="372">
        <v>2.435007109376</v>
      </c>
      <c r="E32" s="373">
        <v>1.0381238336709999</v>
      </c>
      <c r="F32" s="371">
        <v>65.999999999999005</v>
      </c>
      <c r="G32" s="372">
        <v>11</v>
      </c>
      <c r="H32" s="374">
        <v>7.9569999999999999</v>
      </c>
      <c r="I32" s="371">
        <v>18.541</v>
      </c>
      <c r="J32" s="372">
        <v>7.5410000000000004</v>
      </c>
      <c r="K32" s="375">
        <v>0.28092424242399999</v>
      </c>
    </row>
    <row r="33" spans="1:11" ht="14.4" customHeight="1" thickBot="1" x14ac:dyDescent="0.35">
      <c r="A33" s="394" t="s">
        <v>277</v>
      </c>
      <c r="B33" s="376">
        <v>31.631453951876999</v>
      </c>
      <c r="C33" s="376">
        <v>37.853439999999999</v>
      </c>
      <c r="D33" s="377">
        <v>6.221986048122</v>
      </c>
      <c r="E33" s="378">
        <v>1.1967024992769999</v>
      </c>
      <c r="F33" s="376">
        <v>29.235015927788002</v>
      </c>
      <c r="G33" s="377">
        <v>4.872502654631</v>
      </c>
      <c r="H33" s="379">
        <v>1.8453200000000001</v>
      </c>
      <c r="I33" s="376">
        <v>5.1517299999999997</v>
      </c>
      <c r="J33" s="377">
        <v>0.27922734536799998</v>
      </c>
      <c r="K33" s="381">
        <v>0.17621779350899999</v>
      </c>
    </row>
    <row r="34" spans="1:11" ht="14.4" customHeight="1" thickBot="1" x14ac:dyDescent="0.35">
      <c r="A34" s="391" t="s">
        <v>22</v>
      </c>
      <c r="B34" s="371">
        <v>3.5590760194079998</v>
      </c>
      <c r="C34" s="371">
        <v>3.7953399999999999</v>
      </c>
      <c r="D34" s="372">
        <v>0.23626398059100001</v>
      </c>
      <c r="E34" s="373">
        <v>1.0663835161990001</v>
      </c>
      <c r="F34" s="371">
        <v>2.124120602439</v>
      </c>
      <c r="G34" s="372">
        <v>0.35402010040600002</v>
      </c>
      <c r="H34" s="374">
        <v>0</v>
      </c>
      <c r="I34" s="371">
        <v>0</v>
      </c>
      <c r="J34" s="372">
        <v>-0.35402010040600002</v>
      </c>
      <c r="K34" s="375">
        <v>0</v>
      </c>
    </row>
    <row r="35" spans="1:11" ht="14.4" customHeight="1" thickBot="1" x14ac:dyDescent="0.35">
      <c r="A35" s="395" t="s">
        <v>278</v>
      </c>
      <c r="B35" s="371">
        <v>3.5590760194079998</v>
      </c>
      <c r="C35" s="371">
        <v>3.7953399999999999</v>
      </c>
      <c r="D35" s="372">
        <v>0.23626398059100001</v>
      </c>
      <c r="E35" s="373">
        <v>1.0663835161990001</v>
      </c>
      <c r="F35" s="371">
        <v>2.124120602439</v>
      </c>
      <c r="G35" s="372">
        <v>0.35402010040600002</v>
      </c>
      <c r="H35" s="374">
        <v>0</v>
      </c>
      <c r="I35" s="371">
        <v>0</v>
      </c>
      <c r="J35" s="372">
        <v>-0.35402010040600002</v>
      </c>
      <c r="K35" s="375">
        <v>0</v>
      </c>
    </row>
    <row r="36" spans="1:11" ht="14.4" customHeight="1" thickBot="1" x14ac:dyDescent="0.35">
      <c r="A36" s="393" t="s">
        <v>279</v>
      </c>
      <c r="B36" s="371">
        <v>0</v>
      </c>
      <c r="C36" s="371">
        <v>0.27366000000000001</v>
      </c>
      <c r="D36" s="372">
        <v>0.27366000000000001</v>
      </c>
      <c r="E36" s="382" t="s">
        <v>248</v>
      </c>
      <c r="F36" s="371">
        <v>0.124120602439</v>
      </c>
      <c r="G36" s="372">
        <v>2.0686767073E-2</v>
      </c>
      <c r="H36" s="374">
        <v>0</v>
      </c>
      <c r="I36" s="371">
        <v>0</v>
      </c>
      <c r="J36" s="372">
        <v>-2.0686767073E-2</v>
      </c>
      <c r="K36" s="375">
        <v>0</v>
      </c>
    </row>
    <row r="37" spans="1:11" ht="14.4" customHeight="1" thickBot="1" x14ac:dyDescent="0.35">
      <c r="A37" s="393" t="s">
        <v>280</v>
      </c>
      <c r="B37" s="371">
        <v>2.2508507564700002</v>
      </c>
      <c r="C37" s="371">
        <v>0</v>
      </c>
      <c r="D37" s="372">
        <v>-2.2508507564700002</v>
      </c>
      <c r="E37" s="373">
        <v>0</v>
      </c>
      <c r="F37" s="371">
        <v>0</v>
      </c>
      <c r="G37" s="372">
        <v>0</v>
      </c>
      <c r="H37" s="374">
        <v>0</v>
      </c>
      <c r="I37" s="371">
        <v>0</v>
      </c>
      <c r="J37" s="372">
        <v>0</v>
      </c>
      <c r="K37" s="375">
        <v>2</v>
      </c>
    </row>
    <row r="38" spans="1:11" ht="14.4" customHeight="1" thickBot="1" x14ac:dyDescent="0.35">
      <c r="A38" s="393" t="s">
        <v>281</v>
      </c>
      <c r="B38" s="371">
        <v>1.308225262938</v>
      </c>
      <c r="C38" s="371">
        <v>3.5216799999999999</v>
      </c>
      <c r="D38" s="372">
        <v>2.2134547370609998</v>
      </c>
      <c r="E38" s="373">
        <v>2.6919522958069999</v>
      </c>
      <c r="F38" s="371">
        <v>1.9999999999989999</v>
      </c>
      <c r="G38" s="372">
        <v>0.33333333333300003</v>
      </c>
      <c r="H38" s="374">
        <v>0</v>
      </c>
      <c r="I38" s="371">
        <v>0</v>
      </c>
      <c r="J38" s="372">
        <v>-0.33333333333300003</v>
      </c>
      <c r="K38" s="375">
        <v>0</v>
      </c>
    </row>
    <row r="39" spans="1:11" ht="14.4" customHeight="1" thickBot="1" x14ac:dyDescent="0.35">
      <c r="A39" s="396" t="s">
        <v>23</v>
      </c>
      <c r="B39" s="376">
        <v>0</v>
      </c>
      <c r="C39" s="376">
        <v>2.8980000000000001</v>
      </c>
      <c r="D39" s="377">
        <v>2.8980000000000001</v>
      </c>
      <c r="E39" s="384" t="s">
        <v>248</v>
      </c>
      <c r="F39" s="376">
        <v>0</v>
      </c>
      <c r="G39" s="377">
        <v>0</v>
      </c>
      <c r="H39" s="379">
        <v>0</v>
      </c>
      <c r="I39" s="376">
        <v>0.52</v>
      </c>
      <c r="J39" s="377">
        <v>0.52</v>
      </c>
      <c r="K39" s="380" t="s">
        <v>248</v>
      </c>
    </row>
    <row r="40" spans="1:11" ht="14.4" customHeight="1" thickBot="1" x14ac:dyDescent="0.35">
      <c r="A40" s="392" t="s">
        <v>282</v>
      </c>
      <c r="B40" s="376">
        <v>0</v>
      </c>
      <c r="C40" s="376">
        <v>2.8980000000000001</v>
      </c>
      <c r="D40" s="377">
        <v>2.8980000000000001</v>
      </c>
      <c r="E40" s="384" t="s">
        <v>248</v>
      </c>
      <c r="F40" s="376">
        <v>0</v>
      </c>
      <c r="G40" s="377">
        <v>0</v>
      </c>
      <c r="H40" s="379">
        <v>0</v>
      </c>
      <c r="I40" s="376">
        <v>0.52</v>
      </c>
      <c r="J40" s="377">
        <v>0.52</v>
      </c>
      <c r="K40" s="380" t="s">
        <v>248</v>
      </c>
    </row>
    <row r="41" spans="1:11" ht="14.4" customHeight="1" thickBot="1" x14ac:dyDescent="0.35">
      <c r="A41" s="393" t="s">
        <v>283</v>
      </c>
      <c r="B41" s="371">
        <v>0</v>
      </c>
      <c r="C41" s="371">
        <v>2.8980000000000001</v>
      </c>
      <c r="D41" s="372">
        <v>2.8980000000000001</v>
      </c>
      <c r="E41" s="382" t="s">
        <v>248</v>
      </c>
      <c r="F41" s="371">
        <v>0</v>
      </c>
      <c r="G41" s="372">
        <v>0</v>
      </c>
      <c r="H41" s="374">
        <v>0</v>
      </c>
      <c r="I41" s="371">
        <v>0.52</v>
      </c>
      <c r="J41" s="372">
        <v>0.52</v>
      </c>
      <c r="K41" s="383" t="s">
        <v>248</v>
      </c>
    </row>
    <row r="42" spans="1:11" ht="14.4" customHeight="1" thickBot="1" x14ac:dyDescent="0.35">
      <c r="A42" s="391" t="s">
        <v>24</v>
      </c>
      <c r="B42" s="371">
        <v>28.072377932468001</v>
      </c>
      <c r="C42" s="371">
        <v>31.1601</v>
      </c>
      <c r="D42" s="372">
        <v>3.0877220675310002</v>
      </c>
      <c r="E42" s="373">
        <v>1.109991468302</v>
      </c>
      <c r="F42" s="371">
        <v>27.110895325348</v>
      </c>
      <c r="G42" s="372">
        <v>4.5184825542239997</v>
      </c>
      <c r="H42" s="374">
        <v>1.8453200000000001</v>
      </c>
      <c r="I42" s="371">
        <v>4.6317300000000001</v>
      </c>
      <c r="J42" s="372">
        <v>0.113247445775</v>
      </c>
      <c r="K42" s="375">
        <v>0.17084385979899999</v>
      </c>
    </row>
    <row r="43" spans="1:11" ht="14.4" customHeight="1" thickBot="1" x14ac:dyDescent="0.35">
      <c r="A43" s="392" t="s">
        <v>284</v>
      </c>
      <c r="B43" s="376">
        <v>0.125354203198</v>
      </c>
      <c r="C43" s="376">
        <v>0</v>
      </c>
      <c r="D43" s="377">
        <v>-0.125354203198</v>
      </c>
      <c r="E43" s="378">
        <v>0</v>
      </c>
      <c r="F43" s="376">
        <v>0</v>
      </c>
      <c r="G43" s="377">
        <v>0</v>
      </c>
      <c r="H43" s="379">
        <v>0</v>
      </c>
      <c r="I43" s="376">
        <v>0</v>
      </c>
      <c r="J43" s="377">
        <v>0</v>
      </c>
      <c r="K43" s="381">
        <v>2</v>
      </c>
    </row>
    <row r="44" spans="1:11" ht="14.4" customHeight="1" thickBot="1" x14ac:dyDescent="0.35">
      <c r="A44" s="393" t="s">
        <v>285</v>
      </c>
      <c r="B44" s="371">
        <v>0.125354203198</v>
      </c>
      <c r="C44" s="371">
        <v>0</v>
      </c>
      <c r="D44" s="372">
        <v>-0.125354203198</v>
      </c>
      <c r="E44" s="373">
        <v>0</v>
      </c>
      <c r="F44" s="371">
        <v>0</v>
      </c>
      <c r="G44" s="372">
        <v>0</v>
      </c>
      <c r="H44" s="374">
        <v>0</v>
      </c>
      <c r="I44" s="371">
        <v>0</v>
      </c>
      <c r="J44" s="372">
        <v>0</v>
      </c>
      <c r="K44" s="375">
        <v>2</v>
      </c>
    </row>
    <row r="45" spans="1:11" ht="14.4" customHeight="1" thickBot="1" x14ac:dyDescent="0.35">
      <c r="A45" s="392" t="s">
        <v>286</v>
      </c>
      <c r="B45" s="376">
        <v>1.338398807645</v>
      </c>
      <c r="C45" s="376">
        <v>4.4841699999999998</v>
      </c>
      <c r="D45" s="377">
        <v>3.1457711923540002</v>
      </c>
      <c r="E45" s="378">
        <v>3.3503989800229999</v>
      </c>
      <c r="F45" s="376">
        <v>5.1108953253480003</v>
      </c>
      <c r="G45" s="377">
        <v>0.85181588755799997</v>
      </c>
      <c r="H45" s="379">
        <v>0.35725000000000001</v>
      </c>
      <c r="I45" s="376">
        <v>0.71059000000000005</v>
      </c>
      <c r="J45" s="377">
        <v>-0.141225887558</v>
      </c>
      <c r="K45" s="381">
        <v>0.13903434814499999</v>
      </c>
    </row>
    <row r="46" spans="1:11" ht="14.4" customHeight="1" thickBot="1" x14ac:dyDescent="0.35">
      <c r="A46" s="393" t="s">
        <v>287</v>
      </c>
      <c r="B46" s="371">
        <v>6.3936850732000006E-2</v>
      </c>
      <c r="C46" s="371">
        <v>8.3599999999999994E-2</v>
      </c>
      <c r="D46" s="372">
        <v>1.9663149267E-2</v>
      </c>
      <c r="E46" s="373">
        <v>1.307540159427</v>
      </c>
      <c r="F46" s="371">
        <v>9.2530361953000004E-2</v>
      </c>
      <c r="G46" s="372">
        <v>1.5421726992E-2</v>
      </c>
      <c r="H46" s="374">
        <v>1.9E-2</v>
      </c>
      <c r="I46" s="371">
        <v>1.9E-2</v>
      </c>
      <c r="J46" s="372">
        <v>3.5782730069999998E-3</v>
      </c>
      <c r="K46" s="375">
        <v>0.205338005805</v>
      </c>
    </row>
    <row r="47" spans="1:11" ht="14.4" customHeight="1" thickBot="1" x14ac:dyDescent="0.35">
      <c r="A47" s="393" t="s">
        <v>288</v>
      </c>
      <c r="B47" s="371">
        <v>1.274461956913</v>
      </c>
      <c r="C47" s="371">
        <v>4.4005700000000001</v>
      </c>
      <c r="D47" s="372">
        <v>3.126108043086</v>
      </c>
      <c r="E47" s="373">
        <v>3.4528845495380001</v>
      </c>
      <c r="F47" s="371">
        <v>5.0183649633940002</v>
      </c>
      <c r="G47" s="372">
        <v>0.83639416056500004</v>
      </c>
      <c r="H47" s="374">
        <v>0.33825</v>
      </c>
      <c r="I47" s="371">
        <v>0.69159000000000004</v>
      </c>
      <c r="J47" s="372">
        <v>-0.14480416056500001</v>
      </c>
      <c r="K47" s="375">
        <v>0.13781181819999999</v>
      </c>
    </row>
    <row r="48" spans="1:11" ht="14.4" customHeight="1" thickBot="1" x14ac:dyDescent="0.35">
      <c r="A48" s="392" t="s">
        <v>289</v>
      </c>
      <c r="B48" s="376">
        <v>3.9999936338570001</v>
      </c>
      <c r="C48" s="376">
        <v>3.78</v>
      </c>
      <c r="D48" s="377">
        <v>-0.21999363385699999</v>
      </c>
      <c r="E48" s="378">
        <v>0.94500150400299998</v>
      </c>
      <c r="F48" s="376">
        <v>4</v>
      </c>
      <c r="G48" s="377">
        <v>0.66666666666600005</v>
      </c>
      <c r="H48" s="379">
        <v>0</v>
      </c>
      <c r="I48" s="376">
        <v>0.94499999999999995</v>
      </c>
      <c r="J48" s="377">
        <v>0.27833333333299998</v>
      </c>
      <c r="K48" s="381">
        <v>0.23624999999999999</v>
      </c>
    </row>
    <row r="49" spans="1:11" ht="14.4" customHeight="1" thickBot="1" x14ac:dyDescent="0.35">
      <c r="A49" s="393" t="s">
        <v>290</v>
      </c>
      <c r="B49" s="371">
        <v>3.9999936338570001</v>
      </c>
      <c r="C49" s="371">
        <v>3.78</v>
      </c>
      <c r="D49" s="372">
        <v>-0.21999363385699999</v>
      </c>
      <c r="E49" s="373">
        <v>0.94500150400299998</v>
      </c>
      <c r="F49" s="371">
        <v>4</v>
      </c>
      <c r="G49" s="372">
        <v>0.66666666666600005</v>
      </c>
      <c r="H49" s="374">
        <v>0</v>
      </c>
      <c r="I49" s="371">
        <v>0.94499999999999995</v>
      </c>
      <c r="J49" s="372">
        <v>0.27833333333299998</v>
      </c>
      <c r="K49" s="375">
        <v>0.23624999999999999</v>
      </c>
    </row>
    <row r="50" spans="1:11" ht="14.4" customHeight="1" thickBot="1" x14ac:dyDescent="0.35">
      <c r="A50" s="392" t="s">
        <v>291</v>
      </c>
      <c r="B50" s="376">
        <v>17.608639245443001</v>
      </c>
      <c r="C50" s="376">
        <v>17.640930000000001</v>
      </c>
      <c r="D50" s="377">
        <v>3.2290754556000001E-2</v>
      </c>
      <c r="E50" s="378">
        <v>1.0018338018120001</v>
      </c>
      <c r="F50" s="376">
        <v>18</v>
      </c>
      <c r="G50" s="377">
        <v>3</v>
      </c>
      <c r="H50" s="379">
        <v>1.48807</v>
      </c>
      <c r="I50" s="376">
        <v>2.97614</v>
      </c>
      <c r="J50" s="377">
        <v>-2.3859999999999999E-2</v>
      </c>
      <c r="K50" s="381">
        <v>0.165341111111</v>
      </c>
    </row>
    <row r="51" spans="1:11" ht="14.4" customHeight="1" thickBot="1" x14ac:dyDescent="0.35">
      <c r="A51" s="393" t="s">
        <v>292</v>
      </c>
      <c r="B51" s="371">
        <v>17.608639245443001</v>
      </c>
      <c r="C51" s="371">
        <v>17.640930000000001</v>
      </c>
      <c r="D51" s="372">
        <v>3.2290754556000001E-2</v>
      </c>
      <c r="E51" s="373">
        <v>1.0018338018120001</v>
      </c>
      <c r="F51" s="371">
        <v>18</v>
      </c>
      <c r="G51" s="372">
        <v>3</v>
      </c>
      <c r="H51" s="374">
        <v>1.48807</v>
      </c>
      <c r="I51" s="371">
        <v>2.97614</v>
      </c>
      <c r="J51" s="372">
        <v>-2.3859999999999999E-2</v>
      </c>
      <c r="K51" s="375">
        <v>0.165341111111</v>
      </c>
    </row>
    <row r="52" spans="1:11" ht="14.4" customHeight="1" thickBot="1" x14ac:dyDescent="0.35">
      <c r="A52" s="392" t="s">
        <v>293</v>
      </c>
      <c r="B52" s="376">
        <v>4.9999920423219999</v>
      </c>
      <c r="C52" s="376">
        <v>5.2549999999999999</v>
      </c>
      <c r="D52" s="377">
        <v>0.25500795767700002</v>
      </c>
      <c r="E52" s="378">
        <v>1.0510016727060001</v>
      </c>
      <c r="F52" s="376">
        <v>0</v>
      </c>
      <c r="G52" s="377">
        <v>0</v>
      </c>
      <c r="H52" s="379">
        <v>0</v>
      </c>
      <c r="I52" s="376">
        <v>0</v>
      </c>
      <c r="J52" s="377">
        <v>0</v>
      </c>
      <c r="K52" s="380" t="s">
        <v>248</v>
      </c>
    </row>
    <row r="53" spans="1:11" ht="14.4" customHeight="1" thickBot="1" x14ac:dyDescent="0.35">
      <c r="A53" s="393" t="s">
        <v>294</v>
      </c>
      <c r="B53" s="371">
        <v>4.9999920423219999</v>
      </c>
      <c r="C53" s="371">
        <v>5.0549999999999997</v>
      </c>
      <c r="D53" s="372">
        <v>5.5007957677000001E-2</v>
      </c>
      <c r="E53" s="373">
        <v>1.0110016090439999</v>
      </c>
      <c r="F53" s="371">
        <v>0</v>
      </c>
      <c r="G53" s="372">
        <v>0</v>
      </c>
      <c r="H53" s="374">
        <v>0</v>
      </c>
      <c r="I53" s="371">
        <v>0</v>
      </c>
      <c r="J53" s="372">
        <v>0</v>
      </c>
      <c r="K53" s="383" t="s">
        <v>248</v>
      </c>
    </row>
    <row r="54" spans="1:11" ht="14.4" customHeight="1" thickBot="1" x14ac:dyDescent="0.35">
      <c r="A54" s="393" t="s">
        <v>295</v>
      </c>
      <c r="B54" s="371">
        <v>0</v>
      </c>
      <c r="C54" s="371">
        <v>0.2</v>
      </c>
      <c r="D54" s="372">
        <v>0.2</v>
      </c>
      <c r="E54" s="382" t="s">
        <v>259</v>
      </c>
      <c r="F54" s="371">
        <v>0</v>
      </c>
      <c r="G54" s="372">
        <v>0</v>
      </c>
      <c r="H54" s="374">
        <v>0</v>
      </c>
      <c r="I54" s="371">
        <v>0</v>
      </c>
      <c r="J54" s="372">
        <v>0</v>
      </c>
      <c r="K54" s="375">
        <v>2</v>
      </c>
    </row>
    <row r="55" spans="1:11" ht="14.4" customHeight="1" thickBot="1" x14ac:dyDescent="0.35">
      <c r="A55" s="390" t="s">
        <v>25</v>
      </c>
      <c r="B55" s="371">
        <v>3259.0002942208698</v>
      </c>
      <c r="C55" s="371">
        <v>3377.3927399999998</v>
      </c>
      <c r="D55" s="372">
        <v>118.392445779133</v>
      </c>
      <c r="E55" s="373">
        <v>1.0363278413899999</v>
      </c>
      <c r="F55" s="371">
        <v>3353</v>
      </c>
      <c r="G55" s="372">
        <v>558.83333333333303</v>
      </c>
      <c r="H55" s="374">
        <v>294.68752999999998</v>
      </c>
      <c r="I55" s="371">
        <v>593.50593000000003</v>
      </c>
      <c r="J55" s="372">
        <v>34.672596666666003</v>
      </c>
      <c r="K55" s="375">
        <v>0.17700743513200001</v>
      </c>
    </row>
    <row r="56" spans="1:11" ht="14.4" customHeight="1" thickBot="1" x14ac:dyDescent="0.35">
      <c r="A56" s="396" t="s">
        <v>296</v>
      </c>
      <c r="B56" s="376">
        <v>2407.0002173027401</v>
      </c>
      <c r="C56" s="376">
        <v>2495.9659999999999</v>
      </c>
      <c r="D56" s="377">
        <v>88.965782697259996</v>
      </c>
      <c r="E56" s="378">
        <v>1.0369612690750001</v>
      </c>
      <c r="F56" s="376">
        <v>2468</v>
      </c>
      <c r="G56" s="377">
        <v>411.333333333334</v>
      </c>
      <c r="H56" s="379">
        <v>216.68199999999999</v>
      </c>
      <c r="I56" s="376">
        <v>436.40300000000002</v>
      </c>
      <c r="J56" s="377">
        <v>25.069666666665999</v>
      </c>
      <c r="K56" s="381">
        <v>0.17682455429400001</v>
      </c>
    </row>
    <row r="57" spans="1:11" ht="14.4" customHeight="1" thickBot="1" x14ac:dyDescent="0.35">
      <c r="A57" s="392" t="s">
        <v>297</v>
      </c>
      <c r="B57" s="376">
        <v>2400.00021667078</v>
      </c>
      <c r="C57" s="376">
        <v>2482.2719999999999</v>
      </c>
      <c r="D57" s="377">
        <v>82.271783329217001</v>
      </c>
      <c r="E57" s="378">
        <v>1.0342799066249999</v>
      </c>
      <c r="F57" s="376">
        <v>2461</v>
      </c>
      <c r="G57" s="377">
        <v>410.16666666666703</v>
      </c>
      <c r="H57" s="379">
        <v>216.68199999999999</v>
      </c>
      <c r="I57" s="376">
        <v>436.40300000000002</v>
      </c>
      <c r="J57" s="377">
        <v>26.236333333333</v>
      </c>
      <c r="K57" s="381">
        <v>0.17732750914199999</v>
      </c>
    </row>
    <row r="58" spans="1:11" ht="14.4" customHeight="1" thickBot="1" x14ac:dyDescent="0.35">
      <c r="A58" s="393" t="s">
        <v>298</v>
      </c>
      <c r="B58" s="371">
        <v>2400.00021667078</v>
      </c>
      <c r="C58" s="371">
        <v>2482.2719999999999</v>
      </c>
      <c r="D58" s="372">
        <v>82.271783329217001</v>
      </c>
      <c r="E58" s="373">
        <v>1.0342799066249999</v>
      </c>
      <c r="F58" s="371">
        <v>2461</v>
      </c>
      <c r="G58" s="372">
        <v>410.16666666666703</v>
      </c>
      <c r="H58" s="374">
        <v>216.68199999999999</v>
      </c>
      <c r="I58" s="371">
        <v>436.40300000000002</v>
      </c>
      <c r="J58" s="372">
        <v>26.236333333333</v>
      </c>
      <c r="K58" s="375">
        <v>0.17732750914199999</v>
      </c>
    </row>
    <row r="59" spans="1:11" ht="14.4" customHeight="1" thickBot="1" x14ac:dyDescent="0.35">
      <c r="A59" s="392" t="s">
        <v>299</v>
      </c>
      <c r="B59" s="376">
        <v>7.0000006319560004</v>
      </c>
      <c r="C59" s="376">
        <v>13.694000000000001</v>
      </c>
      <c r="D59" s="377">
        <v>6.6939993680430003</v>
      </c>
      <c r="E59" s="378">
        <v>1.956285537673</v>
      </c>
      <c r="F59" s="376">
        <v>7</v>
      </c>
      <c r="G59" s="377">
        <v>1.1666666666659999</v>
      </c>
      <c r="H59" s="379">
        <v>0</v>
      </c>
      <c r="I59" s="376">
        <v>0</v>
      </c>
      <c r="J59" s="377">
        <v>-1.1666666666659999</v>
      </c>
      <c r="K59" s="381">
        <v>0</v>
      </c>
    </row>
    <row r="60" spans="1:11" ht="14.4" customHeight="1" thickBot="1" x14ac:dyDescent="0.35">
      <c r="A60" s="393" t="s">
        <v>300</v>
      </c>
      <c r="B60" s="371">
        <v>7.0000006319560004</v>
      </c>
      <c r="C60" s="371">
        <v>13.694000000000001</v>
      </c>
      <c r="D60" s="372">
        <v>6.6939993680430003</v>
      </c>
      <c r="E60" s="373">
        <v>1.956285537673</v>
      </c>
      <c r="F60" s="371">
        <v>7</v>
      </c>
      <c r="G60" s="372">
        <v>1.1666666666659999</v>
      </c>
      <c r="H60" s="374">
        <v>0</v>
      </c>
      <c r="I60" s="371">
        <v>0</v>
      </c>
      <c r="J60" s="372">
        <v>-1.1666666666659999</v>
      </c>
      <c r="K60" s="375">
        <v>0</v>
      </c>
    </row>
    <row r="61" spans="1:11" ht="14.4" customHeight="1" thickBot="1" x14ac:dyDescent="0.35">
      <c r="A61" s="391" t="s">
        <v>301</v>
      </c>
      <c r="B61" s="371">
        <v>816.00007366806699</v>
      </c>
      <c r="C61" s="371">
        <v>843.98272999999995</v>
      </c>
      <c r="D61" s="372">
        <v>27.982656331933001</v>
      </c>
      <c r="E61" s="373">
        <v>1.034292467899</v>
      </c>
      <c r="F61" s="371">
        <v>835.99999999999898</v>
      </c>
      <c r="G61" s="372">
        <v>139.333333333333</v>
      </c>
      <c r="H61" s="374">
        <v>73.67098</v>
      </c>
      <c r="I61" s="371">
        <v>148.37468999999999</v>
      </c>
      <c r="J61" s="372">
        <v>9.0413566666659992</v>
      </c>
      <c r="K61" s="375">
        <v>0.17748168660200001</v>
      </c>
    </row>
    <row r="62" spans="1:11" ht="14.4" customHeight="1" thickBot="1" x14ac:dyDescent="0.35">
      <c r="A62" s="392" t="s">
        <v>302</v>
      </c>
      <c r="B62" s="376">
        <v>216.000019500371</v>
      </c>
      <c r="C62" s="376">
        <v>223.41471999999999</v>
      </c>
      <c r="D62" s="377">
        <v>7.4147004996290002</v>
      </c>
      <c r="E62" s="378">
        <v>1.034327314028</v>
      </c>
      <c r="F62" s="376">
        <v>220.99999999999901</v>
      </c>
      <c r="G62" s="377">
        <v>36.833333333333002</v>
      </c>
      <c r="H62" s="379">
        <v>19.50048</v>
      </c>
      <c r="I62" s="376">
        <v>39.273940000000003</v>
      </c>
      <c r="J62" s="377">
        <v>2.440606666666</v>
      </c>
      <c r="K62" s="381">
        <v>0.177710135746</v>
      </c>
    </row>
    <row r="63" spans="1:11" ht="14.4" customHeight="1" thickBot="1" x14ac:dyDescent="0.35">
      <c r="A63" s="393" t="s">
        <v>303</v>
      </c>
      <c r="B63" s="371">
        <v>216.000019500371</v>
      </c>
      <c r="C63" s="371">
        <v>223.41471999999999</v>
      </c>
      <c r="D63" s="372">
        <v>7.4147004996290002</v>
      </c>
      <c r="E63" s="373">
        <v>1.034327314028</v>
      </c>
      <c r="F63" s="371">
        <v>220.99999999999901</v>
      </c>
      <c r="G63" s="372">
        <v>36.833333333333002</v>
      </c>
      <c r="H63" s="374">
        <v>19.50048</v>
      </c>
      <c r="I63" s="371">
        <v>39.273940000000003</v>
      </c>
      <c r="J63" s="372">
        <v>2.440606666666</v>
      </c>
      <c r="K63" s="375">
        <v>0.177710135746</v>
      </c>
    </row>
    <row r="64" spans="1:11" ht="14.4" customHeight="1" thickBot="1" x14ac:dyDescent="0.35">
      <c r="A64" s="392" t="s">
        <v>304</v>
      </c>
      <c r="B64" s="376">
        <v>600.00005416769602</v>
      </c>
      <c r="C64" s="376">
        <v>620.56800999999996</v>
      </c>
      <c r="D64" s="377">
        <v>20.567955832304001</v>
      </c>
      <c r="E64" s="378">
        <v>1.0342799232919999</v>
      </c>
      <c r="F64" s="376">
        <v>615</v>
      </c>
      <c r="G64" s="377">
        <v>102.5</v>
      </c>
      <c r="H64" s="379">
        <v>54.170499999999997</v>
      </c>
      <c r="I64" s="376">
        <v>109.10075000000001</v>
      </c>
      <c r="J64" s="377">
        <v>6.6007499999999997</v>
      </c>
      <c r="K64" s="381">
        <v>0.17739959349500001</v>
      </c>
    </row>
    <row r="65" spans="1:11" ht="14.4" customHeight="1" thickBot="1" x14ac:dyDescent="0.35">
      <c r="A65" s="393" t="s">
        <v>305</v>
      </c>
      <c r="B65" s="371">
        <v>600.00005416769602</v>
      </c>
      <c r="C65" s="371">
        <v>620.56800999999996</v>
      </c>
      <c r="D65" s="372">
        <v>20.567955832304001</v>
      </c>
      <c r="E65" s="373">
        <v>1.0342799232919999</v>
      </c>
      <c r="F65" s="371">
        <v>615</v>
      </c>
      <c r="G65" s="372">
        <v>102.5</v>
      </c>
      <c r="H65" s="374">
        <v>54.170499999999997</v>
      </c>
      <c r="I65" s="371">
        <v>109.10075000000001</v>
      </c>
      <c r="J65" s="372">
        <v>6.6007499999999997</v>
      </c>
      <c r="K65" s="375">
        <v>0.17739959349500001</v>
      </c>
    </row>
    <row r="66" spans="1:11" ht="14.4" customHeight="1" thickBot="1" x14ac:dyDescent="0.35">
      <c r="A66" s="391" t="s">
        <v>306</v>
      </c>
      <c r="B66" s="371">
        <v>36.000003250060999</v>
      </c>
      <c r="C66" s="371">
        <v>37.444009999999999</v>
      </c>
      <c r="D66" s="372">
        <v>1.444006749938</v>
      </c>
      <c r="E66" s="373">
        <v>1.040111294988</v>
      </c>
      <c r="F66" s="371">
        <v>49</v>
      </c>
      <c r="G66" s="372">
        <v>8.1666666666659999</v>
      </c>
      <c r="H66" s="374">
        <v>4.3345500000000001</v>
      </c>
      <c r="I66" s="371">
        <v>8.7282399999999996</v>
      </c>
      <c r="J66" s="372">
        <v>0.56157333333299997</v>
      </c>
      <c r="K66" s="375">
        <v>0.178127346938</v>
      </c>
    </row>
    <row r="67" spans="1:11" ht="14.4" customHeight="1" thickBot="1" x14ac:dyDescent="0.35">
      <c r="A67" s="392" t="s">
        <v>307</v>
      </c>
      <c r="B67" s="376">
        <v>36.000003250060999</v>
      </c>
      <c r="C67" s="376">
        <v>37.444009999999999</v>
      </c>
      <c r="D67" s="377">
        <v>1.444006749938</v>
      </c>
      <c r="E67" s="378">
        <v>1.040111294988</v>
      </c>
      <c r="F67" s="376">
        <v>49</v>
      </c>
      <c r="G67" s="377">
        <v>8.1666666666659999</v>
      </c>
      <c r="H67" s="379">
        <v>4.3345500000000001</v>
      </c>
      <c r="I67" s="376">
        <v>8.7282399999999996</v>
      </c>
      <c r="J67" s="377">
        <v>0.56157333333299997</v>
      </c>
      <c r="K67" s="381">
        <v>0.178127346938</v>
      </c>
    </row>
    <row r="68" spans="1:11" ht="14.4" customHeight="1" thickBot="1" x14ac:dyDescent="0.35">
      <c r="A68" s="393" t="s">
        <v>308</v>
      </c>
      <c r="B68" s="371">
        <v>36.000003250060999</v>
      </c>
      <c r="C68" s="371">
        <v>37.444009999999999</v>
      </c>
      <c r="D68" s="372">
        <v>1.444006749938</v>
      </c>
      <c r="E68" s="373">
        <v>1.040111294988</v>
      </c>
      <c r="F68" s="371">
        <v>49</v>
      </c>
      <c r="G68" s="372">
        <v>8.1666666666659999</v>
      </c>
      <c r="H68" s="374">
        <v>4.3345500000000001</v>
      </c>
      <c r="I68" s="371">
        <v>8.7282399999999996</v>
      </c>
      <c r="J68" s="372">
        <v>0.56157333333299997</v>
      </c>
      <c r="K68" s="375">
        <v>0.178127346938</v>
      </c>
    </row>
    <row r="69" spans="1:11" ht="14.4" customHeight="1" thickBot="1" x14ac:dyDescent="0.35">
      <c r="A69" s="390" t="s">
        <v>309</v>
      </c>
      <c r="B69" s="371">
        <v>0</v>
      </c>
      <c r="C69" s="371">
        <v>4.5</v>
      </c>
      <c r="D69" s="372">
        <v>4.5</v>
      </c>
      <c r="E69" s="382" t="s">
        <v>248</v>
      </c>
      <c r="F69" s="371">
        <v>0</v>
      </c>
      <c r="G69" s="372">
        <v>0</v>
      </c>
      <c r="H69" s="374">
        <v>0</v>
      </c>
      <c r="I69" s="371">
        <v>1.6</v>
      </c>
      <c r="J69" s="372">
        <v>1.6</v>
      </c>
      <c r="K69" s="383" t="s">
        <v>248</v>
      </c>
    </row>
    <row r="70" spans="1:11" ht="14.4" customHeight="1" thickBot="1" x14ac:dyDescent="0.35">
      <c r="A70" s="391" t="s">
        <v>310</v>
      </c>
      <c r="B70" s="371">
        <v>0</v>
      </c>
      <c r="C70" s="371">
        <v>4.5</v>
      </c>
      <c r="D70" s="372">
        <v>4.5</v>
      </c>
      <c r="E70" s="382" t="s">
        <v>248</v>
      </c>
      <c r="F70" s="371">
        <v>0</v>
      </c>
      <c r="G70" s="372">
        <v>0</v>
      </c>
      <c r="H70" s="374">
        <v>0</v>
      </c>
      <c r="I70" s="371">
        <v>1.6</v>
      </c>
      <c r="J70" s="372">
        <v>1.6</v>
      </c>
      <c r="K70" s="383" t="s">
        <v>248</v>
      </c>
    </row>
    <row r="71" spans="1:11" ht="14.4" customHeight="1" thickBot="1" x14ac:dyDescent="0.35">
      <c r="A71" s="395" t="s">
        <v>311</v>
      </c>
      <c r="B71" s="371">
        <v>0</v>
      </c>
      <c r="C71" s="371">
        <v>4.5</v>
      </c>
      <c r="D71" s="372">
        <v>4.5</v>
      </c>
      <c r="E71" s="382" t="s">
        <v>259</v>
      </c>
      <c r="F71" s="371">
        <v>0</v>
      </c>
      <c r="G71" s="372">
        <v>0</v>
      </c>
      <c r="H71" s="374">
        <v>0</v>
      </c>
      <c r="I71" s="371">
        <v>1.6</v>
      </c>
      <c r="J71" s="372">
        <v>1.6</v>
      </c>
      <c r="K71" s="383" t="s">
        <v>248</v>
      </c>
    </row>
    <row r="72" spans="1:11" ht="14.4" customHeight="1" thickBot="1" x14ac:dyDescent="0.35">
      <c r="A72" s="393" t="s">
        <v>312</v>
      </c>
      <c r="B72" s="371">
        <v>0</v>
      </c>
      <c r="C72" s="371">
        <v>4.5</v>
      </c>
      <c r="D72" s="372">
        <v>4.5</v>
      </c>
      <c r="E72" s="382" t="s">
        <v>259</v>
      </c>
      <c r="F72" s="371">
        <v>0</v>
      </c>
      <c r="G72" s="372">
        <v>0</v>
      </c>
      <c r="H72" s="374">
        <v>0</v>
      </c>
      <c r="I72" s="371">
        <v>1.6</v>
      </c>
      <c r="J72" s="372">
        <v>1.6</v>
      </c>
      <c r="K72" s="383" t="s">
        <v>248</v>
      </c>
    </row>
    <row r="73" spans="1:11" ht="14.4" customHeight="1" thickBot="1" x14ac:dyDescent="0.35">
      <c r="A73" s="390" t="s">
        <v>313</v>
      </c>
      <c r="B73" s="371">
        <v>20.000046185193</v>
      </c>
      <c r="C73" s="371">
        <v>19.87</v>
      </c>
      <c r="D73" s="372">
        <v>-0.13004618519300001</v>
      </c>
      <c r="E73" s="373">
        <v>0.99349770575499996</v>
      </c>
      <c r="F73" s="371">
        <v>21</v>
      </c>
      <c r="G73" s="372">
        <v>3.5</v>
      </c>
      <c r="H73" s="374">
        <v>1.7270000000000001</v>
      </c>
      <c r="I73" s="371">
        <v>3.4540000000000002</v>
      </c>
      <c r="J73" s="372">
        <v>-4.5999999999999999E-2</v>
      </c>
      <c r="K73" s="375">
        <v>0.16447619047600001</v>
      </c>
    </row>
    <row r="74" spans="1:11" ht="14.4" customHeight="1" thickBot="1" x14ac:dyDescent="0.35">
      <c r="A74" s="391" t="s">
        <v>314</v>
      </c>
      <c r="B74" s="371">
        <v>20.000046185193</v>
      </c>
      <c r="C74" s="371">
        <v>19.87</v>
      </c>
      <c r="D74" s="372">
        <v>-0.13004618519300001</v>
      </c>
      <c r="E74" s="373">
        <v>0.99349770575499996</v>
      </c>
      <c r="F74" s="371">
        <v>21</v>
      </c>
      <c r="G74" s="372">
        <v>3.5</v>
      </c>
      <c r="H74" s="374">
        <v>1.7270000000000001</v>
      </c>
      <c r="I74" s="371">
        <v>3.4540000000000002</v>
      </c>
      <c r="J74" s="372">
        <v>-4.5999999999999999E-2</v>
      </c>
      <c r="K74" s="375">
        <v>0.16447619047600001</v>
      </c>
    </row>
    <row r="75" spans="1:11" ht="14.4" customHeight="1" thickBot="1" x14ac:dyDescent="0.35">
      <c r="A75" s="392" t="s">
        <v>315</v>
      </c>
      <c r="B75" s="376">
        <v>20.000046185193</v>
      </c>
      <c r="C75" s="376">
        <v>19.87</v>
      </c>
      <c r="D75" s="377">
        <v>-0.13004618519300001</v>
      </c>
      <c r="E75" s="378">
        <v>0.99349770575499996</v>
      </c>
      <c r="F75" s="376">
        <v>21</v>
      </c>
      <c r="G75" s="377">
        <v>3.5</v>
      </c>
      <c r="H75" s="379">
        <v>1.7270000000000001</v>
      </c>
      <c r="I75" s="376">
        <v>3.4540000000000002</v>
      </c>
      <c r="J75" s="377">
        <v>-4.5999999999999999E-2</v>
      </c>
      <c r="K75" s="381">
        <v>0.16447619047600001</v>
      </c>
    </row>
    <row r="76" spans="1:11" ht="14.4" customHeight="1" thickBot="1" x14ac:dyDescent="0.35">
      <c r="A76" s="393" t="s">
        <v>316</v>
      </c>
      <c r="B76" s="371">
        <v>17.000039257413999</v>
      </c>
      <c r="C76" s="371">
        <v>17.265999999999998</v>
      </c>
      <c r="D76" s="372">
        <v>0.26596074258500002</v>
      </c>
      <c r="E76" s="373">
        <v>1.015644713436</v>
      </c>
      <c r="F76" s="371">
        <v>18</v>
      </c>
      <c r="G76" s="372">
        <v>3</v>
      </c>
      <c r="H76" s="374">
        <v>1.51</v>
      </c>
      <c r="I76" s="371">
        <v>3.02</v>
      </c>
      <c r="J76" s="372">
        <v>1.9999999999000002E-2</v>
      </c>
      <c r="K76" s="375">
        <v>0.16777777777700001</v>
      </c>
    </row>
    <row r="77" spans="1:11" ht="14.4" customHeight="1" thickBot="1" x14ac:dyDescent="0.35">
      <c r="A77" s="393" t="s">
        <v>317</v>
      </c>
      <c r="B77" s="371">
        <v>3.0000069277780002</v>
      </c>
      <c r="C77" s="371">
        <v>2.6040000000000001</v>
      </c>
      <c r="D77" s="372">
        <v>-0.39600692777800001</v>
      </c>
      <c r="E77" s="373">
        <v>0.86799799556699997</v>
      </c>
      <c r="F77" s="371">
        <v>3</v>
      </c>
      <c r="G77" s="372">
        <v>0.5</v>
      </c>
      <c r="H77" s="374">
        <v>0.217</v>
      </c>
      <c r="I77" s="371">
        <v>0.434</v>
      </c>
      <c r="J77" s="372">
        <v>-6.6000000000000003E-2</v>
      </c>
      <c r="K77" s="375">
        <v>0.144666666666</v>
      </c>
    </row>
    <row r="78" spans="1:11" ht="14.4" customHeight="1" thickBot="1" x14ac:dyDescent="0.35">
      <c r="A78" s="389" t="s">
        <v>318</v>
      </c>
      <c r="B78" s="371">
        <v>2339.7759372309401</v>
      </c>
      <c r="C78" s="371">
        <v>2117.8037199999999</v>
      </c>
      <c r="D78" s="372">
        <v>-221.97221723093801</v>
      </c>
      <c r="E78" s="373">
        <v>0.905130994084</v>
      </c>
      <c r="F78" s="371">
        <v>2513.8388968996701</v>
      </c>
      <c r="G78" s="372">
        <v>418.97314948327897</v>
      </c>
      <c r="H78" s="374">
        <v>95.668570000000003</v>
      </c>
      <c r="I78" s="371">
        <v>548.58474000000001</v>
      </c>
      <c r="J78" s="372">
        <v>129.61159051672101</v>
      </c>
      <c r="K78" s="375">
        <v>0.21822589374199999</v>
      </c>
    </row>
    <row r="79" spans="1:11" ht="14.4" customHeight="1" thickBot="1" x14ac:dyDescent="0.35">
      <c r="A79" s="390" t="s">
        <v>319</v>
      </c>
      <c r="B79" s="371">
        <v>2333.9616925863502</v>
      </c>
      <c r="C79" s="371">
        <v>2112.3078700000001</v>
      </c>
      <c r="D79" s="372">
        <v>-221.65382258635</v>
      </c>
      <c r="E79" s="373">
        <v>0.90503107943399996</v>
      </c>
      <c r="F79" s="371">
        <v>2513.8388968996701</v>
      </c>
      <c r="G79" s="372">
        <v>418.97314948327897</v>
      </c>
      <c r="H79" s="374">
        <v>95.668570000000003</v>
      </c>
      <c r="I79" s="371">
        <v>548.58474000000001</v>
      </c>
      <c r="J79" s="372">
        <v>129.61159051672101</v>
      </c>
      <c r="K79" s="375">
        <v>0.21822589374199999</v>
      </c>
    </row>
    <row r="80" spans="1:11" ht="14.4" customHeight="1" thickBot="1" x14ac:dyDescent="0.35">
      <c r="A80" s="391" t="s">
        <v>320</v>
      </c>
      <c r="B80" s="371">
        <v>2333.9616925863502</v>
      </c>
      <c r="C80" s="371">
        <v>2112.3078700000001</v>
      </c>
      <c r="D80" s="372">
        <v>-221.65382258635</v>
      </c>
      <c r="E80" s="373">
        <v>0.90503107943399996</v>
      </c>
      <c r="F80" s="371">
        <v>2513.8388968996701</v>
      </c>
      <c r="G80" s="372">
        <v>418.97314948327897</v>
      </c>
      <c r="H80" s="374">
        <v>95.668570000000003</v>
      </c>
      <c r="I80" s="371">
        <v>548.58474000000001</v>
      </c>
      <c r="J80" s="372">
        <v>129.61159051672101</v>
      </c>
      <c r="K80" s="375">
        <v>0.21822589374199999</v>
      </c>
    </row>
    <row r="81" spans="1:11" ht="14.4" customHeight="1" thickBot="1" x14ac:dyDescent="0.35">
      <c r="A81" s="392" t="s">
        <v>321</v>
      </c>
      <c r="B81" s="376">
        <v>0.96145865957300003</v>
      </c>
      <c r="C81" s="376">
        <v>0.76524000000000003</v>
      </c>
      <c r="D81" s="377">
        <v>-0.196218659573</v>
      </c>
      <c r="E81" s="378">
        <v>0.79591565625899996</v>
      </c>
      <c r="F81" s="376">
        <v>1</v>
      </c>
      <c r="G81" s="377">
        <v>0.166666666666</v>
      </c>
      <c r="H81" s="379">
        <v>0</v>
      </c>
      <c r="I81" s="376">
        <v>0</v>
      </c>
      <c r="J81" s="377">
        <v>-0.166666666666</v>
      </c>
      <c r="K81" s="381">
        <v>0</v>
      </c>
    </row>
    <row r="82" spans="1:11" ht="14.4" customHeight="1" thickBot="1" x14ac:dyDescent="0.35">
      <c r="A82" s="393" t="s">
        <v>322</v>
      </c>
      <c r="B82" s="371">
        <v>0.96145865957300003</v>
      </c>
      <c r="C82" s="371">
        <v>0.76524000000000003</v>
      </c>
      <c r="D82" s="372">
        <v>-0.196218659573</v>
      </c>
      <c r="E82" s="373">
        <v>0.79591565625899996</v>
      </c>
      <c r="F82" s="371">
        <v>1</v>
      </c>
      <c r="G82" s="372">
        <v>0.166666666666</v>
      </c>
      <c r="H82" s="374">
        <v>0</v>
      </c>
      <c r="I82" s="371">
        <v>0</v>
      </c>
      <c r="J82" s="372">
        <v>-0.166666666666</v>
      </c>
      <c r="K82" s="375">
        <v>0</v>
      </c>
    </row>
    <row r="83" spans="1:11" ht="14.4" customHeight="1" thickBot="1" x14ac:dyDescent="0.35">
      <c r="A83" s="392" t="s">
        <v>323</v>
      </c>
      <c r="B83" s="376">
        <v>7.0000007018800003</v>
      </c>
      <c r="C83" s="376">
        <v>9.1344600000000007</v>
      </c>
      <c r="D83" s="377">
        <v>2.1344592981189998</v>
      </c>
      <c r="E83" s="378">
        <v>1.3049227263000001</v>
      </c>
      <c r="F83" s="376">
        <v>11.838896899672999</v>
      </c>
      <c r="G83" s="377">
        <v>1.9731494832780001</v>
      </c>
      <c r="H83" s="379">
        <v>0</v>
      </c>
      <c r="I83" s="376">
        <v>0</v>
      </c>
      <c r="J83" s="377">
        <v>-1.9731494832780001</v>
      </c>
      <c r="K83" s="381">
        <v>0</v>
      </c>
    </row>
    <row r="84" spans="1:11" ht="14.4" customHeight="1" thickBot="1" x14ac:dyDescent="0.35">
      <c r="A84" s="393" t="s">
        <v>324</v>
      </c>
      <c r="B84" s="371">
        <v>7.0000007018800003</v>
      </c>
      <c r="C84" s="371">
        <v>9.1344600000000007</v>
      </c>
      <c r="D84" s="372">
        <v>2.1344592981189998</v>
      </c>
      <c r="E84" s="373">
        <v>1.3049227263000001</v>
      </c>
      <c r="F84" s="371">
        <v>11.838896899672999</v>
      </c>
      <c r="G84" s="372">
        <v>1.9731494832780001</v>
      </c>
      <c r="H84" s="374">
        <v>0</v>
      </c>
      <c r="I84" s="371">
        <v>0</v>
      </c>
      <c r="J84" s="372">
        <v>-1.9731494832780001</v>
      </c>
      <c r="K84" s="375">
        <v>0</v>
      </c>
    </row>
    <row r="85" spans="1:11" ht="14.4" customHeight="1" thickBot="1" x14ac:dyDescent="0.35">
      <c r="A85" s="392" t="s">
        <v>325</v>
      </c>
      <c r="B85" s="376">
        <v>2326.0002332249001</v>
      </c>
      <c r="C85" s="376">
        <v>1945.33905</v>
      </c>
      <c r="D85" s="377">
        <v>-380.661183224897</v>
      </c>
      <c r="E85" s="378">
        <v>0.83634516549500004</v>
      </c>
      <c r="F85" s="376">
        <v>2501</v>
      </c>
      <c r="G85" s="377">
        <v>416.83333333333297</v>
      </c>
      <c r="H85" s="379">
        <v>95.664879999999997</v>
      </c>
      <c r="I85" s="376">
        <v>548.57420000000002</v>
      </c>
      <c r="J85" s="377">
        <v>131.74086666666699</v>
      </c>
      <c r="K85" s="381">
        <v>0.21934194322200001</v>
      </c>
    </row>
    <row r="86" spans="1:11" ht="14.4" customHeight="1" thickBot="1" x14ac:dyDescent="0.35">
      <c r="A86" s="393" t="s">
        <v>326</v>
      </c>
      <c r="B86" s="371">
        <v>1000.00010026866</v>
      </c>
      <c r="C86" s="371">
        <v>777.89266999999995</v>
      </c>
      <c r="D86" s="372">
        <v>-222.107430268657</v>
      </c>
      <c r="E86" s="373">
        <v>0.77789259200100003</v>
      </c>
      <c r="F86" s="371">
        <v>1057</v>
      </c>
      <c r="G86" s="372">
        <v>176.166666666667</v>
      </c>
      <c r="H86" s="374">
        <v>31.197980000000001</v>
      </c>
      <c r="I86" s="371">
        <v>200.7227</v>
      </c>
      <c r="J86" s="372">
        <v>24.556033333333001</v>
      </c>
      <c r="K86" s="375">
        <v>0.18989848628100001</v>
      </c>
    </row>
    <row r="87" spans="1:11" ht="14.4" customHeight="1" thickBot="1" x14ac:dyDescent="0.35">
      <c r="A87" s="393" t="s">
        <v>327</v>
      </c>
      <c r="B87" s="371">
        <v>1326.0001329562399</v>
      </c>
      <c r="C87" s="371">
        <v>1167.4463800000001</v>
      </c>
      <c r="D87" s="372">
        <v>-158.55375295624</v>
      </c>
      <c r="E87" s="373">
        <v>0.88042704595900001</v>
      </c>
      <c r="F87" s="371">
        <v>1444</v>
      </c>
      <c r="G87" s="372">
        <v>240.666666666667</v>
      </c>
      <c r="H87" s="374">
        <v>64.466899999999995</v>
      </c>
      <c r="I87" s="371">
        <v>347.85149999999999</v>
      </c>
      <c r="J87" s="372">
        <v>107.184833333333</v>
      </c>
      <c r="K87" s="375">
        <v>0.24089439058100001</v>
      </c>
    </row>
    <row r="88" spans="1:11" ht="14.4" customHeight="1" thickBot="1" x14ac:dyDescent="0.35">
      <c r="A88" s="392" t="s">
        <v>328</v>
      </c>
      <c r="B88" s="376">
        <v>0</v>
      </c>
      <c r="C88" s="376">
        <v>157.06912</v>
      </c>
      <c r="D88" s="377">
        <v>157.06912</v>
      </c>
      <c r="E88" s="384" t="s">
        <v>248</v>
      </c>
      <c r="F88" s="376">
        <v>0</v>
      </c>
      <c r="G88" s="377">
        <v>0</v>
      </c>
      <c r="H88" s="379">
        <v>3.6900000000000001E-3</v>
      </c>
      <c r="I88" s="376">
        <v>1.0540000000000001E-2</v>
      </c>
      <c r="J88" s="377">
        <v>1.0540000000000001E-2</v>
      </c>
      <c r="K88" s="380" t="s">
        <v>248</v>
      </c>
    </row>
    <row r="89" spans="1:11" ht="14.4" customHeight="1" thickBot="1" x14ac:dyDescent="0.35">
      <c r="A89" s="393" t="s">
        <v>329</v>
      </c>
      <c r="B89" s="371">
        <v>0</v>
      </c>
      <c r="C89" s="371">
        <v>15.700760000000001</v>
      </c>
      <c r="D89" s="372">
        <v>15.700760000000001</v>
      </c>
      <c r="E89" s="382" t="s">
        <v>248</v>
      </c>
      <c r="F89" s="371">
        <v>0</v>
      </c>
      <c r="G89" s="372">
        <v>0</v>
      </c>
      <c r="H89" s="374">
        <v>0</v>
      </c>
      <c r="I89" s="371">
        <v>0</v>
      </c>
      <c r="J89" s="372">
        <v>0</v>
      </c>
      <c r="K89" s="383" t="s">
        <v>248</v>
      </c>
    </row>
    <row r="90" spans="1:11" ht="14.4" customHeight="1" thickBot="1" x14ac:dyDescent="0.35">
      <c r="A90" s="393" t="s">
        <v>330</v>
      </c>
      <c r="B90" s="371">
        <v>0</v>
      </c>
      <c r="C90" s="371">
        <v>141.36836</v>
      </c>
      <c r="D90" s="372">
        <v>141.36836</v>
      </c>
      <c r="E90" s="382" t="s">
        <v>248</v>
      </c>
      <c r="F90" s="371">
        <v>0</v>
      </c>
      <c r="G90" s="372">
        <v>0</v>
      </c>
      <c r="H90" s="374">
        <v>3.6900000000000001E-3</v>
      </c>
      <c r="I90" s="371">
        <v>1.0540000000000001E-2</v>
      </c>
      <c r="J90" s="372">
        <v>1.0540000000000001E-2</v>
      </c>
      <c r="K90" s="383" t="s">
        <v>248</v>
      </c>
    </row>
    <row r="91" spans="1:11" ht="14.4" customHeight="1" thickBot="1" x14ac:dyDescent="0.35">
      <c r="A91" s="390" t="s">
        <v>331</v>
      </c>
      <c r="B91" s="371">
        <v>5.8142446445880003</v>
      </c>
      <c r="C91" s="371">
        <v>5.4958499999999999</v>
      </c>
      <c r="D91" s="372">
        <v>-0.31839464458799999</v>
      </c>
      <c r="E91" s="373">
        <v>0.94523886350599995</v>
      </c>
      <c r="F91" s="371">
        <v>0</v>
      </c>
      <c r="G91" s="372">
        <v>0</v>
      </c>
      <c r="H91" s="374">
        <v>0</v>
      </c>
      <c r="I91" s="371">
        <v>0</v>
      </c>
      <c r="J91" s="372">
        <v>0</v>
      </c>
      <c r="K91" s="383" t="s">
        <v>248</v>
      </c>
    </row>
    <row r="92" spans="1:11" ht="14.4" customHeight="1" thickBot="1" x14ac:dyDescent="0.35">
      <c r="A92" s="396" t="s">
        <v>332</v>
      </c>
      <c r="B92" s="376">
        <v>5.8142446445880003</v>
      </c>
      <c r="C92" s="376">
        <v>5.4958499999999999</v>
      </c>
      <c r="D92" s="377">
        <v>-0.31839464458799999</v>
      </c>
      <c r="E92" s="378">
        <v>0.94523886350599995</v>
      </c>
      <c r="F92" s="376">
        <v>0</v>
      </c>
      <c r="G92" s="377">
        <v>0</v>
      </c>
      <c r="H92" s="379">
        <v>0</v>
      </c>
      <c r="I92" s="376">
        <v>0</v>
      </c>
      <c r="J92" s="377">
        <v>0</v>
      </c>
      <c r="K92" s="380" t="s">
        <v>248</v>
      </c>
    </row>
    <row r="93" spans="1:11" ht="14.4" customHeight="1" thickBot="1" x14ac:dyDescent="0.35">
      <c r="A93" s="392" t="s">
        <v>333</v>
      </c>
      <c r="B93" s="376">
        <v>0</v>
      </c>
      <c r="C93" s="376">
        <v>-9.0000000000000006E-5</v>
      </c>
      <c r="D93" s="377">
        <v>-9.0000000000000006E-5</v>
      </c>
      <c r="E93" s="384" t="s">
        <v>248</v>
      </c>
      <c r="F93" s="376">
        <v>0</v>
      </c>
      <c r="G93" s="377">
        <v>0</v>
      </c>
      <c r="H93" s="379">
        <v>0</v>
      </c>
      <c r="I93" s="376">
        <v>0</v>
      </c>
      <c r="J93" s="377">
        <v>0</v>
      </c>
      <c r="K93" s="380" t="s">
        <v>248</v>
      </c>
    </row>
    <row r="94" spans="1:11" ht="14.4" customHeight="1" thickBot="1" x14ac:dyDescent="0.35">
      <c r="A94" s="393" t="s">
        <v>334</v>
      </c>
      <c r="B94" s="371">
        <v>0</v>
      </c>
      <c r="C94" s="371">
        <v>-9.0000000000000006E-5</v>
      </c>
      <c r="D94" s="372">
        <v>-9.0000000000000006E-5</v>
      </c>
      <c r="E94" s="382" t="s">
        <v>248</v>
      </c>
      <c r="F94" s="371">
        <v>0</v>
      </c>
      <c r="G94" s="372">
        <v>0</v>
      </c>
      <c r="H94" s="374">
        <v>0</v>
      </c>
      <c r="I94" s="371">
        <v>0</v>
      </c>
      <c r="J94" s="372">
        <v>0</v>
      </c>
      <c r="K94" s="383" t="s">
        <v>248</v>
      </c>
    </row>
    <row r="95" spans="1:11" ht="14.4" customHeight="1" thickBot="1" x14ac:dyDescent="0.35">
      <c r="A95" s="392" t="s">
        <v>335</v>
      </c>
      <c r="B95" s="376">
        <v>5.8142446445880003</v>
      </c>
      <c r="C95" s="376">
        <v>5.49594</v>
      </c>
      <c r="D95" s="377">
        <v>-0.31830464458800001</v>
      </c>
      <c r="E95" s="378">
        <v>0.94525434273099995</v>
      </c>
      <c r="F95" s="376">
        <v>0</v>
      </c>
      <c r="G95" s="377">
        <v>0</v>
      </c>
      <c r="H95" s="379">
        <v>0</v>
      </c>
      <c r="I95" s="376">
        <v>0</v>
      </c>
      <c r="J95" s="377">
        <v>0</v>
      </c>
      <c r="K95" s="380" t="s">
        <v>248</v>
      </c>
    </row>
    <row r="96" spans="1:11" ht="14.4" customHeight="1" thickBot="1" x14ac:dyDescent="0.35">
      <c r="A96" s="393" t="s">
        <v>336</v>
      </c>
      <c r="B96" s="371">
        <v>5.8142446445880003</v>
      </c>
      <c r="C96" s="371">
        <v>5.49594</v>
      </c>
      <c r="D96" s="372">
        <v>-0.31830464458800001</v>
      </c>
      <c r="E96" s="373">
        <v>0.94525434273099995</v>
      </c>
      <c r="F96" s="371">
        <v>0</v>
      </c>
      <c r="G96" s="372">
        <v>0</v>
      </c>
      <c r="H96" s="374">
        <v>0</v>
      </c>
      <c r="I96" s="371">
        <v>0</v>
      </c>
      <c r="J96" s="372">
        <v>0</v>
      </c>
      <c r="K96" s="383" t="s">
        <v>248</v>
      </c>
    </row>
    <row r="97" spans="1:11" ht="14.4" customHeight="1" thickBot="1" x14ac:dyDescent="0.35">
      <c r="A97" s="389" t="s">
        <v>337</v>
      </c>
      <c r="B97" s="371">
        <v>472.64610348198801</v>
      </c>
      <c r="C97" s="371">
        <v>467.05306999999999</v>
      </c>
      <c r="D97" s="372">
        <v>-5.5930334819879999</v>
      </c>
      <c r="E97" s="373">
        <v>0.98816655116600005</v>
      </c>
      <c r="F97" s="371">
        <v>0</v>
      </c>
      <c r="G97" s="372">
        <v>0</v>
      </c>
      <c r="H97" s="374">
        <v>32.205010000000001</v>
      </c>
      <c r="I97" s="371">
        <v>65.49785</v>
      </c>
      <c r="J97" s="372">
        <v>65.49785</v>
      </c>
      <c r="K97" s="383" t="s">
        <v>259</v>
      </c>
    </row>
    <row r="98" spans="1:11" ht="14.4" customHeight="1" thickBot="1" x14ac:dyDescent="0.35">
      <c r="A98" s="394" t="s">
        <v>338</v>
      </c>
      <c r="B98" s="376">
        <v>472.64610348198801</v>
      </c>
      <c r="C98" s="376">
        <v>467.05306999999999</v>
      </c>
      <c r="D98" s="377">
        <v>-5.5930334819879999</v>
      </c>
      <c r="E98" s="378">
        <v>0.98816655116600005</v>
      </c>
      <c r="F98" s="376">
        <v>0</v>
      </c>
      <c r="G98" s="377">
        <v>0</v>
      </c>
      <c r="H98" s="379">
        <v>32.205010000000001</v>
      </c>
      <c r="I98" s="376">
        <v>65.49785</v>
      </c>
      <c r="J98" s="377">
        <v>65.49785</v>
      </c>
      <c r="K98" s="380" t="s">
        <v>259</v>
      </c>
    </row>
    <row r="99" spans="1:11" ht="14.4" customHeight="1" thickBot="1" x14ac:dyDescent="0.35">
      <c r="A99" s="396" t="s">
        <v>31</v>
      </c>
      <c r="B99" s="376">
        <v>472.64610348198801</v>
      </c>
      <c r="C99" s="376">
        <v>467.05306999999999</v>
      </c>
      <c r="D99" s="377">
        <v>-5.5930334819879999</v>
      </c>
      <c r="E99" s="378">
        <v>0.98816655116600005</v>
      </c>
      <c r="F99" s="376">
        <v>0</v>
      </c>
      <c r="G99" s="377">
        <v>0</v>
      </c>
      <c r="H99" s="379">
        <v>32.205010000000001</v>
      </c>
      <c r="I99" s="376">
        <v>65.49785</v>
      </c>
      <c r="J99" s="377">
        <v>65.49785</v>
      </c>
      <c r="K99" s="380" t="s">
        <v>259</v>
      </c>
    </row>
    <row r="100" spans="1:11" ht="14.4" customHeight="1" thickBot="1" x14ac:dyDescent="0.35">
      <c r="A100" s="392" t="s">
        <v>339</v>
      </c>
      <c r="B100" s="376">
        <v>6.7729266926160001</v>
      </c>
      <c r="C100" s="376">
        <v>6.2640000000000002</v>
      </c>
      <c r="D100" s="377">
        <v>-0.50892669261599999</v>
      </c>
      <c r="E100" s="378">
        <v>0.92485867399499999</v>
      </c>
      <c r="F100" s="376">
        <v>0</v>
      </c>
      <c r="G100" s="377">
        <v>0</v>
      </c>
      <c r="H100" s="379">
        <v>0.60799999999999998</v>
      </c>
      <c r="I100" s="376">
        <v>1.216</v>
      </c>
      <c r="J100" s="377">
        <v>1.216</v>
      </c>
      <c r="K100" s="380" t="s">
        <v>259</v>
      </c>
    </row>
    <row r="101" spans="1:11" ht="14.4" customHeight="1" thickBot="1" x14ac:dyDescent="0.35">
      <c r="A101" s="393" t="s">
        <v>340</v>
      </c>
      <c r="B101" s="371">
        <v>6.7729266926160001</v>
      </c>
      <c r="C101" s="371">
        <v>6.2640000000000002</v>
      </c>
      <c r="D101" s="372">
        <v>-0.50892669261599999</v>
      </c>
      <c r="E101" s="373">
        <v>0.92485867399499999</v>
      </c>
      <c r="F101" s="371">
        <v>0</v>
      </c>
      <c r="G101" s="372">
        <v>0</v>
      </c>
      <c r="H101" s="374">
        <v>0.60799999999999998</v>
      </c>
      <c r="I101" s="371">
        <v>1.216</v>
      </c>
      <c r="J101" s="372">
        <v>1.216</v>
      </c>
      <c r="K101" s="383" t="s">
        <v>259</v>
      </c>
    </row>
    <row r="102" spans="1:11" ht="14.4" customHeight="1" thickBot="1" x14ac:dyDescent="0.35">
      <c r="A102" s="392" t="s">
        <v>341</v>
      </c>
      <c r="B102" s="376">
        <v>0</v>
      </c>
      <c r="C102" s="376">
        <v>0.36749999999999999</v>
      </c>
      <c r="D102" s="377">
        <v>0.36749999999999999</v>
      </c>
      <c r="E102" s="384" t="s">
        <v>259</v>
      </c>
      <c r="F102" s="376">
        <v>0</v>
      </c>
      <c r="G102" s="377">
        <v>0</v>
      </c>
      <c r="H102" s="379">
        <v>0</v>
      </c>
      <c r="I102" s="376">
        <v>0</v>
      </c>
      <c r="J102" s="377">
        <v>0</v>
      </c>
      <c r="K102" s="381">
        <v>2</v>
      </c>
    </row>
    <row r="103" spans="1:11" ht="14.4" customHeight="1" thickBot="1" x14ac:dyDescent="0.35">
      <c r="A103" s="393" t="s">
        <v>342</v>
      </c>
      <c r="B103" s="371">
        <v>0</v>
      </c>
      <c r="C103" s="371">
        <v>0.36749999999999999</v>
      </c>
      <c r="D103" s="372">
        <v>0.36749999999999999</v>
      </c>
      <c r="E103" s="382" t="s">
        <v>259</v>
      </c>
      <c r="F103" s="371">
        <v>0</v>
      </c>
      <c r="G103" s="372">
        <v>0</v>
      </c>
      <c r="H103" s="374">
        <v>0</v>
      </c>
      <c r="I103" s="371">
        <v>0</v>
      </c>
      <c r="J103" s="372">
        <v>0</v>
      </c>
      <c r="K103" s="375">
        <v>2</v>
      </c>
    </row>
    <row r="104" spans="1:11" ht="14.4" customHeight="1" thickBot="1" x14ac:dyDescent="0.35">
      <c r="A104" s="392" t="s">
        <v>343</v>
      </c>
      <c r="B104" s="376">
        <v>1.7545519285610001</v>
      </c>
      <c r="C104" s="376">
        <v>1.7290000000000001</v>
      </c>
      <c r="D104" s="377">
        <v>-2.5551928561000001E-2</v>
      </c>
      <c r="E104" s="378">
        <v>0.98543677838999999</v>
      </c>
      <c r="F104" s="376">
        <v>0</v>
      </c>
      <c r="G104" s="377">
        <v>0</v>
      </c>
      <c r="H104" s="379">
        <v>0.23139999999999999</v>
      </c>
      <c r="I104" s="376">
        <v>0.41139999999999999</v>
      </c>
      <c r="J104" s="377">
        <v>0.41139999999999999</v>
      </c>
      <c r="K104" s="380" t="s">
        <v>259</v>
      </c>
    </row>
    <row r="105" spans="1:11" ht="14.4" customHeight="1" thickBot="1" x14ac:dyDescent="0.35">
      <c r="A105" s="393" t="s">
        <v>344</v>
      </c>
      <c r="B105" s="371">
        <v>1.7545519285610001</v>
      </c>
      <c r="C105" s="371">
        <v>1.7290000000000001</v>
      </c>
      <c r="D105" s="372">
        <v>-2.5551928561000001E-2</v>
      </c>
      <c r="E105" s="373">
        <v>0.98543677838999999</v>
      </c>
      <c r="F105" s="371">
        <v>0</v>
      </c>
      <c r="G105" s="372">
        <v>0</v>
      </c>
      <c r="H105" s="374">
        <v>0.23139999999999999</v>
      </c>
      <c r="I105" s="371">
        <v>0.41139999999999999</v>
      </c>
      <c r="J105" s="372">
        <v>0.41139999999999999</v>
      </c>
      <c r="K105" s="383" t="s">
        <v>259</v>
      </c>
    </row>
    <row r="106" spans="1:11" ht="14.4" customHeight="1" thickBot="1" x14ac:dyDescent="0.35">
      <c r="A106" s="392" t="s">
        <v>345</v>
      </c>
      <c r="B106" s="376">
        <v>117.687631564019</v>
      </c>
      <c r="C106" s="376">
        <v>112.60208</v>
      </c>
      <c r="D106" s="377">
        <v>-5.0855515640190001</v>
      </c>
      <c r="E106" s="378">
        <v>0.95678771425300002</v>
      </c>
      <c r="F106" s="376">
        <v>0</v>
      </c>
      <c r="G106" s="377">
        <v>0</v>
      </c>
      <c r="H106" s="379">
        <v>4.9240500000000003</v>
      </c>
      <c r="I106" s="376">
        <v>10.088139999999999</v>
      </c>
      <c r="J106" s="377">
        <v>10.088139999999999</v>
      </c>
      <c r="K106" s="380" t="s">
        <v>259</v>
      </c>
    </row>
    <row r="107" spans="1:11" ht="14.4" customHeight="1" thickBot="1" x14ac:dyDescent="0.35">
      <c r="A107" s="393" t="s">
        <v>346</v>
      </c>
      <c r="B107" s="371">
        <v>117.687631564019</v>
      </c>
      <c r="C107" s="371">
        <v>112.60208</v>
      </c>
      <c r="D107" s="372">
        <v>-5.0855515640190001</v>
      </c>
      <c r="E107" s="373">
        <v>0.95678771425300002</v>
      </c>
      <c r="F107" s="371">
        <v>0</v>
      </c>
      <c r="G107" s="372">
        <v>0</v>
      </c>
      <c r="H107" s="374">
        <v>4.9240500000000003</v>
      </c>
      <c r="I107" s="371">
        <v>10.088139999999999</v>
      </c>
      <c r="J107" s="372">
        <v>10.088139999999999</v>
      </c>
      <c r="K107" s="383" t="s">
        <v>259</v>
      </c>
    </row>
    <row r="108" spans="1:11" ht="14.4" customHeight="1" thickBot="1" x14ac:dyDescent="0.35">
      <c r="A108" s="392" t="s">
        <v>347</v>
      </c>
      <c r="B108" s="376">
        <v>346.43099329679097</v>
      </c>
      <c r="C108" s="376">
        <v>346.09048999999999</v>
      </c>
      <c r="D108" s="377">
        <v>-0.34050329679000002</v>
      </c>
      <c r="E108" s="378">
        <v>0.99901711075599997</v>
      </c>
      <c r="F108" s="376">
        <v>0</v>
      </c>
      <c r="G108" s="377">
        <v>0</v>
      </c>
      <c r="H108" s="379">
        <v>26.441559999999999</v>
      </c>
      <c r="I108" s="376">
        <v>53.782310000000003</v>
      </c>
      <c r="J108" s="377">
        <v>53.782310000000003</v>
      </c>
      <c r="K108" s="380" t="s">
        <v>259</v>
      </c>
    </row>
    <row r="109" spans="1:11" ht="14.4" customHeight="1" thickBot="1" x14ac:dyDescent="0.35">
      <c r="A109" s="393" t="s">
        <v>348</v>
      </c>
      <c r="B109" s="371">
        <v>346.43099329679097</v>
      </c>
      <c r="C109" s="371">
        <v>346.09048999999999</v>
      </c>
      <c r="D109" s="372">
        <v>-0.34050329679000002</v>
      </c>
      <c r="E109" s="373">
        <v>0.99901711075599997</v>
      </c>
      <c r="F109" s="371">
        <v>0</v>
      </c>
      <c r="G109" s="372">
        <v>0</v>
      </c>
      <c r="H109" s="374">
        <v>26.441559999999999</v>
      </c>
      <c r="I109" s="371">
        <v>53.782310000000003</v>
      </c>
      <c r="J109" s="372">
        <v>53.782310000000003</v>
      </c>
      <c r="K109" s="383" t="s">
        <v>259</v>
      </c>
    </row>
    <row r="110" spans="1:11" ht="14.4" customHeight="1" thickBot="1" x14ac:dyDescent="0.35">
      <c r="A110" s="397"/>
      <c r="B110" s="371">
        <v>-1596.2872556028699</v>
      </c>
      <c r="C110" s="371">
        <v>-1943.8568499999999</v>
      </c>
      <c r="D110" s="372">
        <v>-347.56959439713103</v>
      </c>
      <c r="E110" s="373">
        <v>1.2177362458900001</v>
      </c>
      <c r="F110" s="371">
        <v>-1052.0600159154701</v>
      </c>
      <c r="G110" s="372">
        <v>-175.34333598591101</v>
      </c>
      <c r="H110" s="374">
        <v>-251.01813000000001</v>
      </c>
      <c r="I110" s="371">
        <v>-155.80672000000001</v>
      </c>
      <c r="J110" s="372">
        <v>19.53661598591</v>
      </c>
      <c r="K110" s="375">
        <v>0.14809679832200001</v>
      </c>
    </row>
    <row r="111" spans="1:11" ht="14.4" customHeight="1" thickBot="1" x14ac:dyDescent="0.35">
      <c r="A111" s="398" t="s">
        <v>43</v>
      </c>
      <c r="B111" s="385">
        <v>-1596.2872556028699</v>
      </c>
      <c r="C111" s="385">
        <v>-1943.8568499999999</v>
      </c>
      <c r="D111" s="386">
        <v>-347.56959439713199</v>
      </c>
      <c r="E111" s="387">
        <v>-1.1209144516139999</v>
      </c>
      <c r="F111" s="385">
        <v>-1052.0600159154701</v>
      </c>
      <c r="G111" s="386">
        <v>-175.34333598591101</v>
      </c>
      <c r="H111" s="385">
        <v>-251.01813000000001</v>
      </c>
      <c r="I111" s="385">
        <v>-155.80672000000001</v>
      </c>
      <c r="J111" s="386">
        <v>19.53661598591</v>
      </c>
      <c r="K111" s="388">
        <v>0.14809679832200001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37" t="s">
        <v>104</v>
      </c>
      <c r="B1" s="338"/>
      <c r="C1" s="338"/>
      <c r="D1" s="338"/>
      <c r="E1" s="338"/>
      <c r="F1" s="338"/>
      <c r="G1" s="308"/>
      <c r="H1" s="339"/>
      <c r="I1" s="339"/>
    </row>
    <row r="2" spans="1:10" ht="14.4" customHeight="1" thickBot="1" x14ac:dyDescent="0.35">
      <c r="A2" s="196" t="s">
        <v>247</v>
      </c>
      <c r="B2" s="175"/>
      <c r="C2" s="175"/>
      <c r="D2" s="175"/>
      <c r="E2" s="175"/>
      <c r="F2" s="175"/>
    </row>
    <row r="3" spans="1:10" ht="14.4" customHeight="1" thickBot="1" x14ac:dyDescent="0.35">
      <c r="A3" s="196"/>
      <c r="B3" s="300"/>
      <c r="C3" s="299">
        <v>2015</v>
      </c>
      <c r="D3" s="257">
        <v>2016</v>
      </c>
      <c r="E3" s="7"/>
      <c r="F3" s="316">
        <v>2017</v>
      </c>
      <c r="G3" s="334"/>
      <c r="H3" s="334"/>
      <c r="I3" s="317"/>
    </row>
    <row r="4" spans="1:10" ht="14.4" customHeight="1" thickBot="1" x14ac:dyDescent="0.35">
      <c r="A4" s="261" t="s">
        <v>0</v>
      </c>
      <c r="B4" s="262" t="s">
        <v>186</v>
      </c>
      <c r="C4" s="335" t="s">
        <v>50</v>
      </c>
      <c r="D4" s="336"/>
      <c r="E4" s="263"/>
      <c r="F4" s="258" t="s">
        <v>50</v>
      </c>
      <c r="G4" s="259" t="s">
        <v>51</v>
      </c>
      <c r="H4" s="259" t="s">
        <v>45</v>
      </c>
      <c r="I4" s="260" t="s">
        <v>52</v>
      </c>
    </row>
    <row r="5" spans="1:10" ht="14.4" customHeight="1" x14ac:dyDescent="0.3">
      <c r="A5" s="399" t="s">
        <v>349</v>
      </c>
      <c r="B5" s="400" t="s">
        <v>350</v>
      </c>
      <c r="C5" s="401" t="s">
        <v>351</v>
      </c>
      <c r="D5" s="401" t="s">
        <v>351</v>
      </c>
      <c r="E5" s="401"/>
      <c r="F5" s="401" t="s">
        <v>351</v>
      </c>
      <c r="G5" s="401" t="s">
        <v>351</v>
      </c>
      <c r="H5" s="401" t="s">
        <v>351</v>
      </c>
      <c r="I5" s="402" t="s">
        <v>351</v>
      </c>
      <c r="J5" s="403" t="s">
        <v>46</v>
      </c>
    </row>
    <row r="6" spans="1:10" ht="14.4" customHeight="1" x14ac:dyDescent="0.3">
      <c r="A6" s="399" t="s">
        <v>349</v>
      </c>
      <c r="B6" s="400" t="s">
        <v>254</v>
      </c>
      <c r="C6" s="401">
        <v>0</v>
      </c>
      <c r="D6" s="401">
        <v>0</v>
      </c>
      <c r="E6" s="401"/>
      <c r="F6" s="401" t="s">
        <v>351</v>
      </c>
      <c r="G6" s="401" t="s">
        <v>351</v>
      </c>
      <c r="H6" s="401" t="s">
        <v>351</v>
      </c>
      <c r="I6" s="402" t="s">
        <v>351</v>
      </c>
      <c r="J6" s="403" t="s">
        <v>1</v>
      </c>
    </row>
    <row r="7" spans="1:10" ht="14.4" customHeight="1" x14ac:dyDescent="0.3">
      <c r="A7" s="399" t="s">
        <v>349</v>
      </c>
      <c r="B7" s="400" t="s">
        <v>352</v>
      </c>
      <c r="C7" s="401">
        <v>0</v>
      </c>
      <c r="D7" s="401">
        <v>0</v>
      </c>
      <c r="E7" s="401"/>
      <c r="F7" s="401" t="s">
        <v>351</v>
      </c>
      <c r="G7" s="401" t="s">
        <v>351</v>
      </c>
      <c r="H7" s="401" t="s">
        <v>351</v>
      </c>
      <c r="I7" s="402" t="s">
        <v>351</v>
      </c>
      <c r="J7" s="403" t="s">
        <v>353</v>
      </c>
    </row>
    <row r="9" spans="1:10" ht="14.4" customHeight="1" x14ac:dyDescent="0.3">
      <c r="A9" s="399" t="s">
        <v>349</v>
      </c>
      <c r="B9" s="400" t="s">
        <v>350</v>
      </c>
      <c r="C9" s="401" t="s">
        <v>351</v>
      </c>
      <c r="D9" s="401" t="s">
        <v>351</v>
      </c>
      <c r="E9" s="401"/>
      <c r="F9" s="401" t="s">
        <v>351</v>
      </c>
      <c r="G9" s="401" t="s">
        <v>351</v>
      </c>
      <c r="H9" s="401" t="s">
        <v>351</v>
      </c>
      <c r="I9" s="402" t="s">
        <v>351</v>
      </c>
      <c r="J9" s="403" t="s">
        <v>46</v>
      </c>
    </row>
    <row r="10" spans="1:10" ht="14.4" customHeight="1" x14ac:dyDescent="0.3">
      <c r="A10" s="399" t="s">
        <v>354</v>
      </c>
      <c r="B10" s="400" t="s">
        <v>355</v>
      </c>
      <c r="C10" s="401" t="s">
        <v>351</v>
      </c>
      <c r="D10" s="401" t="s">
        <v>351</v>
      </c>
      <c r="E10" s="401"/>
      <c r="F10" s="401" t="s">
        <v>351</v>
      </c>
      <c r="G10" s="401" t="s">
        <v>351</v>
      </c>
      <c r="H10" s="401" t="s">
        <v>351</v>
      </c>
      <c r="I10" s="402" t="s">
        <v>351</v>
      </c>
      <c r="J10" s="403" t="s">
        <v>0</v>
      </c>
    </row>
    <row r="11" spans="1:10" ht="14.4" customHeight="1" x14ac:dyDescent="0.3">
      <c r="A11" s="399" t="s">
        <v>354</v>
      </c>
      <c r="B11" s="400" t="s">
        <v>254</v>
      </c>
      <c r="C11" s="401">
        <v>0</v>
      </c>
      <c r="D11" s="401">
        <v>0</v>
      </c>
      <c r="E11" s="401"/>
      <c r="F11" s="401" t="s">
        <v>351</v>
      </c>
      <c r="G11" s="401" t="s">
        <v>351</v>
      </c>
      <c r="H11" s="401" t="s">
        <v>351</v>
      </c>
      <c r="I11" s="402" t="s">
        <v>351</v>
      </c>
      <c r="J11" s="403" t="s">
        <v>1</v>
      </c>
    </row>
    <row r="12" spans="1:10" ht="14.4" customHeight="1" x14ac:dyDescent="0.3">
      <c r="A12" s="399" t="s">
        <v>354</v>
      </c>
      <c r="B12" s="400" t="s">
        <v>356</v>
      </c>
      <c r="C12" s="401">
        <v>0</v>
      </c>
      <c r="D12" s="401">
        <v>0</v>
      </c>
      <c r="E12" s="401"/>
      <c r="F12" s="401" t="s">
        <v>351</v>
      </c>
      <c r="G12" s="401" t="s">
        <v>351</v>
      </c>
      <c r="H12" s="401" t="s">
        <v>351</v>
      </c>
      <c r="I12" s="402" t="s">
        <v>351</v>
      </c>
      <c r="J12" s="403" t="s">
        <v>357</v>
      </c>
    </row>
    <row r="13" spans="1:10" ht="14.4" customHeight="1" x14ac:dyDescent="0.3">
      <c r="A13" s="399" t="s">
        <v>351</v>
      </c>
      <c r="B13" s="400" t="s">
        <v>351</v>
      </c>
      <c r="C13" s="401" t="s">
        <v>351</v>
      </c>
      <c r="D13" s="401" t="s">
        <v>351</v>
      </c>
      <c r="E13" s="401"/>
      <c r="F13" s="401" t="s">
        <v>351</v>
      </c>
      <c r="G13" s="401" t="s">
        <v>351</v>
      </c>
      <c r="H13" s="401" t="s">
        <v>351</v>
      </c>
      <c r="I13" s="402" t="s">
        <v>351</v>
      </c>
      <c r="J13" s="403" t="s">
        <v>358</v>
      </c>
    </row>
    <row r="14" spans="1:10" ht="14.4" customHeight="1" x14ac:dyDescent="0.3">
      <c r="A14" s="399" t="s">
        <v>349</v>
      </c>
      <c r="B14" s="400" t="s">
        <v>352</v>
      </c>
      <c r="C14" s="401">
        <v>0</v>
      </c>
      <c r="D14" s="401">
        <v>0</v>
      </c>
      <c r="E14" s="401"/>
      <c r="F14" s="401" t="s">
        <v>351</v>
      </c>
      <c r="G14" s="401" t="s">
        <v>351</v>
      </c>
      <c r="H14" s="401" t="s">
        <v>351</v>
      </c>
      <c r="I14" s="402" t="s">
        <v>351</v>
      </c>
      <c r="J14" s="403" t="s">
        <v>353</v>
      </c>
    </row>
  </sheetData>
  <mergeCells count="3">
    <mergeCell ref="F3:I3"/>
    <mergeCell ref="C4:D4"/>
    <mergeCell ref="A1:I1"/>
  </mergeCells>
  <conditionalFormatting sqref="F8 F15:F65537">
    <cfRule type="cellIs" dxfId="43" priority="18" stopIfTrue="1" operator="greaterThan">
      <formula>1</formula>
    </cfRule>
  </conditionalFormatting>
  <conditionalFormatting sqref="H5:H7">
    <cfRule type="expression" dxfId="42" priority="14">
      <formula>$H5&gt;0</formula>
    </cfRule>
  </conditionalFormatting>
  <conditionalFormatting sqref="I5:I7">
    <cfRule type="expression" dxfId="41" priority="15">
      <formula>$I5&gt;1</formula>
    </cfRule>
  </conditionalFormatting>
  <conditionalFormatting sqref="B5:B7">
    <cfRule type="expression" dxfId="40" priority="11">
      <formula>OR($J5="NS",$J5="SumaNS",$J5="Účet")</formula>
    </cfRule>
  </conditionalFormatting>
  <conditionalFormatting sqref="B5:D7 F5:I7">
    <cfRule type="expression" dxfId="39" priority="17">
      <formula>AND($J5&lt;&gt;"",$J5&lt;&gt;"mezeraKL")</formula>
    </cfRule>
  </conditionalFormatting>
  <conditionalFormatting sqref="B5:D7 F5:I7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7" priority="13">
      <formula>OR($J5="SumaNS",$J5="NS")</formula>
    </cfRule>
  </conditionalFormatting>
  <conditionalFormatting sqref="A5:A7">
    <cfRule type="expression" dxfId="36" priority="9">
      <formula>AND($J5&lt;&gt;"mezeraKL",$J5&lt;&gt;"")</formula>
    </cfRule>
  </conditionalFormatting>
  <conditionalFormatting sqref="A5:A7">
    <cfRule type="expression" dxfId="35" priority="10">
      <formula>AND($J5&lt;&gt;"",$J5&lt;&gt;"mezeraKL")</formula>
    </cfRule>
  </conditionalFormatting>
  <conditionalFormatting sqref="H9:H14">
    <cfRule type="expression" dxfId="34" priority="5">
      <formula>$H9&gt;0</formula>
    </cfRule>
  </conditionalFormatting>
  <conditionalFormatting sqref="A9:A14">
    <cfRule type="expression" dxfId="33" priority="2">
      <formula>AND($J9&lt;&gt;"mezeraKL",$J9&lt;&gt;"")</formula>
    </cfRule>
  </conditionalFormatting>
  <conditionalFormatting sqref="I9:I14">
    <cfRule type="expression" dxfId="32" priority="6">
      <formula>$I9&gt;1</formula>
    </cfRule>
  </conditionalFormatting>
  <conditionalFormatting sqref="B9:B14">
    <cfRule type="expression" dxfId="31" priority="1">
      <formula>OR($J9="NS",$J9="SumaNS",$J9="Účet")</formula>
    </cfRule>
  </conditionalFormatting>
  <conditionalFormatting sqref="A9:D14 F9:I14">
    <cfRule type="expression" dxfId="30" priority="8">
      <formula>AND($J9&lt;&gt;"",$J9&lt;&gt;"mezeraKL")</formula>
    </cfRule>
  </conditionalFormatting>
  <conditionalFormatting sqref="B9:D14 F9:I14">
    <cfRule type="expression" dxfId="29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8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76" customWidth="1"/>
    <col min="2" max="2" width="5.44140625" style="176" bestFit="1" customWidth="1"/>
    <col min="3" max="3" width="6.109375" style="176" bestFit="1" customWidth="1"/>
    <col min="4" max="4" width="7.44140625" style="176" bestFit="1" customWidth="1"/>
    <col min="5" max="5" width="6.21875" style="176" bestFit="1" customWidth="1"/>
    <col min="6" max="6" width="6.33203125" style="179" bestFit="1" customWidth="1"/>
    <col min="7" max="7" width="6.109375" style="179" bestFit="1" customWidth="1"/>
    <col min="8" max="8" width="7.44140625" style="179" bestFit="1" customWidth="1"/>
    <col min="9" max="9" width="6.21875" style="179" bestFit="1" customWidth="1"/>
    <col min="10" max="10" width="5.44140625" style="176" bestFit="1" customWidth="1"/>
    <col min="11" max="11" width="6.109375" style="176" bestFit="1" customWidth="1"/>
    <col min="12" max="12" width="7.44140625" style="176" bestFit="1" customWidth="1"/>
    <col min="13" max="13" width="6.21875" style="176" bestFit="1" customWidth="1"/>
    <col min="14" max="14" width="5.33203125" style="179" bestFit="1" customWidth="1"/>
    <col min="15" max="15" width="6.109375" style="179" bestFit="1" customWidth="1"/>
    <col min="16" max="16" width="7.44140625" style="179" bestFit="1" customWidth="1"/>
    <col min="17" max="17" width="6.21875" style="179" bestFit="1" customWidth="1"/>
    <col min="18" max="16384" width="8.88671875" style="101"/>
  </cols>
  <sheetData>
    <row r="1" spans="1:17" ht="18.600000000000001" customHeight="1" thickBot="1" x14ac:dyDescent="0.4">
      <c r="A1" s="340" t="s">
        <v>187</v>
      </c>
      <c r="B1" s="340"/>
      <c r="C1" s="340"/>
      <c r="D1" s="340"/>
      <c r="E1" s="340"/>
      <c r="F1" s="308"/>
      <c r="G1" s="308"/>
      <c r="H1" s="308"/>
      <c r="I1" s="308"/>
      <c r="J1" s="339"/>
      <c r="K1" s="339"/>
      <c r="L1" s="339"/>
      <c r="M1" s="339"/>
      <c r="N1" s="339"/>
      <c r="O1" s="339"/>
      <c r="P1" s="339"/>
      <c r="Q1" s="339"/>
    </row>
    <row r="2" spans="1:17" ht="14.4" customHeight="1" thickBot="1" x14ac:dyDescent="0.35">
      <c r="A2" s="196" t="s">
        <v>247</v>
      </c>
      <c r="B2" s="180"/>
      <c r="C2" s="180"/>
      <c r="D2" s="180"/>
      <c r="E2" s="180"/>
    </row>
    <row r="3" spans="1:17" ht="14.4" customHeight="1" thickBot="1" x14ac:dyDescent="0.35">
      <c r="A3" s="265" t="s">
        <v>3</v>
      </c>
      <c r="B3" s="269">
        <f>SUM(B6:B1048576)</f>
        <v>2</v>
      </c>
      <c r="C3" s="270">
        <f>SUM(C6:C1048576)</f>
        <v>0</v>
      </c>
      <c r="D3" s="270">
        <f>SUM(D6:D1048576)</f>
        <v>0</v>
      </c>
      <c r="E3" s="271">
        <f>SUM(E6:E1048576)</f>
        <v>0</v>
      </c>
      <c r="F3" s="268">
        <f>IF(SUM($B3:$E3)=0,"",B3/SUM($B3:$E3))</f>
        <v>1</v>
      </c>
      <c r="G3" s="266">
        <f t="shared" ref="G3:I3" si="0">IF(SUM($B3:$E3)=0,"",C3/SUM($B3:$E3))</f>
        <v>0</v>
      </c>
      <c r="H3" s="266">
        <f t="shared" si="0"/>
        <v>0</v>
      </c>
      <c r="I3" s="267">
        <f t="shared" si="0"/>
        <v>0</v>
      </c>
      <c r="J3" s="270">
        <f>SUM(J6:J1048576)</f>
        <v>1</v>
      </c>
      <c r="K3" s="270">
        <f>SUM(K6:K1048576)</f>
        <v>0</v>
      </c>
      <c r="L3" s="270">
        <f>SUM(L6:L1048576)</f>
        <v>0</v>
      </c>
      <c r="M3" s="271">
        <f>SUM(M6:M1048576)</f>
        <v>0</v>
      </c>
      <c r="N3" s="268">
        <f>IF(SUM($J3:$M3)=0,"",J3/SUM($J3:$M3))</f>
        <v>1</v>
      </c>
      <c r="O3" s="266">
        <f t="shared" ref="O3:Q3" si="1">IF(SUM($J3:$M3)=0,"",K3/SUM($J3:$M3))</f>
        <v>0</v>
      </c>
      <c r="P3" s="266">
        <f t="shared" si="1"/>
        <v>0</v>
      </c>
      <c r="Q3" s="267">
        <f t="shared" si="1"/>
        <v>0</v>
      </c>
    </row>
    <row r="4" spans="1:17" ht="14.4" customHeight="1" thickBot="1" x14ac:dyDescent="0.35">
      <c r="A4" s="264"/>
      <c r="B4" s="344" t="s">
        <v>189</v>
      </c>
      <c r="C4" s="345"/>
      <c r="D4" s="345"/>
      <c r="E4" s="346"/>
      <c r="F4" s="341" t="s">
        <v>194</v>
      </c>
      <c r="G4" s="342"/>
      <c r="H4" s="342"/>
      <c r="I4" s="343"/>
      <c r="J4" s="344" t="s">
        <v>195</v>
      </c>
      <c r="K4" s="345"/>
      <c r="L4" s="345"/>
      <c r="M4" s="346"/>
      <c r="N4" s="341" t="s">
        <v>196</v>
      </c>
      <c r="O4" s="342"/>
      <c r="P4" s="342"/>
      <c r="Q4" s="343"/>
    </row>
    <row r="5" spans="1:17" ht="14.4" customHeight="1" thickBot="1" x14ac:dyDescent="0.35">
      <c r="A5" s="404" t="s">
        <v>188</v>
      </c>
      <c r="B5" s="405" t="s">
        <v>190</v>
      </c>
      <c r="C5" s="405" t="s">
        <v>191</v>
      </c>
      <c r="D5" s="405" t="s">
        <v>192</v>
      </c>
      <c r="E5" s="406" t="s">
        <v>193</v>
      </c>
      <c r="F5" s="407" t="s">
        <v>190</v>
      </c>
      <c r="G5" s="408" t="s">
        <v>191</v>
      </c>
      <c r="H5" s="408" t="s">
        <v>192</v>
      </c>
      <c r="I5" s="409" t="s">
        <v>193</v>
      </c>
      <c r="J5" s="405" t="s">
        <v>190</v>
      </c>
      <c r="K5" s="405" t="s">
        <v>191</v>
      </c>
      <c r="L5" s="405" t="s">
        <v>192</v>
      </c>
      <c r="M5" s="406" t="s">
        <v>193</v>
      </c>
      <c r="N5" s="407" t="s">
        <v>190</v>
      </c>
      <c r="O5" s="408" t="s">
        <v>191</v>
      </c>
      <c r="P5" s="408" t="s">
        <v>192</v>
      </c>
      <c r="Q5" s="409" t="s">
        <v>193</v>
      </c>
    </row>
    <row r="6" spans="1:17" ht="14.4" customHeight="1" x14ac:dyDescent="0.3">
      <c r="A6" s="417" t="s">
        <v>359</v>
      </c>
      <c r="B6" s="421"/>
      <c r="C6" s="411"/>
      <c r="D6" s="411"/>
      <c r="E6" s="423"/>
      <c r="F6" s="419"/>
      <c r="G6" s="412"/>
      <c r="H6" s="412"/>
      <c r="I6" s="425"/>
      <c r="J6" s="421"/>
      <c r="K6" s="411"/>
      <c r="L6" s="411"/>
      <c r="M6" s="423"/>
      <c r="N6" s="419"/>
      <c r="O6" s="412"/>
      <c r="P6" s="412"/>
      <c r="Q6" s="413"/>
    </row>
    <row r="7" spans="1:17" ht="14.4" customHeight="1" thickBot="1" x14ac:dyDescent="0.35">
      <c r="A7" s="418" t="s">
        <v>360</v>
      </c>
      <c r="B7" s="422">
        <v>2</v>
      </c>
      <c r="C7" s="414"/>
      <c r="D7" s="414"/>
      <c r="E7" s="424"/>
      <c r="F7" s="420">
        <v>1</v>
      </c>
      <c r="G7" s="415">
        <v>0</v>
      </c>
      <c r="H7" s="415">
        <v>0</v>
      </c>
      <c r="I7" s="426">
        <v>0</v>
      </c>
      <c r="J7" s="422">
        <v>1</v>
      </c>
      <c r="K7" s="414"/>
      <c r="L7" s="414"/>
      <c r="M7" s="424"/>
      <c r="N7" s="420">
        <v>1</v>
      </c>
      <c r="O7" s="415">
        <v>0</v>
      </c>
      <c r="P7" s="415">
        <v>0</v>
      </c>
      <c r="Q7" s="4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37" t="s">
        <v>105</v>
      </c>
      <c r="B1" s="338"/>
      <c r="C1" s="338"/>
      <c r="D1" s="338"/>
      <c r="E1" s="338"/>
      <c r="F1" s="338"/>
      <c r="G1" s="308"/>
      <c r="H1" s="339"/>
      <c r="I1" s="339"/>
    </row>
    <row r="2" spans="1:10" ht="14.4" customHeight="1" thickBot="1" x14ac:dyDescent="0.35">
      <c r="A2" s="196" t="s">
        <v>247</v>
      </c>
      <c r="B2" s="175"/>
      <c r="C2" s="175"/>
      <c r="D2" s="175"/>
      <c r="E2" s="175"/>
      <c r="F2" s="175"/>
    </row>
    <row r="3" spans="1:10" ht="14.4" customHeight="1" thickBot="1" x14ac:dyDescent="0.35">
      <c r="A3" s="196"/>
      <c r="B3" s="300"/>
      <c r="C3" s="256">
        <v>2015</v>
      </c>
      <c r="D3" s="257">
        <v>2016</v>
      </c>
      <c r="E3" s="7"/>
      <c r="F3" s="316">
        <v>2017</v>
      </c>
      <c r="G3" s="334"/>
      <c r="H3" s="334"/>
      <c r="I3" s="317"/>
    </row>
    <row r="4" spans="1:10" ht="14.4" customHeight="1" thickBot="1" x14ac:dyDescent="0.35">
      <c r="A4" s="261" t="s">
        <v>0</v>
      </c>
      <c r="B4" s="262" t="s">
        <v>186</v>
      </c>
      <c r="C4" s="335" t="s">
        <v>50</v>
      </c>
      <c r="D4" s="336"/>
      <c r="E4" s="263"/>
      <c r="F4" s="258" t="s">
        <v>50</v>
      </c>
      <c r="G4" s="259" t="s">
        <v>51</v>
      </c>
      <c r="H4" s="259" t="s">
        <v>45</v>
      </c>
      <c r="I4" s="260" t="s">
        <v>52</v>
      </c>
    </row>
    <row r="5" spans="1:10" ht="14.4" customHeight="1" x14ac:dyDescent="0.3">
      <c r="A5" s="399" t="s">
        <v>349</v>
      </c>
      <c r="B5" s="400" t="s">
        <v>350</v>
      </c>
      <c r="C5" s="401" t="s">
        <v>351</v>
      </c>
      <c r="D5" s="401" t="s">
        <v>351</v>
      </c>
      <c r="E5" s="401"/>
      <c r="F5" s="401" t="s">
        <v>351</v>
      </c>
      <c r="G5" s="401" t="s">
        <v>351</v>
      </c>
      <c r="H5" s="401" t="s">
        <v>351</v>
      </c>
      <c r="I5" s="402" t="s">
        <v>351</v>
      </c>
      <c r="J5" s="403" t="s">
        <v>46</v>
      </c>
    </row>
    <row r="6" spans="1:10" ht="14.4" customHeight="1" x14ac:dyDescent="0.3">
      <c r="A6" s="399" t="s">
        <v>349</v>
      </c>
      <c r="B6" s="400" t="s">
        <v>256</v>
      </c>
      <c r="C6" s="401">
        <v>0</v>
      </c>
      <c r="D6" s="401">
        <v>0</v>
      </c>
      <c r="E6" s="401"/>
      <c r="F6" s="401" t="s">
        <v>351</v>
      </c>
      <c r="G6" s="401" t="s">
        <v>351</v>
      </c>
      <c r="H6" s="401" t="s">
        <v>351</v>
      </c>
      <c r="I6" s="402" t="s">
        <v>351</v>
      </c>
      <c r="J6" s="403" t="s">
        <v>1</v>
      </c>
    </row>
    <row r="7" spans="1:10" ht="14.4" customHeight="1" x14ac:dyDescent="0.3">
      <c r="A7" s="399" t="s">
        <v>349</v>
      </c>
      <c r="B7" s="400" t="s">
        <v>257</v>
      </c>
      <c r="C7" s="401">
        <v>0</v>
      </c>
      <c r="D7" s="401">
        <v>0</v>
      </c>
      <c r="E7" s="401"/>
      <c r="F7" s="401">
        <v>0</v>
      </c>
      <c r="G7" s="401">
        <v>4.3359969311666672E-3</v>
      </c>
      <c r="H7" s="401">
        <v>-4.3359969311666672E-3</v>
      </c>
      <c r="I7" s="402">
        <v>0</v>
      </c>
      <c r="J7" s="403" t="s">
        <v>1</v>
      </c>
    </row>
    <row r="8" spans="1:10" ht="14.4" customHeight="1" x14ac:dyDescent="0.3">
      <c r="A8" s="399" t="s">
        <v>349</v>
      </c>
      <c r="B8" s="400" t="s">
        <v>258</v>
      </c>
      <c r="C8" s="401" t="s">
        <v>351</v>
      </c>
      <c r="D8" s="401">
        <v>0</v>
      </c>
      <c r="E8" s="401"/>
      <c r="F8" s="401" t="s">
        <v>351</v>
      </c>
      <c r="G8" s="401" t="s">
        <v>351</v>
      </c>
      <c r="H8" s="401" t="s">
        <v>351</v>
      </c>
      <c r="I8" s="402" t="s">
        <v>351</v>
      </c>
      <c r="J8" s="403" t="s">
        <v>1</v>
      </c>
    </row>
    <row r="9" spans="1:10" ht="14.4" customHeight="1" x14ac:dyDescent="0.3">
      <c r="A9" s="399" t="s">
        <v>349</v>
      </c>
      <c r="B9" s="400" t="s">
        <v>352</v>
      </c>
      <c r="C9" s="401">
        <v>0</v>
      </c>
      <c r="D9" s="401">
        <v>0</v>
      </c>
      <c r="E9" s="401"/>
      <c r="F9" s="401">
        <v>0</v>
      </c>
      <c r="G9" s="401">
        <v>4.3359969311666672E-3</v>
      </c>
      <c r="H9" s="401">
        <v>-4.3359969311666672E-3</v>
      </c>
      <c r="I9" s="402">
        <v>0</v>
      </c>
      <c r="J9" s="403" t="s">
        <v>353</v>
      </c>
    </row>
    <row r="11" spans="1:10" ht="14.4" customHeight="1" x14ac:dyDescent="0.3">
      <c r="A11" s="399" t="s">
        <v>349</v>
      </c>
      <c r="B11" s="400" t="s">
        <v>350</v>
      </c>
      <c r="C11" s="401" t="s">
        <v>351</v>
      </c>
      <c r="D11" s="401" t="s">
        <v>351</v>
      </c>
      <c r="E11" s="401"/>
      <c r="F11" s="401" t="s">
        <v>351</v>
      </c>
      <c r="G11" s="401" t="s">
        <v>351</v>
      </c>
      <c r="H11" s="401" t="s">
        <v>351</v>
      </c>
      <c r="I11" s="402" t="s">
        <v>351</v>
      </c>
      <c r="J11" s="403" t="s">
        <v>46</v>
      </c>
    </row>
    <row r="12" spans="1:10" ht="14.4" customHeight="1" x14ac:dyDescent="0.3">
      <c r="A12" s="399" t="s">
        <v>354</v>
      </c>
      <c r="B12" s="400" t="s">
        <v>355</v>
      </c>
      <c r="C12" s="401" t="s">
        <v>351</v>
      </c>
      <c r="D12" s="401" t="s">
        <v>351</v>
      </c>
      <c r="E12" s="401"/>
      <c r="F12" s="401" t="s">
        <v>351</v>
      </c>
      <c r="G12" s="401" t="s">
        <v>351</v>
      </c>
      <c r="H12" s="401" t="s">
        <v>351</v>
      </c>
      <c r="I12" s="402" t="s">
        <v>351</v>
      </c>
      <c r="J12" s="403" t="s">
        <v>0</v>
      </c>
    </row>
    <row r="13" spans="1:10" ht="14.4" customHeight="1" x14ac:dyDescent="0.3">
      <c r="A13" s="399" t="s">
        <v>354</v>
      </c>
      <c r="B13" s="400" t="s">
        <v>256</v>
      </c>
      <c r="C13" s="401">
        <v>0</v>
      </c>
      <c r="D13" s="401">
        <v>0</v>
      </c>
      <c r="E13" s="401"/>
      <c r="F13" s="401" t="s">
        <v>351</v>
      </c>
      <c r="G13" s="401" t="s">
        <v>351</v>
      </c>
      <c r="H13" s="401" t="s">
        <v>351</v>
      </c>
      <c r="I13" s="402" t="s">
        <v>351</v>
      </c>
      <c r="J13" s="403" t="s">
        <v>1</v>
      </c>
    </row>
    <row r="14" spans="1:10" ht="14.4" customHeight="1" x14ac:dyDescent="0.3">
      <c r="A14" s="399" t="s">
        <v>354</v>
      </c>
      <c r="B14" s="400" t="s">
        <v>257</v>
      </c>
      <c r="C14" s="401">
        <v>0</v>
      </c>
      <c r="D14" s="401">
        <v>0</v>
      </c>
      <c r="E14" s="401"/>
      <c r="F14" s="401">
        <v>0</v>
      </c>
      <c r="G14" s="401">
        <v>4.3359969311666672E-3</v>
      </c>
      <c r="H14" s="401">
        <v>-4.3359969311666672E-3</v>
      </c>
      <c r="I14" s="402">
        <v>0</v>
      </c>
      <c r="J14" s="403" t="s">
        <v>1</v>
      </c>
    </row>
    <row r="15" spans="1:10" ht="14.4" customHeight="1" x14ac:dyDescent="0.3">
      <c r="A15" s="399" t="s">
        <v>354</v>
      </c>
      <c r="B15" s="400" t="s">
        <v>258</v>
      </c>
      <c r="C15" s="401" t="s">
        <v>351</v>
      </c>
      <c r="D15" s="401">
        <v>0</v>
      </c>
      <c r="E15" s="401"/>
      <c r="F15" s="401" t="s">
        <v>351</v>
      </c>
      <c r="G15" s="401" t="s">
        <v>351</v>
      </c>
      <c r="H15" s="401" t="s">
        <v>351</v>
      </c>
      <c r="I15" s="402" t="s">
        <v>351</v>
      </c>
      <c r="J15" s="403" t="s">
        <v>1</v>
      </c>
    </row>
    <row r="16" spans="1:10" ht="14.4" customHeight="1" x14ac:dyDescent="0.3">
      <c r="A16" s="399" t="s">
        <v>354</v>
      </c>
      <c r="B16" s="400" t="s">
        <v>356</v>
      </c>
      <c r="C16" s="401">
        <v>0</v>
      </c>
      <c r="D16" s="401">
        <v>0</v>
      </c>
      <c r="E16" s="401"/>
      <c r="F16" s="401">
        <v>0</v>
      </c>
      <c r="G16" s="401">
        <v>4.3359969311666672E-3</v>
      </c>
      <c r="H16" s="401">
        <v>-4.3359969311666672E-3</v>
      </c>
      <c r="I16" s="402">
        <v>0</v>
      </c>
      <c r="J16" s="403" t="s">
        <v>357</v>
      </c>
    </row>
    <row r="17" spans="1:10" ht="14.4" customHeight="1" x14ac:dyDescent="0.3">
      <c r="A17" s="399" t="s">
        <v>351</v>
      </c>
      <c r="B17" s="400" t="s">
        <v>351</v>
      </c>
      <c r="C17" s="401" t="s">
        <v>351</v>
      </c>
      <c r="D17" s="401" t="s">
        <v>351</v>
      </c>
      <c r="E17" s="401"/>
      <c r="F17" s="401" t="s">
        <v>351</v>
      </c>
      <c r="G17" s="401" t="s">
        <v>351</v>
      </c>
      <c r="H17" s="401" t="s">
        <v>351</v>
      </c>
      <c r="I17" s="402" t="s">
        <v>351</v>
      </c>
      <c r="J17" s="403" t="s">
        <v>358</v>
      </c>
    </row>
    <row r="18" spans="1:10" ht="14.4" customHeight="1" x14ac:dyDescent="0.3">
      <c r="A18" s="399" t="s">
        <v>349</v>
      </c>
      <c r="B18" s="400" t="s">
        <v>352</v>
      </c>
      <c r="C18" s="401">
        <v>0</v>
      </c>
      <c r="D18" s="401">
        <v>0</v>
      </c>
      <c r="E18" s="401"/>
      <c r="F18" s="401">
        <v>0</v>
      </c>
      <c r="G18" s="401">
        <v>4.3359969311666672E-3</v>
      </c>
      <c r="H18" s="401">
        <v>-4.3359969311666672E-3</v>
      </c>
      <c r="I18" s="402">
        <v>0</v>
      </c>
      <c r="J18" s="403" t="s">
        <v>353</v>
      </c>
    </row>
  </sheetData>
  <mergeCells count="3">
    <mergeCell ref="A1:I1"/>
    <mergeCell ref="F3:I3"/>
    <mergeCell ref="C4:D4"/>
  </mergeCells>
  <conditionalFormatting sqref="F10 F19:F65537">
    <cfRule type="cellIs" dxfId="26" priority="18" stopIfTrue="1" operator="greaterThan">
      <formula>1</formula>
    </cfRule>
  </conditionalFormatting>
  <conditionalFormatting sqref="H5:H9">
    <cfRule type="expression" dxfId="25" priority="14">
      <formula>$H5&gt;0</formula>
    </cfRule>
  </conditionalFormatting>
  <conditionalFormatting sqref="I5:I9">
    <cfRule type="expression" dxfId="24" priority="15">
      <formula>$I5&gt;1</formula>
    </cfRule>
  </conditionalFormatting>
  <conditionalFormatting sqref="B5:B9">
    <cfRule type="expression" dxfId="23" priority="11">
      <formula>OR($J5="NS",$J5="SumaNS",$J5="Účet")</formula>
    </cfRule>
  </conditionalFormatting>
  <conditionalFormatting sqref="F5:I9 B5:D9">
    <cfRule type="expression" dxfId="22" priority="17">
      <formula>AND($J5&lt;&gt;"",$J5&lt;&gt;"mezeraKL")</formula>
    </cfRule>
  </conditionalFormatting>
  <conditionalFormatting sqref="B5:D9 F5:I9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20" priority="13">
      <formula>OR($J5="SumaNS",$J5="NS")</formula>
    </cfRule>
  </conditionalFormatting>
  <conditionalFormatting sqref="A5:A9">
    <cfRule type="expression" dxfId="19" priority="9">
      <formula>AND($J5&lt;&gt;"mezeraKL",$J5&lt;&gt;"")</formula>
    </cfRule>
  </conditionalFormatting>
  <conditionalFormatting sqref="A5:A9">
    <cfRule type="expression" dxfId="18" priority="10">
      <formula>AND($J5&lt;&gt;"",$J5&lt;&gt;"mezeraKL")</formula>
    </cfRule>
  </conditionalFormatting>
  <conditionalFormatting sqref="H11:H18">
    <cfRule type="expression" dxfId="17" priority="5">
      <formula>$H11&gt;0</formula>
    </cfRule>
  </conditionalFormatting>
  <conditionalFormatting sqref="A11:A18">
    <cfRule type="expression" dxfId="16" priority="2">
      <formula>AND($J11&lt;&gt;"mezeraKL",$J11&lt;&gt;"")</formula>
    </cfRule>
  </conditionalFormatting>
  <conditionalFormatting sqref="I11:I18">
    <cfRule type="expression" dxfId="15" priority="6">
      <formula>$I11&gt;1</formula>
    </cfRule>
  </conditionalFormatting>
  <conditionalFormatting sqref="B11:B18">
    <cfRule type="expression" dxfId="14" priority="1">
      <formula>OR($J11="NS",$J11="SumaNS",$J11="Účet")</formula>
    </cfRule>
  </conditionalFormatting>
  <conditionalFormatting sqref="A11:D18 F11:I18">
    <cfRule type="expression" dxfId="13" priority="8">
      <formula>AND($J11&lt;&gt;"",$J11&lt;&gt;"mezeraKL")</formula>
    </cfRule>
  </conditionalFormatting>
  <conditionalFormatting sqref="B11:D18 F11:I18">
    <cfRule type="expression" dxfId="12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11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2017-03-31T13:18:18Z</dcterms:modified>
</cp:coreProperties>
</file>