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Statim" sheetId="427" r:id="rId8"/>
    <sheet name="Materiál Žádanky" sheetId="420" r:id="rId9"/>
    <sheet name="Osobní náklady" sheetId="419" r:id="rId10"/>
    <sheet name="ON Data" sheetId="418" state="hidden" r:id="rId11"/>
    <sheet name="ZV Vykáz.-A" sheetId="344" r:id="rId12"/>
    <sheet name="ZV Vykáz.-A Lékaři" sheetId="429" r:id="rId13"/>
    <sheet name="ZV Vykáz.-A Detail" sheetId="345" r:id="rId14"/>
    <sheet name="ZV Vykáz.-A Det.Lék." sheetId="430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Statim'!$A$5:$I$5</definedName>
    <definedName name="_xlnm._FilterDatabase" localSheetId="4" hidden="1">'Man Tab'!$A$5:$A$31</definedName>
    <definedName name="_xlnm._FilterDatabase" localSheetId="8" hidden="1">'Materiál Žádanky'!$A$4:$I$4</definedName>
    <definedName name="_xlnm._FilterDatabase" localSheetId="14" hidden="1">'ZV Vykáz.-A Det.Lék.'!$A$5:$S$5</definedName>
    <definedName name="_xlnm._FilterDatabase" localSheetId="13" hidden="1">'ZV Vykáz.-A Detail'!$A$5:$R$5</definedName>
    <definedName name="_xlnm._FilterDatabase" localSheetId="12" hidden="1">'ZV Vykáz.-A Lékaři'!$A$4:$A$5</definedName>
    <definedName name="_xlnm._FilterDatabase" localSheetId="16" hidden="1">'ZV Vykáz.-H Detail'!$A$5:$Q$5</definedName>
    <definedName name="doměsíce">'HI Graf'!$C$11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D20" i="419" l="1"/>
  <c r="C20" i="419"/>
  <c r="D19" i="419"/>
  <c r="C19" i="419"/>
  <c r="D17" i="419"/>
  <c r="C17" i="419"/>
  <c r="D16" i="419"/>
  <c r="C16" i="419"/>
  <c r="D14" i="419"/>
  <c r="C14" i="419"/>
  <c r="D13" i="419"/>
  <c r="C13" i="419"/>
  <c r="D12" i="419"/>
  <c r="C12" i="419"/>
  <c r="D11" i="419"/>
  <c r="C11" i="419"/>
  <c r="D18" i="419" l="1"/>
  <c r="C18" i="419"/>
  <c r="E26" i="419"/>
  <c r="E25" i="419"/>
  <c r="F26" i="419"/>
  <c r="F25" i="419"/>
  <c r="D26" i="419"/>
  <c r="D25" i="419"/>
  <c r="C25" i="419"/>
  <c r="C26" i="419"/>
  <c r="C27" i="419" s="1"/>
  <c r="D27" i="419" l="1"/>
  <c r="D28" i="419"/>
  <c r="C28" i="419"/>
  <c r="B26" i="419"/>
  <c r="E28" i="419"/>
  <c r="E27" i="419" l="1"/>
  <c r="AE3" i="418" l="1"/>
  <c r="I3" i="418"/>
  <c r="F28" i="419" l="1"/>
  <c r="F27" i="419"/>
  <c r="D19" i="414" l="1"/>
  <c r="E19" i="414" s="1"/>
  <c r="D18" i="414"/>
  <c r="A20" i="383" l="1"/>
  <c r="Q3" i="430"/>
  <c r="P3" i="430"/>
  <c r="M3" i="430"/>
  <c r="R3" i="430" s="1"/>
  <c r="L3" i="430"/>
  <c r="I3" i="430"/>
  <c r="H3" i="430"/>
  <c r="S3" i="430" l="1"/>
  <c r="H3" i="344"/>
  <c r="E11" i="339" s="1"/>
  <c r="E3" i="344"/>
  <c r="B3" i="344"/>
  <c r="I3" i="344" l="1"/>
  <c r="J3" i="344"/>
  <c r="D17" i="414" s="1"/>
  <c r="C11" i="339"/>
  <c r="E18" i="414"/>
  <c r="A19" i="414"/>
  <c r="A18" i="414"/>
  <c r="A17" i="414"/>
  <c r="AW3" i="418" l="1"/>
  <c r="AV3" i="418"/>
  <c r="AU3" i="418"/>
  <c r="AT3" i="418"/>
  <c r="AS3" i="418"/>
  <c r="AR3" i="418"/>
  <c r="B25" i="419" l="1"/>
  <c r="B27" i="419" l="1"/>
  <c r="A8" i="414"/>
  <c r="A7" i="414"/>
  <c r="D21" i="419" l="1"/>
  <c r="D23" i="419" l="1"/>
  <c r="D22" i="419"/>
  <c r="N3" i="418"/>
  <c r="B21" i="419" l="1"/>
  <c r="B22" i="419" l="1"/>
  <c r="A18" i="383"/>
  <c r="G3" i="429"/>
  <c r="F3" i="429"/>
  <c r="E3" i="429"/>
  <c r="D3" i="429"/>
  <c r="C3" i="429"/>
  <c r="B3" i="429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3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D6" i="419" l="1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0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C16" i="414"/>
  <c r="D4" i="414"/>
  <c r="D16" i="414"/>
  <c r="D13" i="414"/>
  <c r="C13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C21" i="414"/>
  <c r="D21" i="414"/>
  <c r="I12" i="339" l="1"/>
  <c r="I13" i="339" s="1"/>
  <c r="F13" i="339"/>
  <c r="E13" i="339"/>
  <c r="E15" i="339" s="1"/>
  <c r="H12" i="339"/>
  <c r="G12" i="339"/>
  <c r="A4" i="383"/>
  <c r="A22" i="383"/>
  <c r="A21" i="383"/>
  <c r="A19" i="383"/>
  <c r="A17" i="383"/>
  <c r="A14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5" i="414"/>
  <c r="H13" i="339" l="1"/>
  <c r="F15" i="339"/>
  <c r="J13" i="339"/>
  <c r="B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<sst xmlns="http://schemas.openxmlformats.org/spreadsheetml/2006/main" count="999" uniqueCount="390">
  <si>
    <t>NS</t>
  </si>
  <si>
    <t>Účet</t>
  </si>
  <si>
    <t>%</t>
  </si>
  <si>
    <t>Celkem</t>
  </si>
  <si>
    <t>Klinika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</si>
  <si>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</si>
  <si>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</si>
  <si>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</si>
  <si>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</si>
  <si>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</si>
  <si>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</si>
  <si>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</si>
  <si>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</si>
  <si>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</si>
  <si>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</si>
  <si>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</si>
  <si>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</si>
  <si>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</si>
  <si>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</si>
  <si>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</si>
  <si>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</si>
  <si>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</si>
  <si>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</si>
  <si>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</si>
  <si>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</si>
  <si>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</si>
  <si>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</si>
  <si>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</si>
  <si>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</si>
  <si>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</si>
  <si>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</si>
  <si>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</si>
  <si>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</si>
  <si>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</si>
  <si>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</si>
  <si>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</si>
  <si>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</si>
  <si>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</si>
  <si>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</si>
  <si>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</si>
  <si>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</si>
  <si>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</si>
  <si>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</si>
  <si>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</si>
  <si>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</si>
  <si>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</si>
  <si>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</si>
  <si>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</si>
  <si>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</si>
  <si>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</si>
  <si>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</si>
  <si>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</si>
  <si>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</si>
  <si>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</si>
  <si>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</si>
  <si>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</si>
  <si>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</si>
  <si>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</si>
  <si>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</si>
  <si>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</si>
  <si>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</si>
  <si>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</si>
  <si>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</si>
  <si>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</si>
  <si>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</si>
  <si>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</si>
  <si>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</si>
  <si>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</si>
  <si>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</si>
  <si>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</si>
  <si>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</si>
  <si>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</si>
  <si>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</si>
  <si>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</si>
  <si>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</si>
  <si>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</si>
  <si>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</si>
  <si>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</si>
  <si>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</si>
  <si>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</si>
  <si>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</si>
  <si>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</si>
  <si>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</si>
  <si>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</si>
  <si>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</si>
  <si>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</si>
  <si>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</si>
  <si>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</si>
  <si>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</si>
  <si>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</si>
  <si>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</si>
  <si>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</si>
  <si>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Materiál Žádanky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</si>
  <si>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</si>
  <si>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</si>
  <si>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</si>
  <si>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</si>
  <si>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</si>
  <si>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</si>
  <si>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</si>
  <si>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</si>
  <si>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</si>
  <si>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</si>
  <si>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</si>
  <si>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</si>
  <si>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</si>
  <si>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</si>
  <si>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</si>
  <si>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</si>
  <si>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</si>
  <si>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</si>
  <si>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</si>
  <si>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</si>
  <si>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</si>
  <si>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</si>
  <si>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</si>
  <si>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</si>
  <si>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</si>
  <si>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</si>
  <si>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</si>
  <si>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</si>
  <si>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</si>
  <si>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</si>
  <si>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</si>
  <si>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</si>
  <si>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</si>
  <si>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</si>
  <si>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</si>
  <si>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</si>
  <si>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</si>
  <si>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</si>
  <si>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</si>
  <si>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</si>
  <si>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</si>
  <si>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</si>
  <si>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</si>
  <si>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</si>
  <si>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</si>
  <si>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</si>
  <si>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</si>
  <si>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</si>
  <si>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</si>
  <si>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</si>
  <si>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</si>
  <si>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</si>
  <si>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</si>
  <si>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</si>
  <si>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</si>
  <si>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</si>
  <si>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</si>
  <si>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</si>
  <si>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</si>
  <si>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</si>
  <si>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</si>
  <si>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</si>
  <si>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kliničtí logopedové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</si>
  <si>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</si>
  <si>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</si>
  <si>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</si>
  <si>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</si>
  <si>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</si>
  <si>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</si>
  <si>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</si>
  <si>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</si>
  <si>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</si>
  <si>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</si>
  <si>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</si>
  <si>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</si>
  <si>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</si>
  <si>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</si>
  <si>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</si>
  <si>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</si>
  <si>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</si>
  <si>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</si>
  <si>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</si>
  <si>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</si>
  <si>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</si>
  <si>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</si>
  <si>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</si>
  <si>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</si>
  <si>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</si>
  <si>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</si>
  <si>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</si>
  <si>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</si>
  <si>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</si>
  <si>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</si>
  <si>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</si>
  <si>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</si>
  <si>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</si>
  <si>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</si>
  <si>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</si>
  <si>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</si>
  <si>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</si>
  <si>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</si>
  <si>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</si>
  <si>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</si>
  <si>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</si>
  <si>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</si>
  <si>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</si>
  <si>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</si>
  <si>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</si>
  <si>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</si>
  <si>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</si>
  <si>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</si>
  <si>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</si>
  <si>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</si>
  <si>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Oddělení klinické logopedie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</si>
  <si>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</si>
  <si>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</si>
  <si>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</si>
  <si>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</si>
  <si>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</si>
  <si>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</si>
  <si>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 (LEK)</t>
  </si>
  <si>
    <t>50115     Zdravotnické prostředky</t>
  </si>
  <si>
    <t>50115050     obvazový materiál (Z502)</t>
  </si>
  <si>
    <t>50115060     ZPr - ostatní (Z503)</t>
  </si>
  <si>
    <t>50115067     ZPr - rukavice (Z532)</t>
  </si>
  <si>
    <t>--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</si>
  <si>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</si>
  <si>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</si>
  <si>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</si>
  <si>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</si>
  <si>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</si>
  <si>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</si>
  <si>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</si>
  <si>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</si>
  <si>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</si>
  <si>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</si>
  <si>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</si>
  <si>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</si>
  <si>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</si>
  <si>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</si>
  <si>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</si>
  <si>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</si>
  <si>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</si>
  <si>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</si>
  <si>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</si>
  <si>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</si>
  <si>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</si>
  <si>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</si>
  <si>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</si>
  <si>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</si>
  <si>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</si>
  <si>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</si>
  <si>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</si>
  <si>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</si>
  <si>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</si>
  <si>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</si>
  <si>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</si>
  <si>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</si>
  <si>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</si>
  <si>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51808     Revize a smluvní servisy majetku</t>
  </si>
  <si>
    <t>51808007     revize, sml.servis - energetik</t>
  </si>
  <si>
    <t>51808008     revize, tech.kontroly, prev.prohl.- OHM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</si>
  <si>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</si>
  <si>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</si>
  <si>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</si>
  <si>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</si>
  <si>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</si>
  <si>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</si>
  <si>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</si>
  <si>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</si>
  <si>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</si>
  <si>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</si>
  <si>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</si>
  <si>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</si>
  <si>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</si>
  <si>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</si>
  <si>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</si>
  <si>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</si>
  <si>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</si>
  <si>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</si>
  <si>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</si>
  <si>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</si>
  <si>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</si>
  <si>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55110013     odpisy DHM - budovy z dotací</t>
  </si>
  <si>
    <t>558     Náklady z drobného dlouhodobého majetku</t>
  </si>
  <si>
    <t>55802     DDHM - provozní</t>
  </si>
  <si>
    <t>55802001     DDHM - kuchyňské zařízení a nádobí (sk.V_26)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</si>
  <si>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</si>
  <si>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</si>
  <si>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</si>
  <si>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</si>
  <si>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</si>
  <si>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</si>
  <si>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</si>
  <si>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</si>
  <si>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</si>
  <si>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</si>
  <si>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</si>
  <si>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</si>
  <si>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</si>
  <si>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</si>
  <si>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</si>
  <si>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</si>
  <si>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</si>
  <si>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</si>
  <si>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</si>
  <si>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</si>
  <si>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</si>
  <si>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</si>
  <si>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</si>
  <si>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</si>
  <si>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</si>
  <si>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</si>
  <si>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</si>
  <si>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</si>
  <si>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</si>
  <si>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</si>
  <si>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</si>
  <si>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</si>
  <si>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</si>
  <si>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36</t>
  </si>
  <si>
    <t>LOGO: Oddělení klinické logopedie</t>
  </si>
  <si>
    <t/>
  </si>
  <si>
    <t>50113001 - léky - paušál (LEK)</t>
  </si>
  <si>
    <t>LOGO: Oddělení klinické logopedie Celkem</t>
  </si>
  <si>
    <t>SumaKL</t>
  </si>
  <si>
    <t>3621</t>
  </si>
  <si>
    <t>LOGO: ambulance</t>
  </si>
  <si>
    <t>LOGO: ambulance Celkem</t>
  </si>
  <si>
    <t>SumaNS</t>
  </si>
  <si>
    <t>mezeraNS</t>
  </si>
  <si>
    <t>36 - Oddělení klinické logopedie</t>
  </si>
  <si>
    <t>3621 - ambulance</t>
  </si>
  <si>
    <t>50115050 - obvazový materiál (Z502)</t>
  </si>
  <si>
    <t>50115060 - ZPr - ostatní (Z503)</t>
  </si>
  <si>
    <t>50115067 - ZPr - rukavice (Z532)</t>
  </si>
  <si>
    <t>ON Data</t>
  </si>
  <si>
    <t>Specializovaná ambulantní péče</t>
  </si>
  <si>
    <t>903 - Pracoviště klinické logopedie</t>
  </si>
  <si>
    <t>Zdravotní výkony vykázané na pracovišti v rámci ambulantní péče *</t>
  </si>
  <si>
    <t>beze jména</t>
  </si>
  <si>
    <t xml:space="preserve"> 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</si>
  <si>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</si>
  <si>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</si>
  <si>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</si>
  <si>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</si>
  <si>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06</t>
  </si>
  <si>
    <t>903</t>
  </si>
  <si>
    <t>V</t>
  </si>
  <si>
    <t>09511</t>
  </si>
  <si>
    <t>MINIMÁLNÍ KONTAKT LÉKAŘE S PACIENTEM</t>
  </si>
  <si>
    <t>72017</t>
  </si>
  <si>
    <t>KONTROLNÍ VYŠETŘENÍ KLINICKÝM LOGOPEDEM</t>
  </si>
  <si>
    <t>72211</t>
  </si>
  <si>
    <t>LOGOPEDICKÁ TERAPIE VAD A PORUCH ŘEČI PROVÁDĚNÁ KL</t>
  </si>
  <si>
    <t>72213</t>
  </si>
  <si>
    <t>LOGOPEDICKÁ TERAPIE ZVLÁŠTĚ NÁROČNÁ  U DĚTÍ, DOROS</t>
  </si>
  <si>
    <t>09543</t>
  </si>
  <si>
    <t>Signalni kod</t>
  </si>
  <si>
    <t>72015</t>
  </si>
  <si>
    <t>KOMPLEXNÍ VYŠETŘENÍ KLINICKÝM LOGOPEDEM</t>
  </si>
  <si>
    <t>72215</t>
  </si>
  <si>
    <t>LOGOPEDICKÁ TERAPIE STŘEDNĚ NÁROČNÁ PROVÁDĚNÁ KLIN</t>
  </si>
  <si>
    <t>72016</t>
  </si>
  <si>
    <t>CÍLENÉ VYŠETŘENÍ KLINICKÝM LOGOPEDEM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</si>
  <si>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</si>
  <si>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</si>
  <si>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</si>
  <si>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</si>
  <si>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</si>
  <si>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</si>
  <si>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</si>
  <si>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</si>
  <si>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</si>
  <si>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</si>
  <si>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17 - Neurologická klinika</t>
  </si>
  <si>
    <t>21 - Onkologická klinika</t>
  </si>
  <si>
    <t>26 - Oddělení rehabilitace</t>
  </si>
  <si>
    <t>30 - Oddělení geriatrie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</si>
  <si>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</si>
  <si>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</si>
  <si>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</si>
  <si>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</si>
  <si>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</si>
  <si>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</si>
  <si>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</si>
  <si>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</si>
  <si>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07</t>
  </si>
  <si>
    <t>08</t>
  </si>
  <si>
    <t>17</t>
  </si>
  <si>
    <t>21</t>
  </si>
  <si>
    <t>26</t>
  </si>
  <si>
    <t>30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</si>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</sst>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74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0" fontId="31" fillId="2" borderId="44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50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9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0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3" fontId="0" fillId="7" borderId="60" xfId="0" applyNumberFormat="1" applyFont="1" applyFill="1" applyBorder="1"/>
    <xf numFmtId="3" fontId="52" fillId="8" borderId="61" xfId="0" applyNumberFormat="1" applyFont="1" applyFill="1" applyBorder="1"/>
    <xf numFmtId="3" fontId="52" fillId="8" borderId="60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39" fillId="2" borderId="65" xfId="0" applyFont="1" applyFill="1" applyBorder="1" applyAlignment="1">
      <alignment horizontal="center" vertical="center"/>
    </xf>
    <xf numFmtId="0" fontId="54" fillId="2" borderId="68" xfId="0" applyFont="1" applyFill="1" applyBorder="1" applyAlignment="1">
      <alignment horizontal="center" vertical="center" wrapText="1"/>
    </xf>
    <xf numFmtId="0" fontId="39" fillId="2" borderId="70" xfId="0" applyFont="1" applyFill="1" applyBorder="1" applyAlignment="1"/>
    <xf numFmtId="0" fontId="39" fillId="2" borderId="72" xfId="0" applyFont="1" applyFill="1" applyBorder="1" applyAlignment="1">
      <alignment horizontal="left" indent="1"/>
    </xf>
    <xf numFmtId="0" fontId="39" fillId="2" borderId="78" xfId="0" applyFont="1" applyFill="1" applyBorder="1" applyAlignment="1">
      <alignment horizontal="left" indent="1"/>
    </xf>
    <xf numFmtId="0" fontId="39" fillId="4" borderId="70" xfId="0" applyFont="1" applyFill="1" applyBorder="1" applyAlignment="1"/>
    <xf numFmtId="0" fontId="39" fillId="4" borderId="72" xfId="0" applyFont="1" applyFill="1" applyBorder="1" applyAlignment="1">
      <alignment horizontal="left" indent="1"/>
    </xf>
    <xf numFmtId="0" fontId="39" fillId="4" borderId="83" xfId="0" applyFont="1" applyFill="1" applyBorder="1" applyAlignment="1">
      <alignment horizontal="left" indent="1"/>
    </xf>
    <xf numFmtId="0" fontId="32" fillId="2" borderId="72" xfId="0" quotePrefix="1" applyFont="1" applyFill="1" applyBorder="1" applyAlignment="1">
      <alignment horizontal="left" indent="2"/>
    </xf>
    <xf numFmtId="0" fontId="32" fillId="2" borderId="78" xfId="0" quotePrefix="1" applyFont="1" applyFill="1" applyBorder="1" applyAlignment="1">
      <alignment horizontal="left" indent="2"/>
    </xf>
    <xf numFmtId="0" fontId="39" fillId="2" borderId="70" xfId="0" applyFont="1" applyFill="1" applyBorder="1" applyAlignment="1">
      <alignment horizontal="left" indent="1"/>
    </xf>
    <xf numFmtId="0" fontId="39" fillId="2" borderId="83" xfId="0" applyFont="1" applyFill="1" applyBorder="1" applyAlignment="1">
      <alignment horizontal="left" indent="1"/>
    </xf>
    <xf numFmtId="0" fontId="39" fillId="4" borderId="78" xfId="0" applyFont="1" applyFill="1" applyBorder="1" applyAlignment="1">
      <alignment horizontal="left" indent="1"/>
    </xf>
    <xf numFmtId="0" fontId="32" fillId="0" borderId="88" xfId="0" applyFont="1" applyBorder="1"/>
    <xf numFmtId="3" fontId="32" fillId="0" borderId="88" xfId="0" applyNumberFormat="1" applyFont="1" applyBorder="1"/>
    <xf numFmtId="0" fontId="39" fillId="4" borderId="62" xfId="0" applyFont="1" applyFill="1" applyBorder="1" applyAlignment="1">
      <alignment horizontal="center" vertical="center"/>
    </xf>
    <xf numFmtId="0" fontId="39" fillId="4" borderId="52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7" xfId="0" applyNumberFormat="1" applyFont="1" applyFill="1" applyBorder="1" applyAlignment="1">
      <alignment horizontal="center" vertical="center"/>
    </xf>
    <xf numFmtId="3" fontId="54" fillId="2" borderId="85" xfId="0" applyNumberFormat="1" applyFont="1" applyFill="1" applyBorder="1" applyAlignment="1">
      <alignment horizontal="center" vertical="center" wrapText="1"/>
    </xf>
    <xf numFmtId="173" fontId="39" fillId="4" borderId="71" xfId="0" applyNumberFormat="1" applyFont="1" applyFill="1" applyBorder="1" applyAlignment="1"/>
    <xf numFmtId="173" fontId="39" fillId="4" borderId="65" xfId="0" applyNumberFormat="1" applyFont="1" applyFill="1" applyBorder="1" applyAlignment="1"/>
    <xf numFmtId="173" fontId="39" fillId="0" borderId="73" xfId="0" applyNumberFormat="1" applyFont="1" applyBorder="1"/>
    <xf numFmtId="173" fontId="32" fillId="0" borderId="75" xfId="0" applyNumberFormat="1" applyFont="1" applyBorder="1"/>
    <xf numFmtId="173" fontId="39" fillId="0" borderId="84" xfId="0" applyNumberFormat="1" applyFont="1" applyBorder="1"/>
    <xf numFmtId="173" fontId="32" fillId="0" borderId="68" xfId="0" applyNumberFormat="1" applyFont="1" applyBorder="1"/>
    <xf numFmtId="173" fontId="39" fillId="2" borderId="86" xfId="0" applyNumberFormat="1" applyFont="1" applyFill="1" applyBorder="1" applyAlignment="1"/>
    <xf numFmtId="173" fontId="39" fillId="2" borderId="65" xfId="0" applyNumberFormat="1" applyFont="1" applyFill="1" applyBorder="1" applyAlignment="1"/>
    <xf numFmtId="173" fontId="39" fillId="0" borderId="79" xfId="0" applyNumberFormat="1" applyFont="1" applyBorder="1"/>
    <xf numFmtId="173" fontId="32" fillId="0" borderId="81" xfId="0" applyNumberFormat="1" applyFont="1" applyBorder="1"/>
    <xf numFmtId="174" fontId="39" fillId="2" borderId="71" xfId="0" applyNumberFormat="1" applyFont="1" applyFill="1" applyBorder="1" applyAlignment="1"/>
    <xf numFmtId="174" fontId="32" fillId="2" borderId="65" xfId="0" applyNumberFormat="1" applyFont="1" applyFill="1" applyBorder="1" applyAlignment="1"/>
    <xf numFmtId="174" fontId="39" fillId="0" borderId="73" xfId="0" applyNumberFormat="1" applyFont="1" applyBorder="1"/>
    <xf numFmtId="174" fontId="32" fillId="0" borderId="75" xfId="0" applyNumberFormat="1" applyFont="1" applyBorder="1"/>
    <xf numFmtId="174" fontId="39" fillId="0" borderId="79" xfId="0" applyNumberFormat="1" applyFont="1" applyBorder="1"/>
    <xf numFmtId="174" fontId="32" fillId="0" borderId="81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3" fontId="39" fillId="4" borderId="71" xfId="0" applyNumberFormat="1" applyFont="1" applyFill="1" applyBorder="1" applyAlignment="1">
      <alignment horizontal="center"/>
    </xf>
    <xf numFmtId="175" fontId="39" fillId="0" borderId="79" xfId="0" applyNumberFormat="1" applyFont="1" applyBorder="1"/>
    <xf numFmtId="0" fontId="31" fillId="2" borderId="91" xfId="74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6" xfId="0" applyFont="1" applyFill="1" applyBorder="1"/>
    <xf numFmtId="0" fontId="32" fillId="0" borderId="77" xfId="0" applyFont="1" applyBorder="1" applyAlignment="1"/>
    <xf numFmtId="9" fontId="32" fillId="0" borderId="75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2" fillId="0" borderId="75" xfId="0" applyNumberFormat="1" applyFont="1" applyBorder="1"/>
    <xf numFmtId="49" fontId="37" fillId="2" borderId="75" xfId="0" quotePrefix="1" applyNumberFormat="1" applyFont="1" applyFill="1" applyBorder="1" applyAlignment="1">
      <alignment horizontal="center" vertical="center"/>
    </xf>
    <xf numFmtId="0" fontId="25" fillId="4" borderId="72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4" xfId="0" applyFont="1" applyBorder="1"/>
    <xf numFmtId="0" fontId="31" fillId="2" borderId="62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0" fillId="0" borderId="0" xfId="0" applyBorder="1"/>
    <xf numFmtId="0" fontId="31" fillId="2" borderId="24" xfId="74" applyFont="1" applyFill="1" applyBorder="1" applyAlignment="1">
      <alignment horizontal="center"/>
    </xf>
    <xf numFmtId="0" fontId="6" fillId="0" borderId="2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173" fontId="32" fillId="0" borderId="95" xfId="0" applyNumberFormat="1" applyFont="1" applyBorder="1"/>
    <xf numFmtId="3" fontId="32" fillId="0" borderId="0" xfId="0" applyNumberFormat="1" applyFont="1" applyBorder="1"/>
    <xf numFmtId="173" fontId="32" fillId="0" borderId="74" xfId="0" applyNumberFormat="1" applyFont="1" applyBorder="1" applyAlignment="1"/>
    <xf numFmtId="173" fontId="32" fillId="0" borderId="75" xfId="0" applyNumberFormat="1" applyFont="1" applyBorder="1" applyAlignment="1"/>
    <xf numFmtId="173" fontId="32" fillId="0" borderId="76" xfId="0" applyNumberFormat="1" applyFont="1" applyBorder="1" applyAlignment="1"/>
    <xf numFmtId="175" fontId="32" fillId="0" borderId="74" xfId="0" applyNumberFormat="1" applyFont="1" applyBorder="1" applyAlignment="1"/>
    <xf numFmtId="175" fontId="32" fillId="0" borderId="75" xfId="0" applyNumberFormat="1" applyFont="1" applyBorder="1" applyAlignment="1"/>
    <xf numFmtId="175" fontId="32" fillId="0" borderId="76" xfId="0" applyNumberFormat="1" applyFont="1" applyBorder="1" applyAlignment="1"/>
    <xf numFmtId="173" fontId="32" fillId="0" borderId="67" xfId="0" applyNumberFormat="1" applyFont="1" applyBorder="1" applyAlignment="1"/>
    <xf numFmtId="173" fontId="32" fillId="0" borderId="68" xfId="0" applyNumberFormat="1" applyFont="1" applyBorder="1" applyAlignment="1"/>
    <xf numFmtId="173" fontId="32" fillId="0" borderId="69" xfId="0" applyNumberFormat="1" applyFont="1" applyBorder="1" applyAlignment="1"/>
    <xf numFmtId="173" fontId="39" fillId="4" borderId="24" xfId="0" applyNumberFormat="1" applyFont="1" applyFill="1" applyBorder="1" applyAlignment="1">
      <alignment horizontal="center"/>
    </xf>
    <xf numFmtId="173" fontId="39" fillId="4" borderId="29" xfId="0" applyNumberFormat="1" applyFont="1" applyFill="1" applyBorder="1" applyAlignment="1">
      <alignment horizontal="center"/>
    </xf>
    <xf numFmtId="173" fontId="39" fillId="4" borderId="25" xfId="0" applyNumberFormat="1" applyFont="1" applyFill="1" applyBorder="1" applyAlignment="1">
      <alignment horizontal="center"/>
    </xf>
    <xf numFmtId="173" fontId="32" fillId="0" borderId="96" xfId="0" applyNumberFormat="1" applyFont="1" applyBorder="1"/>
    <xf numFmtId="9" fontId="32" fillId="0" borderId="72" xfId="0" applyNumberFormat="1" applyFont="1" applyBorder="1"/>
    <xf numFmtId="173" fontId="32" fillId="0" borderId="83" xfId="0" applyNumberFormat="1" applyFont="1" applyBorder="1"/>
    <xf numFmtId="0" fontId="0" fillId="0" borderId="1" xfId="0" applyBorder="1" applyAlignment="1"/>
    <xf numFmtId="173" fontId="39" fillId="0" borderId="18" xfId="0" applyNumberFormat="1" applyFont="1" applyBorder="1"/>
    <xf numFmtId="173" fontId="39" fillId="0" borderId="27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2" xfId="81" applyFont="1" applyFill="1" applyBorder="1" applyAlignment="1">
      <alignment horizontal="center"/>
    </xf>
    <xf numFmtId="0" fontId="31" fillId="2" borderId="43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59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9" xfId="81" applyFont="1" applyFill="1" applyBorder="1" applyAlignment="1">
      <alignment horizontal="center"/>
    </xf>
    <xf numFmtId="0" fontId="31" fillId="2" borderId="90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0" fontId="5" fillId="0" borderId="1" xfId="14" applyFont="1" applyFill="1" applyBorder="1" applyAlignment="1"/>
    <xf numFmtId="9" fontId="3" fillId="2" borderId="94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3" xfId="80" applyNumberFormat="1" applyFont="1" applyFill="1" applyBorder="1" applyAlignment="1">
      <alignment horizontal="left"/>
    </xf>
    <xf numFmtId="3" fontId="3" fillId="2" borderId="86" xfId="80" applyNumberFormat="1" applyFont="1" applyFill="1" applyBorder="1" applyAlignment="1">
      <alignment horizontal="left"/>
    </xf>
    <xf numFmtId="166" fontId="39" fillId="2" borderId="63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92" xfId="26" applyNumberFormat="1" applyFont="1" applyFill="1" applyBorder="1" applyAlignment="1">
      <alignment horizontal="center"/>
    </xf>
    <xf numFmtId="3" fontId="31" fillId="2" borderId="63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3" fillId="2" borderId="45" xfId="0" applyNumberFormat="1" applyFont="1" applyFill="1" applyBorder="1" applyAlignment="1">
      <alignment horizontal="center" vertical="top"/>
    </xf>
    <xf numFmtId="0" fontId="31" fillId="2" borderId="62" xfId="0" applyNumberFormat="1" applyFont="1" applyFill="1" applyBorder="1" applyAlignment="1">
      <alignment horizontal="center" vertical="top"/>
    </xf>
    <xf numFmtId="0" fontId="31" fillId="2" borderId="62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3" fillId="2" borderId="45" xfId="0" applyNumberFormat="1" applyFont="1" applyFill="1" applyBorder="1" applyAlignment="1">
      <alignment horizontal="center" vertical="top"/>
    </xf>
    <xf numFmtId="3" fontId="33" fillId="9" borderId="98" xfId="0" applyNumberFormat="1" applyFont="1" applyFill="1" applyBorder="1" applyAlignment="1">
      <alignment horizontal="right" vertical="top"/>
    </xf>
    <xf numFmtId="3" fontId="33" fillId="9" borderId="99" xfId="0" applyNumberFormat="1" applyFont="1" applyFill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3" fillId="0" borderId="98" xfId="0" applyNumberFormat="1" applyFont="1" applyBorder="1" applyAlignment="1">
      <alignment horizontal="right" vertical="top"/>
    </xf>
    <xf numFmtId="176" fontId="33" fillId="9" borderId="101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176" fontId="35" fillId="9" borderId="106" xfId="0" applyNumberFormat="1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3" fontId="35" fillId="0" borderId="109" xfId="0" applyNumberFormat="1" applyFont="1" applyBorder="1" applyAlignment="1">
      <alignment horizontal="right" vertical="top"/>
    </xf>
    <xf numFmtId="176" fontId="35" fillId="9" borderId="110" xfId="0" applyNumberFormat="1" applyFont="1" applyFill="1" applyBorder="1" applyAlignment="1">
      <alignment horizontal="right" vertical="top"/>
    </xf>
    <xf numFmtId="0" fontId="37" fillId="10" borderId="97" xfId="0" applyFont="1" applyFill="1" applyBorder="1" applyAlignment="1">
      <alignment vertical="top"/>
    </xf>
    <xf numFmtId="0" fontId="37" fillId="10" borderId="97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 indent="6"/>
    </xf>
    <xf numFmtId="0" fontId="37" fillId="10" borderId="97" xfId="0" applyFont="1" applyFill="1" applyBorder="1" applyAlignment="1">
      <alignment vertical="top" indent="8"/>
    </xf>
    <xf numFmtId="0" fontId="38" fillId="10" borderId="102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6"/>
    </xf>
    <xf numFmtId="0" fontId="38" fillId="10" borderId="102" xfId="0" applyFont="1" applyFill="1" applyBorder="1" applyAlignment="1">
      <alignment vertical="top" indent="4"/>
    </xf>
    <xf numFmtId="0" fontId="32" fillId="10" borderId="97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81" xfId="80" applyNumberFormat="1" applyFont="1" applyFill="1" applyBorder="1"/>
    <xf numFmtId="3" fontId="3" fillId="2" borderId="82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9" fontId="3" fillId="2" borderId="82" xfId="80" applyNumberFormat="1" applyFont="1" applyFill="1" applyBorder="1"/>
    <xf numFmtId="0" fontId="39" fillId="0" borderId="64" xfId="0" applyFont="1" applyFill="1" applyBorder="1"/>
    <xf numFmtId="3" fontId="32" fillId="0" borderId="65" xfId="0" applyNumberFormat="1" applyFont="1" applyFill="1" applyBorder="1"/>
    <xf numFmtId="9" fontId="32" fillId="0" borderId="65" xfId="0" applyNumberFormat="1" applyFont="1" applyFill="1" applyBorder="1"/>
    <xf numFmtId="9" fontId="32" fillId="0" borderId="66" xfId="0" applyNumberFormat="1" applyFont="1" applyFill="1" applyBorder="1"/>
    <xf numFmtId="3" fontId="32" fillId="0" borderId="68" xfId="0" applyNumberFormat="1" applyFont="1" applyFill="1" applyBorder="1"/>
    <xf numFmtId="9" fontId="32" fillId="0" borderId="68" xfId="0" applyNumberFormat="1" applyFont="1" applyFill="1" applyBorder="1"/>
    <xf numFmtId="9" fontId="32" fillId="0" borderId="69" xfId="0" applyNumberFormat="1" applyFont="1" applyFill="1" applyBorder="1"/>
    <xf numFmtId="0" fontId="39" fillId="0" borderId="91" xfId="0" applyFont="1" applyFill="1" applyBorder="1"/>
    <xf numFmtId="0" fontId="39" fillId="0" borderId="90" xfId="0" applyFont="1" applyFill="1" applyBorder="1" applyAlignment="1">
      <alignment horizontal="left" indent="1"/>
    </xf>
    <xf numFmtId="9" fontId="32" fillId="0" borderId="87" xfId="0" applyNumberFormat="1" applyFont="1" applyFill="1" applyBorder="1"/>
    <xf numFmtId="9" fontId="32" fillId="0" borderId="85" xfId="0" applyNumberFormat="1" applyFont="1" applyFill="1" applyBorder="1"/>
    <xf numFmtId="3" fontId="32" fillId="0" borderId="64" xfId="0" applyNumberFormat="1" applyFont="1" applyFill="1" applyBorder="1"/>
    <xf numFmtId="3" fontId="32" fillId="0" borderId="6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112" xfId="0" applyNumberFormat="1" applyFont="1" applyFill="1" applyBorder="1"/>
    <xf numFmtId="9" fontId="32" fillId="0" borderId="113" xfId="0" applyNumberFormat="1" applyFont="1" applyFill="1" applyBorder="1"/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8" fillId="4" borderId="64" xfId="0" applyFont="1" applyFill="1" applyBorder="1" applyAlignment="1">
      <alignment horizontal="left"/>
    </xf>
    <xf numFmtId="169" fontId="58" fillId="4" borderId="65" xfId="0" applyNumberFormat="1" applyFont="1" applyFill="1" applyBorder="1"/>
    <xf numFmtId="9" fontId="58" fillId="4" borderId="65" xfId="0" applyNumberFormat="1" applyFont="1" applyFill="1" applyBorder="1"/>
    <xf numFmtId="9" fontId="58" fillId="4" borderId="66" xfId="0" applyNumberFormat="1" applyFont="1" applyFill="1" applyBorder="1"/>
    <xf numFmtId="169" fontId="0" fillId="0" borderId="68" xfId="0" applyNumberFormat="1" applyBorder="1"/>
    <xf numFmtId="9" fontId="0" fillId="0" borderId="68" xfId="0" applyNumberFormat="1" applyBorder="1"/>
    <xf numFmtId="9" fontId="0" fillId="0" borderId="69" xfId="0" applyNumberFormat="1" applyBorder="1"/>
    <xf numFmtId="0" fontId="58" fillId="0" borderId="67" xfId="0" applyFont="1" applyBorder="1" applyAlignment="1">
      <alignment horizontal="left" indent="1"/>
    </xf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3" fontId="32" fillId="0" borderId="27" xfId="0" applyNumberFormat="1" applyFont="1" applyFill="1" applyBorder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0" fontId="32" fillId="0" borderId="64" xfId="0" applyFont="1" applyFill="1" applyBorder="1"/>
    <xf numFmtId="0" fontId="32" fillId="0" borderId="65" xfId="0" applyFont="1" applyFill="1" applyBorder="1"/>
    <xf numFmtId="0" fontId="32" fillId="0" borderId="74" xfId="0" applyFont="1" applyFill="1" applyBorder="1"/>
    <xf numFmtId="0" fontId="32" fillId="0" borderId="75" xfId="0" applyFont="1" applyFill="1" applyBorder="1"/>
    <xf numFmtId="3" fontId="32" fillId="0" borderId="75" xfId="0" applyNumberFormat="1" applyFont="1" applyFill="1" applyBorder="1"/>
    <xf numFmtId="9" fontId="32" fillId="0" borderId="75" xfId="0" applyNumberFormat="1" applyFont="1" applyFill="1" applyBorder="1"/>
    <xf numFmtId="3" fontId="32" fillId="0" borderId="76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169" fontId="32" fillId="0" borderId="65" xfId="0" applyNumberFormat="1" applyFont="1" applyFill="1" applyBorder="1"/>
    <xf numFmtId="169" fontId="32" fillId="0" borderId="75" xfId="0" applyNumberFormat="1" applyFont="1" applyFill="1" applyBorder="1"/>
    <xf numFmtId="9" fontId="32" fillId="0" borderId="76" xfId="0" applyNumberFormat="1" applyFont="1" applyFill="1" applyBorder="1"/>
    <xf numFmtId="169" fontId="32" fillId="0" borderId="68" xfId="0" applyNumberFormat="1" applyFont="1" applyFill="1" applyBorder="1"/>
    <xf numFmtId="0" fontId="39" fillId="0" borderId="74" xfId="0" applyFont="1" applyFill="1" applyBorder="1"/>
    <xf numFmtId="0" fontId="39" fillId="0" borderId="67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 2" pivot="0" count="7">
      <tableStyleElement type="wholeTable" dxfId="65"/>
      <tableStyleElement type="headerRow" dxfId="64"/>
      <tableStyleElement type="totalRow" dxfId="63"/>
      <tableStyleElement type="firstColumn" dxfId="62"/>
      <tableStyleElement type="lastColumn" dxfId="61"/>
      <tableStyleElement type="firstRowStripe" dxfId="60"/>
      <tableStyleElement type="firstColumnStripe" dxfId="5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0.25808028262340055</c:v>
                </c:pt>
                <c:pt idx="1">
                  <c:v>0.24835848647789729</c:v>
                </c:pt>
                <c:pt idx="2">
                  <c:v>0.24685044873479267</c:v>
                </c:pt>
                <c:pt idx="3">
                  <c:v>0.2405352201841322</c:v>
                </c:pt>
                <c:pt idx="4">
                  <c:v>0.25070186791659937</c:v>
                </c:pt>
                <c:pt idx="5">
                  <c:v>0.23607089857636862</c:v>
                </c:pt>
                <c:pt idx="6">
                  <c:v>0.19770730889930041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22307152"/>
        <c:axId val="-82231748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0.21764611455976046</c:v>
                </c:pt>
                <c:pt idx="1">
                  <c:v>0.21764611455976046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22318576"/>
        <c:axId val="-822311504"/>
      </c:scatterChart>
      <c:catAx>
        <c:axId val="-822307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822317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223174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822307152"/>
        <c:crosses val="autoZero"/>
        <c:crossBetween val="between"/>
      </c:valAx>
      <c:valAx>
        <c:axId val="-82231857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822311504"/>
        <c:crosses val="max"/>
        <c:crossBetween val="midCat"/>
      </c:valAx>
      <c:valAx>
        <c:axId val="-82231150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82231857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1" bestFit="1" customWidth="1"/>
    <col min="2" max="2" width="102.21875" style="101" bestFit="1" customWidth="1"/>
    <col min="3" max="3" width="16.109375" style="42" hidden="1" customWidth="1"/>
    <col min="4" max="16384" width="8.88671875" style="101"/>
  </cols>
  <sheetData>
    <row r="1" spans="1:3" ht="18.600000000000001" customHeight="1" thickBot="1" x14ac:dyDescent="0.4">
      <c r="A1" s="302" t="s">
        <v>85</v>
      </c>
      <c r="B1" s="302"/>
    </row>
    <row r="2" spans="1:3" ht="14.4" customHeight="1" thickBot="1" x14ac:dyDescent="0.35">
      <c r="A2" s="196" t="s">
        <v>206</v>
      </c>
      <c r="B2" s="41"/>
    </row>
    <row r="3" spans="1:3" ht="14.4" customHeight="1" thickBot="1" x14ac:dyDescent="0.35">
      <c r="A3" s="298" t="s">
        <v>106</v>
      </c>
      <c r="B3" s="299"/>
    </row>
    <row r="4" spans="1:3" ht="14.4" customHeight="1" x14ac:dyDescent="0.3">
      <c r="A4" s="113" t="str">
        <f t="shared" ref="A4:A8" si="0">HYPERLINK("#'"&amp;C4&amp;"'!A1",C4)</f>
        <v>Motivace</v>
      </c>
      <c r="B4" s="63" t="s">
        <v>94</v>
      </c>
      <c r="C4" s="42" t="s">
        <v>95</v>
      </c>
    </row>
    <row r="5" spans="1:3" ht="14.4" customHeight="1" x14ac:dyDescent="0.3">
      <c r="A5" s="114" t="str">
        <f t="shared" si="0"/>
        <v>HI</v>
      </c>
      <c r="B5" s="64" t="s">
        <v>103</v>
      </c>
      <c r="C5" s="42" t="s">
        <v>88</v>
      </c>
    </row>
    <row r="6" spans="1:3" ht="14.4" customHeight="1" x14ac:dyDescent="0.3">
      <c r="A6" s="115" t="str">
        <f t="shared" si="0"/>
        <v>HI Graf</v>
      </c>
      <c r="B6" s="65" t="s">
        <v>81</v>
      </c>
      <c r="C6" s="42" t="s">
        <v>89</v>
      </c>
    </row>
    <row r="7" spans="1:3" ht="14.4" customHeight="1" x14ac:dyDescent="0.3">
      <c r="A7" s="115" t="str">
        <f t="shared" si="0"/>
        <v>Man Tab</v>
      </c>
      <c r="B7" s="65" t="s">
        <v>208</v>
      </c>
      <c r="C7" s="42" t="s">
        <v>90</v>
      </c>
    </row>
    <row r="8" spans="1:3" ht="14.4" customHeight="1" thickBot="1" x14ac:dyDescent="0.35">
      <c r="A8" s="116" t="str">
        <f t="shared" si="0"/>
        <v>HV</v>
      </c>
      <c r="B8" s="66" t="s">
        <v>38</v>
      </c>
      <c r="C8" s="42" t="s">
        <v>43</v>
      </c>
    </row>
    <row r="9" spans="1:3" ht="14.4" customHeight="1" thickBot="1" x14ac:dyDescent="0.35">
      <c r="A9" s="67"/>
      <c r="B9" s="67"/>
    </row>
    <row r="10" spans="1:3" ht="14.4" customHeight="1" thickBot="1" x14ac:dyDescent="0.35">
      <c r="A10" s="300" t="s">
        <v>86</v>
      </c>
      <c r="B10" s="299"/>
    </row>
    <row r="11" spans="1:3" ht="14.4" customHeight="1" x14ac:dyDescent="0.3">
      <c r="A11" s="117" t="str">
        <f t="shared" ref="A11" si="1">HYPERLINK("#'"&amp;C11&amp;"'!A1",C11)</f>
        <v>Léky Žádanky</v>
      </c>
      <c r="B11" s="64" t="s">
        <v>104</v>
      </c>
      <c r="C11" s="42" t="s">
        <v>91</v>
      </c>
    </row>
    <row r="12" spans="1:3" ht="14.4" customHeight="1" x14ac:dyDescent="0.3">
      <c r="A12" s="115" t="str">
        <f t="shared" ref="A12:A14" si="2">HYPERLINK("#'"&amp;C12&amp;"'!A1",C12)</f>
        <v>LŽ Statim</v>
      </c>
      <c r="B12" s="256" t="s">
        <v>157</v>
      </c>
      <c r="C12" s="42" t="s">
        <v>167</v>
      </c>
    </row>
    <row r="13" spans="1:3" ht="14.4" customHeight="1" x14ac:dyDescent="0.3">
      <c r="A13" s="117" t="str">
        <f t="shared" ref="A13" si="3">HYPERLINK("#'"&amp;C13&amp;"'!A1",C13)</f>
        <v>Materiál Žádanky</v>
      </c>
      <c r="B13" s="65" t="s">
        <v>105</v>
      </c>
      <c r="C13" s="42" t="s">
        <v>92</v>
      </c>
    </row>
    <row r="14" spans="1:3" ht="14.4" customHeight="1" thickBot="1" x14ac:dyDescent="0.35">
      <c r="A14" s="117" t="str">
        <f t="shared" si="2"/>
        <v>Osobní náklady</v>
      </c>
      <c r="B14" s="65" t="s">
        <v>83</v>
      </c>
      <c r="C14" s="42" t="s">
        <v>93</v>
      </c>
    </row>
    <row r="15" spans="1:3" ht="14.4" customHeight="1" thickBot="1" x14ac:dyDescent="0.35">
      <c r="A15" s="68"/>
      <c r="B15" s="68"/>
    </row>
    <row r="16" spans="1:3" ht="14.4" customHeight="1" thickBot="1" x14ac:dyDescent="0.35">
      <c r="A16" s="301" t="s">
        <v>87</v>
      </c>
      <c r="B16" s="299"/>
    </row>
    <row r="17" spans="1:3" ht="14.4" customHeight="1" x14ac:dyDescent="0.3">
      <c r="A17" s="118" t="str">
        <f t="shared" ref="A17:A22" si="4">HYPERLINK("#'"&amp;C17&amp;"'!A1",C17)</f>
        <v>ZV Vykáz.-A</v>
      </c>
      <c r="B17" s="64" t="s">
        <v>332</v>
      </c>
      <c r="C17" s="42" t="s">
        <v>96</v>
      </c>
    </row>
    <row r="18" spans="1:3" ht="14.4" customHeight="1" x14ac:dyDescent="0.3">
      <c r="A18" s="115" t="str">
        <f t="shared" ref="A18" si="5">HYPERLINK("#'"&amp;C18&amp;"'!A1",C18)</f>
        <v>ZV Vykáz.-A Lékaři</v>
      </c>
      <c r="B18" s="65" t="s">
        <v>338</v>
      </c>
      <c r="C18" s="42" t="s">
        <v>170</v>
      </c>
    </row>
    <row r="19" spans="1:3" ht="14.4" customHeight="1" x14ac:dyDescent="0.3">
      <c r="A19" s="115" t="str">
        <f t="shared" si="4"/>
        <v>ZV Vykáz.-A Detail</v>
      </c>
      <c r="B19" s="65" t="s">
        <v>358</v>
      </c>
      <c r="C19" s="42" t="s">
        <v>97</v>
      </c>
    </row>
    <row r="20" spans="1:3" ht="14.4" customHeight="1" x14ac:dyDescent="0.3">
      <c r="A20" s="270" t="str">
        <f>HYPERLINK("#'"&amp;C20&amp;"'!A1",C20)</f>
        <v>ZV Vykáz.-A Det.Lék.</v>
      </c>
      <c r="B20" s="65" t="s">
        <v>359</v>
      </c>
      <c r="C20" s="42" t="s">
        <v>195</v>
      </c>
    </row>
    <row r="21" spans="1:3" ht="14.4" customHeight="1" x14ac:dyDescent="0.3">
      <c r="A21" s="115" t="str">
        <f t="shared" si="4"/>
        <v>ZV Vykáz.-H</v>
      </c>
      <c r="B21" s="65" t="s">
        <v>100</v>
      </c>
      <c r="C21" s="42" t="s">
        <v>98</v>
      </c>
    </row>
    <row r="22" spans="1:3" ht="14.4" customHeight="1" x14ac:dyDescent="0.3">
      <c r="A22" s="115" t="str">
        <f t="shared" si="4"/>
        <v>ZV Vykáz.-H Detail</v>
      </c>
      <c r="B22" s="65" t="s">
        <v>389</v>
      </c>
      <c r="C22" s="42" t="s">
        <v>99</v>
      </c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5" ht="18.600000000000001" thickBot="1" x14ac:dyDescent="0.4">
      <c r="A1" s="344" t="s">
        <v>83</v>
      </c>
      <c r="B1" s="344"/>
      <c r="C1" s="295"/>
      <c r="D1" s="295"/>
      <c r="E1" s="273"/>
    </row>
    <row r="2" spans="1:5" ht="15" thickBot="1" x14ac:dyDescent="0.35">
      <c r="A2" s="196" t="s">
        <v>206</v>
      </c>
      <c r="B2" s="197"/>
      <c r="C2" s="197"/>
      <c r="D2" s="197"/>
      <c r="E2" s="273"/>
    </row>
    <row r="3" spans="1:5" x14ac:dyDescent="0.3">
      <c r="A3" s="213" t="s">
        <v>148</v>
      </c>
      <c r="B3" s="342" t="s">
        <v>132</v>
      </c>
      <c r="C3" s="198">
        <v>30</v>
      </c>
      <c r="D3" s="216">
        <v>523</v>
      </c>
      <c r="E3" s="273"/>
    </row>
    <row r="4" spans="1:5" ht="24.6" outlineLevel="1" thickBot="1" x14ac:dyDescent="0.35">
      <c r="A4" s="214">
        <v>2017</v>
      </c>
      <c r="B4" s="343"/>
      <c r="C4" s="199" t="s">
        <v>150</v>
      </c>
      <c r="D4" s="217" t="s">
        <v>155</v>
      </c>
      <c r="E4" s="273"/>
    </row>
    <row r="5" spans="1:5" x14ac:dyDescent="0.3">
      <c r="A5" s="200" t="s">
        <v>133</v>
      </c>
      <c r="B5" s="228"/>
      <c r="C5" s="229"/>
      <c r="D5" s="229"/>
      <c r="E5" s="273"/>
    </row>
    <row r="6" spans="1:5" ht="15" collapsed="1" thickBot="1" x14ac:dyDescent="0.35">
      <c r="A6" s="201" t="s">
        <v>50</v>
      </c>
      <c r="B6" s="230">
        <f xml:space="preserve">
TRUNC(IF($A$4&lt;=12,SUMIFS('ON Data'!F:F,'ON Data'!$D:$D,$A$4,'ON Data'!$E:$E,1),SUMIFS('ON Data'!F:F,'ON Data'!$E:$E,1)/'ON Data'!$D$3),1)</f>
        <v>4.3</v>
      </c>
      <c r="C6" s="231">
        <f xml:space="preserve">
TRUNC(IF($A$4&lt;=12,SUMIFS('ON Data'!I:I,'ON Data'!$D:$D,$A$4,'ON Data'!$E:$E,1),SUMIFS('ON Data'!I:I,'ON Data'!$E:$E,1)/'ON Data'!$D$3),1)</f>
        <v>0</v>
      </c>
      <c r="D6" s="231">
        <f xml:space="preserve">
TRUNC(IF($A$4&lt;=12,SUMIFS('ON Data'!AI:AI,'ON Data'!$D:$D,$A$4,'ON Data'!$E:$E,1),SUMIFS('ON Data'!AI:AI,'ON Data'!$E:$E,1)/'ON Data'!$D$3),1)</f>
        <v>4.3</v>
      </c>
      <c r="E6" s="273"/>
    </row>
    <row r="7" spans="1:5" ht="15" hidden="1" outlineLevel="1" thickBot="1" x14ac:dyDescent="0.35">
      <c r="A7" s="201" t="s">
        <v>84</v>
      </c>
      <c r="B7" s="230"/>
      <c r="C7" s="231"/>
      <c r="D7" s="231"/>
      <c r="E7" s="273"/>
    </row>
    <row r="8" spans="1:5" ht="15" hidden="1" outlineLevel="1" thickBot="1" x14ac:dyDescent="0.35">
      <c r="A8" s="201" t="s">
        <v>52</v>
      </c>
      <c r="B8" s="230"/>
      <c r="C8" s="231"/>
      <c r="D8" s="231"/>
      <c r="E8" s="273"/>
    </row>
    <row r="9" spans="1:5" ht="15" hidden="1" outlineLevel="1" thickBot="1" x14ac:dyDescent="0.35">
      <c r="A9" s="202" t="s">
        <v>45</v>
      </c>
      <c r="B9" s="232"/>
      <c r="C9" s="233"/>
      <c r="D9" s="233"/>
      <c r="E9" s="273"/>
    </row>
    <row r="10" spans="1:5" x14ac:dyDescent="0.3">
      <c r="A10" s="203" t="s">
        <v>134</v>
      </c>
      <c r="B10" s="218"/>
      <c r="C10" s="219"/>
      <c r="D10" s="219"/>
      <c r="E10" s="273"/>
    </row>
    <row r="11" spans="1:5" x14ac:dyDescent="0.3">
      <c r="A11" s="204" t="s">
        <v>135</v>
      </c>
      <c r="B11" s="220">
        <f xml:space="preserve">
IF($A$4&lt;=12,SUMIFS('ON Data'!F:F,'ON Data'!$D:$D,$A$4,'ON Data'!$E:$E,2),SUMIFS('ON Data'!F:F,'ON Data'!$E:$E,2))</f>
        <v>5592</v>
      </c>
      <c r="C11" s="221">
        <f xml:space="preserve">
IF($A$4&lt;=12,SUMIFS('ON Data'!I:I,'ON Data'!$D:$D,$A$4,'ON Data'!$E:$E,2),SUMIFS('ON Data'!I:I,'ON Data'!$E:$E,2))</f>
        <v>0</v>
      </c>
      <c r="D11" s="221">
        <f xml:space="preserve">
IF($A$4&lt;=12,SUMIFS('ON Data'!AI:AI,'ON Data'!$D:$D,$A$4,'ON Data'!$E:$E,2),SUMIFS('ON Data'!AI:AI,'ON Data'!$E:$E,2))</f>
        <v>5592</v>
      </c>
      <c r="E11" s="273"/>
    </row>
    <row r="12" spans="1:5" x14ac:dyDescent="0.3">
      <c r="A12" s="204" t="s">
        <v>136</v>
      </c>
      <c r="B12" s="220">
        <f xml:space="preserve">
IF($A$4&lt;=12,SUMIFS('ON Data'!F:F,'ON Data'!$D:$D,$A$4,'ON Data'!$E:$E,3),SUMIFS('ON Data'!F:F,'ON Data'!$E:$E,3))</f>
        <v>0</v>
      </c>
      <c r="C12" s="221">
        <f xml:space="preserve">
IF($A$4&lt;=12,SUMIFS('ON Data'!I:I,'ON Data'!$D:$D,$A$4,'ON Data'!$E:$E,3),SUMIFS('ON Data'!I:I,'ON Data'!$E:$E,3))</f>
        <v>0</v>
      </c>
      <c r="D12" s="221">
        <f xml:space="preserve">
IF($A$4&lt;=12,SUMIFS('ON Data'!AI:AI,'ON Data'!$D:$D,$A$4,'ON Data'!$E:$E,3),SUMIFS('ON Data'!AI:AI,'ON Data'!$E:$E,3))</f>
        <v>0</v>
      </c>
      <c r="E12" s="273"/>
    </row>
    <row r="13" spans="1:5" x14ac:dyDescent="0.3">
      <c r="A13" s="204" t="s">
        <v>143</v>
      </c>
      <c r="B13" s="220">
        <f xml:space="preserve">
IF($A$4&lt;=12,SUMIFS('ON Data'!F:F,'ON Data'!$D:$D,$A$4,'ON Data'!$E:$E,4),SUMIFS('ON Data'!F:F,'ON Data'!$E:$E,4))</f>
        <v>0</v>
      </c>
      <c r="C13" s="221">
        <f xml:space="preserve">
IF($A$4&lt;=12,SUMIFS('ON Data'!I:I,'ON Data'!$D:$D,$A$4,'ON Data'!$E:$E,4),SUMIFS('ON Data'!I:I,'ON Data'!$E:$E,4))</f>
        <v>0</v>
      </c>
      <c r="D13" s="221">
        <f xml:space="preserve">
IF($A$4&lt;=12,SUMIFS('ON Data'!AI:AI,'ON Data'!$D:$D,$A$4,'ON Data'!$E:$E,4),SUMIFS('ON Data'!AI:AI,'ON Data'!$E:$E,4))</f>
        <v>0</v>
      </c>
      <c r="E13" s="273"/>
    </row>
    <row r="14" spans="1:5" ht="15" thickBot="1" x14ac:dyDescent="0.35">
      <c r="A14" s="205" t="s">
        <v>137</v>
      </c>
      <c r="B14" s="222">
        <f xml:space="preserve">
IF($A$4&lt;=12,SUMIFS('ON Data'!F:F,'ON Data'!$D:$D,$A$4,'ON Data'!$E:$E,5),SUMIFS('ON Data'!F:F,'ON Data'!$E:$E,5))</f>
        <v>0</v>
      </c>
      <c r="C14" s="223">
        <f xml:space="preserve">
IF($A$4&lt;=12,SUMIFS('ON Data'!I:I,'ON Data'!$D:$D,$A$4,'ON Data'!$E:$E,5),SUMIFS('ON Data'!I:I,'ON Data'!$E:$E,5))</f>
        <v>0</v>
      </c>
      <c r="D14" s="223">
        <f xml:space="preserve">
IF($A$4&lt;=12,SUMIFS('ON Data'!AI:AI,'ON Data'!$D:$D,$A$4,'ON Data'!$E:$E,5),SUMIFS('ON Data'!AI:AI,'ON Data'!$E:$E,5))</f>
        <v>0</v>
      </c>
      <c r="E14" s="273"/>
    </row>
    <row r="15" spans="1:5" x14ac:dyDescent="0.3">
      <c r="A15" s="131" t="s">
        <v>147</v>
      </c>
      <c r="B15" s="224"/>
      <c r="C15" s="225"/>
      <c r="D15" s="225"/>
      <c r="E15" s="273"/>
    </row>
    <row r="16" spans="1:5" x14ac:dyDescent="0.3">
      <c r="A16" s="206" t="s">
        <v>138</v>
      </c>
      <c r="B16" s="220">
        <f xml:space="preserve">
IF($A$4&lt;=12,SUMIFS('ON Data'!F:F,'ON Data'!$D:$D,$A$4,'ON Data'!$E:$E,7),SUMIFS('ON Data'!F:F,'ON Data'!$E:$E,7))</f>
        <v>0</v>
      </c>
      <c r="C16" s="221">
        <f xml:space="preserve">
IF($A$4&lt;=12,SUMIFS('ON Data'!I:I,'ON Data'!$D:$D,$A$4,'ON Data'!$E:$E,7),SUMIFS('ON Data'!I:I,'ON Data'!$E:$E,7))</f>
        <v>0</v>
      </c>
      <c r="D16" s="221">
        <f xml:space="preserve">
IF($A$4&lt;=12,SUMIFS('ON Data'!AI:AI,'ON Data'!$D:$D,$A$4,'ON Data'!$E:$E,7),SUMIFS('ON Data'!AI:AI,'ON Data'!$E:$E,7))</f>
        <v>0</v>
      </c>
      <c r="E16" s="273"/>
    </row>
    <row r="17" spans="1:46" x14ac:dyDescent="0.3">
      <c r="A17" s="206" t="s">
        <v>139</v>
      </c>
      <c r="B17" s="220">
        <f xml:space="preserve">
IF($A$4&lt;=12,SUMIFS('ON Data'!F:F,'ON Data'!$D:$D,$A$4,'ON Data'!$E:$E,8),SUMIFS('ON Data'!F:F,'ON Data'!$E:$E,8))</f>
        <v>0</v>
      </c>
      <c r="C17" s="221">
        <f xml:space="preserve">
IF($A$4&lt;=12,SUMIFS('ON Data'!I:I,'ON Data'!$D:$D,$A$4,'ON Data'!$E:$E,8),SUMIFS('ON Data'!I:I,'ON Data'!$E:$E,8))</f>
        <v>0</v>
      </c>
      <c r="D17" s="221">
        <f xml:space="preserve">
IF($A$4&lt;=12,SUMIFS('ON Data'!AI:AI,'ON Data'!$D:$D,$A$4,'ON Data'!$E:$E,8),SUMIFS('ON Data'!AI:AI,'ON Data'!$E:$E,8))</f>
        <v>0</v>
      </c>
      <c r="E17" s="273"/>
    </row>
    <row r="18" spans="1:46" x14ac:dyDescent="0.3">
      <c r="A18" s="206" t="s">
        <v>140</v>
      </c>
      <c r="B18" s="220">
        <f xml:space="preserve">
B19-B16-B17</f>
        <v>83848</v>
      </c>
      <c r="C18" s="221">
        <f t="shared" ref="C18:D18" si="0" xml:space="preserve">
C19-C16-C17</f>
        <v>0</v>
      </c>
      <c r="D18" s="221">
        <f t="shared" si="0"/>
        <v>83848</v>
      </c>
      <c r="E18" s="273"/>
    </row>
    <row r="19" spans="1:46" ht="15" thickBot="1" x14ac:dyDescent="0.35">
      <c r="A19" s="207" t="s">
        <v>141</v>
      </c>
      <c r="B19" s="226">
        <f xml:space="preserve">
IF($A$4&lt;=12,SUMIFS('ON Data'!F:F,'ON Data'!$D:$D,$A$4,'ON Data'!$E:$E,9),SUMIFS('ON Data'!F:F,'ON Data'!$E:$E,9))</f>
        <v>83848</v>
      </c>
      <c r="C19" s="227">
        <f xml:space="preserve">
IF($A$4&lt;=12,SUMIFS('ON Data'!I:I,'ON Data'!$D:$D,$A$4,'ON Data'!$E:$E,9),SUMIFS('ON Data'!I:I,'ON Data'!$E:$E,9))</f>
        <v>0</v>
      </c>
      <c r="D19" s="227">
        <f xml:space="preserve">
IF($A$4&lt;=12,SUMIFS('ON Data'!AI:AI,'ON Data'!$D:$D,$A$4,'ON Data'!$E:$E,9),SUMIFS('ON Data'!AI:AI,'ON Data'!$E:$E,9))</f>
        <v>83848</v>
      </c>
      <c r="E19" s="273"/>
    </row>
    <row r="20" spans="1:46" ht="15" collapsed="1" thickBot="1" x14ac:dyDescent="0.35">
      <c r="A20" s="208" t="s">
        <v>50</v>
      </c>
      <c r="B20" s="296">
        <f xml:space="preserve">
IF($A$4&lt;=12,SUMIFS('ON Data'!F:F,'ON Data'!$D:$D,$A$4,'ON Data'!$E:$E,6),SUMIFS('ON Data'!F:F,'ON Data'!$E:$E,6))</f>
        <v>1607065</v>
      </c>
      <c r="C20" s="297">
        <f xml:space="preserve">
IF($A$4&lt;=12,SUMIFS('ON Data'!I:I,'ON Data'!$D:$D,$A$4,'ON Data'!$E:$E,6),SUMIFS('ON Data'!I:I,'ON Data'!$E:$E,6))</f>
        <v>22324</v>
      </c>
      <c r="D20" s="297">
        <f xml:space="preserve">
IF($A$4&lt;=12,SUMIFS('ON Data'!AI:AI,'ON Data'!$D:$D,$A$4,'ON Data'!$E:$E,6),SUMIFS('ON Data'!AI:AI,'ON Data'!$E:$E,6))</f>
        <v>1584741</v>
      </c>
      <c r="E20" s="273"/>
    </row>
    <row r="21" spans="1:46" ht="15" hidden="1" outlineLevel="1" thickBot="1" x14ac:dyDescent="0.35">
      <c r="A21" s="201" t="s">
        <v>84</v>
      </c>
      <c r="B21" s="292">
        <f xml:space="preserve">
IF($A$4&lt;=12,SUMIFS('ON Data'!F:F,'ON Data'!$D:$D,$A$4,'ON Data'!$E:$E,12),SUMIFS('ON Data'!F:F,'ON Data'!$E:$E,12))</f>
        <v>0</v>
      </c>
      <c r="C21" s="278"/>
      <c r="D21" s="278">
        <f xml:space="preserve">
IF($A$4&lt;=12,SUMIFS('ON Data'!AI:AI,'ON Data'!$D:$D,$A$4,'ON Data'!$E:$E,12),SUMIFS('ON Data'!AI:AI,'ON Data'!$E:$E,12))</f>
        <v>0</v>
      </c>
      <c r="E21" s="273"/>
    </row>
    <row r="22" spans="1:46" ht="15" hidden="1" outlineLevel="1" thickBot="1" x14ac:dyDescent="0.35">
      <c r="A22" s="201" t="s">
        <v>52</v>
      </c>
      <c r="B22" s="293" t="str">
        <f xml:space="preserve">
IF(OR(B21="",B21=0),"",B20/B21)</f>
        <v/>
      </c>
      <c r="C22" s="264"/>
      <c r="D22" s="264" t="str">
        <f t="shared" ref="D22" si="1" xml:space="preserve">
IF(OR(D21="",D21=0),"",D20/D21)</f>
        <v/>
      </c>
      <c r="E22" s="273"/>
    </row>
    <row r="23" spans="1:46" ht="15" hidden="1" outlineLevel="1" thickBot="1" x14ac:dyDescent="0.35">
      <c r="A23" s="209" t="s">
        <v>45</v>
      </c>
      <c r="B23" s="294">
        <f xml:space="preserve">
IF(B21="","",B20-B21)</f>
        <v>1607065</v>
      </c>
      <c r="C23" s="223"/>
      <c r="D23" s="223">
        <f t="shared" ref="D23" si="2" xml:space="preserve">
IF(D21="","",D20-D21)</f>
        <v>1584741</v>
      </c>
      <c r="E23" s="273"/>
    </row>
    <row r="24" spans="1:46" x14ac:dyDescent="0.3">
      <c r="A24" s="203" t="s">
        <v>142</v>
      </c>
      <c r="B24" s="238" t="s">
        <v>3</v>
      </c>
      <c r="C24" s="289" t="s">
        <v>203</v>
      </c>
      <c r="D24" s="290" t="s">
        <v>204</v>
      </c>
      <c r="E24" s="290" t="s">
        <v>205</v>
      </c>
      <c r="F24" s="291" t="s">
        <v>153</v>
      </c>
      <c r="AT24" s="273"/>
    </row>
    <row r="25" spans="1:46" x14ac:dyDescent="0.3">
      <c r="A25" s="204" t="s">
        <v>50</v>
      </c>
      <c r="B25" s="220">
        <f xml:space="preserve">
SUM(C25:F25)</f>
        <v>1500</v>
      </c>
      <c r="C25" s="280">
        <f xml:space="preserve">
IF($A$4&lt;=12,SUMIFS('ON Data'!$G:$G,'ON Data'!$D:$D,$A$4,'ON Data'!$E:$E,10),SUMIFS('ON Data'!$G:$G,'ON Data'!$E:$E,10))</f>
        <v>0</v>
      </c>
      <c r="D25" s="281">
        <f xml:space="preserve">
IF($A$4&lt;=12,SUMIFS('ON Data'!$J:$J,'ON Data'!$D:$D,$A$4,'ON Data'!$E:$E,10),SUMIFS('ON Data'!$J:$J,'ON Data'!$E:$E,10))</f>
        <v>1500</v>
      </c>
      <c r="E25" s="281">
        <f xml:space="preserve">
IF($A$4&lt;=12,SUMIFS('ON Data'!$H:$H,'ON Data'!$D:$D,$A$4,'ON Data'!$E:$E,10),SUMIFS('ON Data'!$H:$H,'ON Data'!$E:$E,10))</f>
        <v>0</v>
      </c>
      <c r="F25" s="282">
        <f xml:space="preserve">
IF($A$4&lt;=12,SUMIFS('ON Data'!$I:$I,'ON Data'!$D:$D,$A$4,'ON Data'!$E:$E,10),SUMIFS('ON Data'!$I:$I,'ON Data'!$E:$E,10))</f>
        <v>0</v>
      </c>
    </row>
    <row r="26" spans="1:46" x14ac:dyDescent="0.3">
      <c r="A26" s="210" t="s">
        <v>152</v>
      </c>
      <c r="B26" s="226">
        <f xml:space="preserve">
SUM(C26:F26)</f>
        <v>8333.3333333333339</v>
      </c>
      <c r="C26" s="280">
        <f xml:space="preserve">
IF($A$4&lt;=12,SUMIFS('ON Data'!$G:$G,'ON Data'!$D:$D,$A$4,'ON Data'!$E:$E,11),SUMIFS('ON Data'!$G:$G,'ON Data'!$E:$E,11))</f>
        <v>0</v>
      </c>
      <c r="D26" s="281">
        <f xml:space="preserve">
IF($A$4&lt;=12,SUMIFS('ON Data'!$J:$J,'ON Data'!$D:$D,$A$4,'ON Data'!$E:$E,11),SUMIFS('ON Data'!$J:$J,'ON Data'!$E:$E,11))</f>
        <v>8333.3333333333339</v>
      </c>
      <c r="E26" s="281">
        <f xml:space="preserve">
IF($A$4&lt;=12,SUMIFS('ON Data'!$H:$H,'ON Data'!$D:$D,$A$4,'ON Data'!$E:$E,11),SUMIFS('ON Data'!$H:$H,'ON Data'!$E:$E,11))</f>
        <v>0</v>
      </c>
      <c r="F26" s="282">
        <f xml:space="preserve">
IF($A$4&lt;=12,SUMIFS('ON Data'!$I:$I,'ON Data'!$D:$D,$A$4,'ON Data'!$E:$E,11),SUMIFS('ON Data'!$I:$I,'ON Data'!$E:$E,11))</f>
        <v>0</v>
      </c>
    </row>
    <row r="27" spans="1:46" x14ac:dyDescent="0.3">
      <c r="A27" s="210" t="s">
        <v>52</v>
      </c>
      <c r="B27" s="239">
        <f xml:space="preserve">
IF(B26=0,0,B25/B26)</f>
        <v>0.18</v>
      </c>
      <c r="C27" s="283">
        <f xml:space="preserve">
IF(C26=0,0,C25/C26)</f>
        <v>0</v>
      </c>
      <c r="D27" s="284">
        <f t="shared" ref="D27:E27" si="3" xml:space="preserve">
IF(D26=0,0,D25/D26)</f>
        <v>0.18</v>
      </c>
      <c r="E27" s="284">
        <f t="shared" si="3"/>
        <v>0</v>
      </c>
      <c r="F27" s="285">
        <f xml:space="preserve">
IF(F26=0,0,F25/F26)</f>
        <v>0</v>
      </c>
    </row>
    <row r="28" spans="1:46" ht="15" thickBot="1" x14ac:dyDescent="0.35">
      <c r="A28" s="210" t="s">
        <v>151</v>
      </c>
      <c r="B28" s="226">
        <f xml:space="preserve">
SUM(C28:F28)</f>
        <v>6833.3333333333339</v>
      </c>
      <c r="C28" s="286">
        <f xml:space="preserve">
C26-C25</f>
        <v>0</v>
      </c>
      <c r="D28" s="287">
        <f t="shared" ref="D28:E28" si="4" xml:space="preserve">
D26-D25</f>
        <v>6833.3333333333339</v>
      </c>
      <c r="E28" s="287">
        <f t="shared" si="4"/>
        <v>0</v>
      </c>
      <c r="F28" s="288">
        <f xml:space="preserve">
F26-F25</f>
        <v>0</v>
      </c>
      <c r="G28" s="273"/>
      <c r="H28" s="273"/>
      <c r="I28" s="273"/>
      <c r="J28" s="273"/>
      <c r="K28" s="273"/>
      <c r="L28" s="273"/>
      <c r="M28" s="273"/>
      <c r="N28" s="273"/>
      <c r="O28" s="273"/>
      <c r="P28" s="273"/>
      <c r="Q28" s="273"/>
      <c r="R28" s="273"/>
      <c r="S28" s="273"/>
      <c r="T28" s="273"/>
      <c r="U28" s="273"/>
      <c r="V28" s="273"/>
      <c r="W28" s="273"/>
      <c r="X28" s="273"/>
      <c r="Y28" s="273"/>
      <c r="Z28" s="273"/>
      <c r="AA28" s="273"/>
      <c r="AB28" s="273"/>
      <c r="AC28" s="273"/>
      <c r="AD28" s="273"/>
      <c r="AE28" s="273"/>
      <c r="AF28" s="273"/>
      <c r="AG28" s="273"/>
      <c r="AH28" s="273"/>
      <c r="AI28" s="273"/>
      <c r="AJ28" s="273"/>
      <c r="AK28" s="273"/>
      <c r="AL28" s="273"/>
      <c r="AM28" s="273"/>
      <c r="AN28" s="273"/>
      <c r="AO28" s="273"/>
      <c r="AP28" s="273"/>
      <c r="AQ28" s="273"/>
      <c r="AR28" s="273"/>
      <c r="AS28" s="273"/>
    </row>
    <row r="29" spans="1:46" x14ac:dyDescent="0.3">
      <c r="A29" s="211"/>
      <c r="B29" s="211"/>
      <c r="C29" s="212"/>
      <c r="D29" s="211"/>
      <c r="E29" s="211"/>
      <c r="F29" s="211"/>
      <c r="G29" s="279"/>
      <c r="H29" s="279"/>
      <c r="I29" s="279"/>
      <c r="J29" s="279"/>
      <c r="K29" s="279"/>
      <c r="L29" s="279"/>
      <c r="M29" s="279"/>
      <c r="N29" s="279"/>
      <c r="O29" s="279"/>
      <c r="P29" s="279"/>
      <c r="Q29" s="279"/>
      <c r="R29" s="279"/>
      <c r="S29" s="279"/>
      <c r="T29" s="279"/>
      <c r="U29" s="279"/>
      <c r="V29" s="279"/>
      <c r="W29" s="279"/>
      <c r="X29" s="279"/>
      <c r="Y29" s="279"/>
      <c r="Z29" s="279"/>
      <c r="AA29" s="279"/>
      <c r="AB29" s="279"/>
      <c r="AC29" s="279"/>
      <c r="AD29" s="279"/>
      <c r="AE29" s="279"/>
      <c r="AF29" s="279"/>
      <c r="AG29" s="279"/>
      <c r="AH29" s="279"/>
      <c r="AI29" s="123"/>
      <c r="AJ29" s="123"/>
      <c r="AK29" s="123"/>
      <c r="AL29" s="123"/>
      <c r="AM29" s="123"/>
    </row>
    <row r="30" spans="1:46" x14ac:dyDescent="0.3">
      <c r="A30" s="85" t="s">
        <v>115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19"/>
      <c r="AL30" s="119"/>
      <c r="AM30" s="119"/>
    </row>
    <row r="31" spans="1:46" x14ac:dyDescent="0.3">
      <c r="A31" s="86" t="s">
        <v>149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19"/>
      <c r="AL31" s="119"/>
      <c r="AM31" s="119"/>
    </row>
    <row r="32" spans="1:46" ht="14.4" customHeight="1" x14ac:dyDescent="0.3">
      <c r="A32" s="235" t="s">
        <v>146</v>
      </c>
      <c r="B32" s="236"/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6"/>
      <c r="AH32" s="236"/>
      <c r="AI32" s="236"/>
      <c r="AJ32" s="236"/>
    </row>
    <row r="33" spans="1:1" x14ac:dyDescent="0.3">
      <c r="A33" s="237" t="s">
        <v>199</v>
      </c>
    </row>
    <row r="34" spans="1:1" x14ac:dyDescent="0.3">
      <c r="A34" s="237" t="s">
        <v>200</v>
      </c>
    </row>
    <row r="35" spans="1:1" x14ac:dyDescent="0.3">
      <c r="A35" s="237" t="s">
        <v>201</v>
      </c>
    </row>
    <row r="36" spans="1:1" x14ac:dyDescent="0.3">
      <c r="A36" s="237" t="s">
        <v>202</v>
      </c>
    </row>
    <row r="37" spans="1:1" x14ac:dyDescent="0.3">
      <c r="A37" s="237" t="s">
        <v>154</v>
      </c>
    </row>
  </sheetData>
  <mergeCells count="2">
    <mergeCell ref="B3:B4"/>
    <mergeCell ref="A1:B1"/>
  </mergeCells>
  <conditionalFormatting sqref="C27">
    <cfRule type="cellIs" dxfId="10" priority="17" operator="greaterThan">
      <formula>1</formula>
    </cfRule>
  </conditionalFormatting>
  <conditionalFormatting sqref="C28">
    <cfRule type="cellIs" dxfId="9" priority="16" operator="lessThan">
      <formula>0</formula>
    </cfRule>
  </conditionalFormatting>
  <conditionalFormatting sqref="B22:D22">
    <cfRule type="cellIs" dxfId="8" priority="15" operator="greaterThan">
      <formula>1</formula>
    </cfRule>
  </conditionalFormatting>
  <conditionalFormatting sqref="B23:D23">
    <cfRule type="cellIs" dxfId="7" priority="14" operator="greaterThan">
      <formula>0</formula>
    </cfRule>
  </conditionalFormatting>
  <conditionalFormatting sqref="F27">
    <cfRule type="cellIs" dxfId="6" priority="9" operator="greaterThan">
      <formula>1</formula>
    </cfRule>
  </conditionalFormatting>
  <conditionalFormatting sqref="F28">
    <cfRule type="cellIs" dxfId="5" priority="8" operator="lessThan">
      <formula>0</formula>
    </cfRule>
  </conditionalFormatting>
  <conditionalFormatting sqref="E28">
    <cfRule type="cellIs" dxfId="4" priority="1" operator="lessThan">
      <formula>0</formula>
    </cfRule>
  </conditionalFormatting>
  <conditionalFormatting sqref="D28">
    <cfRule type="cellIs" dxfId="3" priority="3" operator="lessThan">
      <formula>0</formula>
    </cfRule>
  </conditionalFormatting>
  <conditionalFormatting sqref="D27">
    <cfRule type="cellIs" dxfId="2" priority="4" operator="greaterThan">
      <formula>1</formula>
    </cfRule>
  </conditionalFormatting>
  <conditionalFormatting sqref="E27">
    <cfRule type="cellIs" dxfId="1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35"/>
  <sheetViews>
    <sheetView showGridLines="0" workbookViewId="0"/>
  </sheetViews>
  <sheetFormatPr defaultRowHeight="14.4" x14ac:dyDescent="0.3"/>
  <cols>
    <col min="1" max="16384" width="8.88671875" style="192"/>
  </cols>
  <sheetData>
    <row r="1" spans="1:49" x14ac:dyDescent="0.3">
      <c r="A1" s="192" t="s">
        <v>329</v>
      </c>
    </row>
    <row r="2" spans="1:49" x14ac:dyDescent="0.3">
      <c r="A2" s="196" t="s">
        <v>206</v>
      </c>
    </row>
    <row r="3" spans="1:49" x14ac:dyDescent="0.3">
      <c r="A3" s="192" t="s">
        <v>119</v>
      </c>
      <c r="B3" s="215">
        <v>2017</v>
      </c>
      <c r="D3" s="193">
        <f>MAX(D5:D1048576)</f>
        <v>8</v>
      </c>
      <c r="F3" s="193">
        <f>SUMIF($E5:$E1048576,"&lt;10",F5:F1048576)</f>
        <v>1696540</v>
      </c>
      <c r="G3" s="193">
        <f t="shared" ref="G3:AW3" si="0">SUMIF($E5:$E1048576,"&lt;10",G5:G1048576)</f>
        <v>0</v>
      </c>
      <c r="H3" s="193">
        <f t="shared" si="0"/>
        <v>0</v>
      </c>
      <c r="I3" s="193">
        <f t="shared" si="0"/>
        <v>22324</v>
      </c>
      <c r="J3" s="193">
        <f t="shared" si="0"/>
        <v>0</v>
      </c>
      <c r="K3" s="193">
        <f t="shared" si="0"/>
        <v>0</v>
      </c>
      <c r="L3" s="193">
        <f t="shared" si="0"/>
        <v>0</v>
      </c>
      <c r="M3" s="193">
        <f t="shared" si="0"/>
        <v>0</v>
      </c>
      <c r="N3" s="193">
        <f t="shared" si="0"/>
        <v>0</v>
      </c>
      <c r="O3" s="193">
        <f t="shared" si="0"/>
        <v>0</v>
      </c>
      <c r="P3" s="193">
        <f t="shared" si="0"/>
        <v>0</v>
      </c>
      <c r="Q3" s="193">
        <f t="shared" si="0"/>
        <v>0</v>
      </c>
      <c r="R3" s="193">
        <f t="shared" si="0"/>
        <v>0</v>
      </c>
      <c r="S3" s="193">
        <f t="shared" si="0"/>
        <v>0</v>
      </c>
      <c r="T3" s="193">
        <f t="shared" si="0"/>
        <v>0</v>
      </c>
      <c r="U3" s="193">
        <f t="shared" si="0"/>
        <v>0</v>
      </c>
      <c r="V3" s="193">
        <f t="shared" si="0"/>
        <v>0</v>
      </c>
      <c r="W3" s="193">
        <f t="shared" si="0"/>
        <v>0</v>
      </c>
      <c r="X3" s="193">
        <f t="shared" si="0"/>
        <v>0</v>
      </c>
      <c r="Y3" s="193">
        <f t="shared" si="0"/>
        <v>0</v>
      </c>
      <c r="Z3" s="193">
        <f t="shared" si="0"/>
        <v>0</v>
      </c>
      <c r="AA3" s="193">
        <f t="shared" si="0"/>
        <v>0</v>
      </c>
      <c r="AB3" s="193">
        <f t="shared" si="0"/>
        <v>0</v>
      </c>
      <c r="AC3" s="193">
        <f t="shared" si="0"/>
        <v>0</v>
      </c>
      <c r="AD3" s="193">
        <f t="shared" si="0"/>
        <v>0</v>
      </c>
      <c r="AE3" s="193">
        <f t="shared" si="0"/>
        <v>0</v>
      </c>
      <c r="AF3" s="193">
        <f t="shared" si="0"/>
        <v>0</v>
      </c>
      <c r="AG3" s="193">
        <f t="shared" si="0"/>
        <v>0</v>
      </c>
      <c r="AH3" s="193">
        <f t="shared" si="0"/>
        <v>0</v>
      </c>
      <c r="AI3" s="193">
        <f t="shared" si="0"/>
        <v>1674216</v>
      </c>
      <c r="AJ3" s="193">
        <f t="shared" si="0"/>
        <v>0</v>
      </c>
      <c r="AK3" s="193">
        <f t="shared" si="0"/>
        <v>0</v>
      </c>
      <c r="AL3" s="193">
        <f t="shared" si="0"/>
        <v>0</v>
      </c>
      <c r="AM3" s="193">
        <f t="shared" si="0"/>
        <v>0</v>
      </c>
      <c r="AN3" s="193">
        <f t="shared" si="0"/>
        <v>0</v>
      </c>
      <c r="AO3" s="193">
        <f t="shared" si="0"/>
        <v>0</v>
      </c>
      <c r="AP3" s="193">
        <f t="shared" si="0"/>
        <v>0</v>
      </c>
      <c r="AQ3" s="193">
        <f t="shared" si="0"/>
        <v>0</v>
      </c>
      <c r="AR3" s="193">
        <f t="shared" si="0"/>
        <v>0</v>
      </c>
      <c r="AS3" s="193">
        <f t="shared" si="0"/>
        <v>0</v>
      </c>
      <c r="AT3" s="193">
        <f t="shared" si="0"/>
        <v>0</v>
      </c>
      <c r="AU3" s="193">
        <f t="shared" si="0"/>
        <v>0</v>
      </c>
      <c r="AV3" s="193">
        <f t="shared" si="0"/>
        <v>0</v>
      </c>
      <c r="AW3" s="193">
        <f t="shared" si="0"/>
        <v>0</v>
      </c>
    </row>
    <row r="4" spans="1:49" x14ac:dyDescent="0.3">
      <c r="A4" s="192" t="s">
        <v>120</v>
      </c>
      <c r="B4" s="215">
        <v>1</v>
      </c>
      <c r="C4" s="194" t="s">
        <v>4</v>
      </c>
      <c r="D4" s="195" t="s">
        <v>44</v>
      </c>
      <c r="E4" s="195" t="s">
        <v>118</v>
      </c>
      <c r="F4" s="195" t="s">
        <v>3</v>
      </c>
      <c r="G4" s="195">
        <v>0</v>
      </c>
      <c r="H4" s="195">
        <v>25</v>
      </c>
      <c r="I4" s="195">
        <v>30</v>
      </c>
      <c r="J4" s="195">
        <v>99</v>
      </c>
      <c r="K4" s="195">
        <v>100</v>
      </c>
      <c r="L4" s="195">
        <v>101</v>
      </c>
      <c r="M4" s="195">
        <v>102</v>
      </c>
      <c r="N4" s="195">
        <v>103</v>
      </c>
      <c r="O4" s="195">
        <v>203</v>
      </c>
      <c r="P4" s="195">
        <v>302</v>
      </c>
      <c r="Q4" s="195">
        <v>303</v>
      </c>
      <c r="R4" s="195">
        <v>304</v>
      </c>
      <c r="S4" s="195">
        <v>305</v>
      </c>
      <c r="T4" s="195">
        <v>306</v>
      </c>
      <c r="U4" s="195">
        <v>407</v>
      </c>
      <c r="V4" s="195">
        <v>408</v>
      </c>
      <c r="W4" s="195">
        <v>409</v>
      </c>
      <c r="X4" s="195">
        <v>410</v>
      </c>
      <c r="Y4" s="195">
        <v>415</v>
      </c>
      <c r="Z4" s="195">
        <v>416</v>
      </c>
      <c r="AA4" s="195">
        <v>418</v>
      </c>
      <c r="AB4" s="195">
        <v>419</v>
      </c>
      <c r="AC4" s="195">
        <v>420</v>
      </c>
      <c r="AD4" s="195">
        <v>421</v>
      </c>
      <c r="AE4" s="195">
        <v>422</v>
      </c>
      <c r="AF4" s="195">
        <v>520</v>
      </c>
      <c r="AG4" s="195">
        <v>521</v>
      </c>
      <c r="AH4" s="195">
        <v>522</v>
      </c>
      <c r="AI4" s="195">
        <v>523</v>
      </c>
      <c r="AJ4" s="195">
        <v>524</v>
      </c>
      <c r="AK4" s="195">
        <v>525</v>
      </c>
      <c r="AL4" s="195">
        <v>526</v>
      </c>
      <c r="AM4" s="195">
        <v>527</v>
      </c>
      <c r="AN4" s="195">
        <v>528</v>
      </c>
      <c r="AO4" s="195">
        <v>629</v>
      </c>
      <c r="AP4" s="195">
        <v>630</v>
      </c>
      <c r="AQ4" s="195">
        <v>636</v>
      </c>
      <c r="AR4" s="195">
        <v>637</v>
      </c>
      <c r="AS4" s="195">
        <v>640</v>
      </c>
      <c r="AT4" s="195">
        <v>642</v>
      </c>
      <c r="AU4" s="195">
        <v>743</v>
      </c>
      <c r="AV4" s="195">
        <v>745</v>
      </c>
      <c r="AW4" s="195">
        <v>746</v>
      </c>
    </row>
    <row r="5" spans="1:49" x14ac:dyDescent="0.3">
      <c r="A5" s="192" t="s">
        <v>121</v>
      </c>
      <c r="B5" s="215">
        <v>2</v>
      </c>
      <c r="C5" s="192">
        <v>36</v>
      </c>
      <c r="D5" s="192">
        <v>1</v>
      </c>
      <c r="E5" s="192">
        <v>1</v>
      </c>
      <c r="F5" s="192">
        <v>5</v>
      </c>
      <c r="G5" s="192">
        <v>0</v>
      </c>
      <c r="H5" s="192">
        <v>0</v>
      </c>
      <c r="I5" s="192">
        <v>0</v>
      </c>
      <c r="J5" s="192">
        <v>0</v>
      </c>
      <c r="K5" s="192">
        <v>0</v>
      </c>
      <c r="L5" s="192">
        <v>0</v>
      </c>
      <c r="M5" s="192">
        <v>0</v>
      </c>
      <c r="N5" s="192">
        <v>0</v>
      </c>
      <c r="O5" s="192">
        <v>0</v>
      </c>
      <c r="P5" s="192">
        <v>0</v>
      </c>
      <c r="Q5" s="192">
        <v>0</v>
      </c>
      <c r="R5" s="192">
        <v>0</v>
      </c>
      <c r="S5" s="192">
        <v>0</v>
      </c>
      <c r="T5" s="192">
        <v>0</v>
      </c>
      <c r="U5" s="192">
        <v>0</v>
      </c>
      <c r="V5" s="192">
        <v>0</v>
      </c>
      <c r="W5" s="192">
        <v>0</v>
      </c>
      <c r="X5" s="192">
        <v>0</v>
      </c>
      <c r="Y5" s="192">
        <v>0</v>
      </c>
      <c r="Z5" s="192">
        <v>0</v>
      </c>
      <c r="AA5" s="192">
        <v>0</v>
      </c>
      <c r="AB5" s="192">
        <v>0</v>
      </c>
      <c r="AC5" s="192">
        <v>0</v>
      </c>
      <c r="AD5" s="192">
        <v>0</v>
      </c>
      <c r="AE5" s="192">
        <v>0</v>
      </c>
      <c r="AF5" s="192">
        <v>0</v>
      </c>
      <c r="AG5" s="192">
        <v>0</v>
      </c>
      <c r="AH5" s="192">
        <v>0</v>
      </c>
      <c r="AI5" s="192">
        <v>5</v>
      </c>
      <c r="AJ5" s="192">
        <v>0</v>
      </c>
      <c r="AK5" s="192">
        <v>0</v>
      </c>
      <c r="AL5" s="192">
        <v>0</v>
      </c>
      <c r="AM5" s="192">
        <v>0</v>
      </c>
      <c r="AN5" s="192">
        <v>0</v>
      </c>
      <c r="AO5" s="192">
        <v>0</v>
      </c>
      <c r="AP5" s="192">
        <v>0</v>
      </c>
      <c r="AQ5" s="192">
        <v>0</v>
      </c>
      <c r="AR5" s="192">
        <v>0</v>
      </c>
      <c r="AS5" s="192">
        <v>0</v>
      </c>
      <c r="AT5" s="192">
        <v>0</v>
      </c>
      <c r="AU5" s="192">
        <v>0</v>
      </c>
      <c r="AV5" s="192">
        <v>0</v>
      </c>
      <c r="AW5" s="192">
        <v>0</v>
      </c>
    </row>
    <row r="6" spans="1:49" x14ac:dyDescent="0.3">
      <c r="A6" s="192" t="s">
        <v>122</v>
      </c>
      <c r="B6" s="215">
        <v>3</v>
      </c>
      <c r="C6" s="192">
        <v>36</v>
      </c>
      <c r="D6" s="192">
        <v>1</v>
      </c>
      <c r="E6" s="192">
        <v>2</v>
      </c>
      <c r="F6" s="192">
        <v>840</v>
      </c>
      <c r="G6" s="192">
        <v>0</v>
      </c>
      <c r="H6" s="192">
        <v>0</v>
      </c>
      <c r="I6" s="192">
        <v>0</v>
      </c>
      <c r="J6" s="192">
        <v>0</v>
      </c>
      <c r="K6" s="192">
        <v>0</v>
      </c>
      <c r="L6" s="192">
        <v>0</v>
      </c>
      <c r="M6" s="192">
        <v>0</v>
      </c>
      <c r="N6" s="192">
        <v>0</v>
      </c>
      <c r="O6" s="192">
        <v>0</v>
      </c>
      <c r="P6" s="192">
        <v>0</v>
      </c>
      <c r="Q6" s="192">
        <v>0</v>
      </c>
      <c r="R6" s="192">
        <v>0</v>
      </c>
      <c r="S6" s="192">
        <v>0</v>
      </c>
      <c r="T6" s="192">
        <v>0</v>
      </c>
      <c r="U6" s="192">
        <v>0</v>
      </c>
      <c r="V6" s="192">
        <v>0</v>
      </c>
      <c r="W6" s="192">
        <v>0</v>
      </c>
      <c r="X6" s="192">
        <v>0</v>
      </c>
      <c r="Y6" s="192">
        <v>0</v>
      </c>
      <c r="Z6" s="192">
        <v>0</v>
      </c>
      <c r="AA6" s="192">
        <v>0</v>
      </c>
      <c r="AB6" s="192">
        <v>0</v>
      </c>
      <c r="AC6" s="192">
        <v>0</v>
      </c>
      <c r="AD6" s="192">
        <v>0</v>
      </c>
      <c r="AE6" s="192">
        <v>0</v>
      </c>
      <c r="AF6" s="192">
        <v>0</v>
      </c>
      <c r="AG6" s="192">
        <v>0</v>
      </c>
      <c r="AH6" s="192">
        <v>0</v>
      </c>
      <c r="AI6" s="192">
        <v>840</v>
      </c>
      <c r="AJ6" s="192">
        <v>0</v>
      </c>
      <c r="AK6" s="192">
        <v>0</v>
      </c>
      <c r="AL6" s="192">
        <v>0</v>
      </c>
      <c r="AM6" s="192">
        <v>0</v>
      </c>
      <c r="AN6" s="192">
        <v>0</v>
      </c>
      <c r="AO6" s="192">
        <v>0</v>
      </c>
      <c r="AP6" s="192">
        <v>0</v>
      </c>
      <c r="AQ6" s="192">
        <v>0</v>
      </c>
      <c r="AR6" s="192">
        <v>0</v>
      </c>
      <c r="AS6" s="192">
        <v>0</v>
      </c>
      <c r="AT6" s="192">
        <v>0</v>
      </c>
      <c r="AU6" s="192">
        <v>0</v>
      </c>
      <c r="AV6" s="192">
        <v>0</v>
      </c>
      <c r="AW6" s="192">
        <v>0</v>
      </c>
    </row>
    <row r="7" spans="1:49" x14ac:dyDescent="0.3">
      <c r="A7" s="192" t="s">
        <v>123</v>
      </c>
      <c r="B7" s="215">
        <v>4</v>
      </c>
      <c r="C7" s="192">
        <v>36</v>
      </c>
      <c r="D7" s="192">
        <v>1</v>
      </c>
      <c r="E7" s="192">
        <v>6</v>
      </c>
      <c r="F7" s="192">
        <v>219721</v>
      </c>
      <c r="G7" s="192">
        <v>0</v>
      </c>
      <c r="H7" s="192">
        <v>0</v>
      </c>
      <c r="I7" s="192">
        <v>3528</v>
      </c>
      <c r="J7" s="192">
        <v>0</v>
      </c>
      <c r="K7" s="192">
        <v>0</v>
      </c>
      <c r="L7" s="192">
        <v>0</v>
      </c>
      <c r="M7" s="192">
        <v>0</v>
      </c>
      <c r="N7" s="192">
        <v>0</v>
      </c>
      <c r="O7" s="192">
        <v>0</v>
      </c>
      <c r="P7" s="192">
        <v>0</v>
      </c>
      <c r="Q7" s="192">
        <v>0</v>
      </c>
      <c r="R7" s="192">
        <v>0</v>
      </c>
      <c r="S7" s="192">
        <v>0</v>
      </c>
      <c r="T7" s="192">
        <v>0</v>
      </c>
      <c r="U7" s="192">
        <v>0</v>
      </c>
      <c r="V7" s="192">
        <v>0</v>
      </c>
      <c r="W7" s="192">
        <v>0</v>
      </c>
      <c r="X7" s="192">
        <v>0</v>
      </c>
      <c r="Y7" s="192">
        <v>0</v>
      </c>
      <c r="Z7" s="192">
        <v>0</v>
      </c>
      <c r="AA7" s="192">
        <v>0</v>
      </c>
      <c r="AB7" s="192">
        <v>0</v>
      </c>
      <c r="AC7" s="192">
        <v>0</v>
      </c>
      <c r="AD7" s="192">
        <v>0</v>
      </c>
      <c r="AE7" s="192">
        <v>0</v>
      </c>
      <c r="AF7" s="192">
        <v>0</v>
      </c>
      <c r="AG7" s="192">
        <v>0</v>
      </c>
      <c r="AH7" s="192">
        <v>0</v>
      </c>
      <c r="AI7" s="192">
        <v>216193</v>
      </c>
      <c r="AJ7" s="192">
        <v>0</v>
      </c>
      <c r="AK7" s="192">
        <v>0</v>
      </c>
      <c r="AL7" s="192">
        <v>0</v>
      </c>
      <c r="AM7" s="192">
        <v>0</v>
      </c>
      <c r="AN7" s="192">
        <v>0</v>
      </c>
      <c r="AO7" s="192">
        <v>0</v>
      </c>
      <c r="AP7" s="192">
        <v>0</v>
      </c>
      <c r="AQ7" s="192">
        <v>0</v>
      </c>
      <c r="AR7" s="192">
        <v>0</v>
      </c>
      <c r="AS7" s="192">
        <v>0</v>
      </c>
      <c r="AT7" s="192">
        <v>0</v>
      </c>
      <c r="AU7" s="192">
        <v>0</v>
      </c>
      <c r="AV7" s="192">
        <v>0</v>
      </c>
      <c r="AW7" s="192">
        <v>0</v>
      </c>
    </row>
    <row r="8" spans="1:49" x14ac:dyDescent="0.3">
      <c r="A8" s="192" t="s">
        <v>124</v>
      </c>
      <c r="B8" s="215">
        <v>5</v>
      </c>
      <c r="C8" s="192">
        <v>36</v>
      </c>
      <c r="D8" s="192">
        <v>1</v>
      </c>
      <c r="E8" s="192">
        <v>10</v>
      </c>
      <c r="F8" s="192">
        <v>1500</v>
      </c>
      <c r="G8" s="192">
        <v>0</v>
      </c>
      <c r="H8" s="192">
        <v>0</v>
      </c>
      <c r="I8" s="192">
        <v>0</v>
      </c>
      <c r="J8" s="192">
        <v>1500</v>
      </c>
      <c r="K8" s="192">
        <v>0</v>
      </c>
      <c r="L8" s="192">
        <v>0</v>
      </c>
      <c r="M8" s="192">
        <v>0</v>
      </c>
      <c r="N8" s="192">
        <v>0</v>
      </c>
      <c r="O8" s="192">
        <v>0</v>
      </c>
      <c r="P8" s="192">
        <v>0</v>
      </c>
      <c r="Q8" s="192">
        <v>0</v>
      </c>
      <c r="R8" s="192">
        <v>0</v>
      </c>
      <c r="S8" s="192">
        <v>0</v>
      </c>
      <c r="T8" s="192">
        <v>0</v>
      </c>
      <c r="U8" s="192">
        <v>0</v>
      </c>
      <c r="V8" s="192">
        <v>0</v>
      </c>
      <c r="W8" s="192">
        <v>0</v>
      </c>
      <c r="X8" s="192">
        <v>0</v>
      </c>
      <c r="Y8" s="192">
        <v>0</v>
      </c>
      <c r="Z8" s="192">
        <v>0</v>
      </c>
      <c r="AA8" s="192">
        <v>0</v>
      </c>
      <c r="AB8" s="192">
        <v>0</v>
      </c>
      <c r="AC8" s="192">
        <v>0</v>
      </c>
      <c r="AD8" s="192">
        <v>0</v>
      </c>
      <c r="AE8" s="192">
        <v>0</v>
      </c>
      <c r="AF8" s="192">
        <v>0</v>
      </c>
      <c r="AG8" s="192">
        <v>0</v>
      </c>
      <c r="AH8" s="192">
        <v>0</v>
      </c>
      <c r="AI8" s="192">
        <v>0</v>
      </c>
      <c r="AJ8" s="192">
        <v>0</v>
      </c>
      <c r="AK8" s="192">
        <v>0</v>
      </c>
      <c r="AL8" s="192">
        <v>0</v>
      </c>
      <c r="AM8" s="192">
        <v>0</v>
      </c>
      <c r="AN8" s="192">
        <v>0</v>
      </c>
      <c r="AO8" s="192">
        <v>0</v>
      </c>
      <c r="AP8" s="192">
        <v>0</v>
      </c>
      <c r="AQ8" s="192">
        <v>0</v>
      </c>
      <c r="AR8" s="192">
        <v>0</v>
      </c>
      <c r="AS8" s="192">
        <v>0</v>
      </c>
      <c r="AT8" s="192">
        <v>0</v>
      </c>
      <c r="AU8" s="192">
        <v>0</v>
      </c>
      <c r="AV8" s="192">
        <v>0</v>
      </c>
      <c r="AW8" s="192">
        <v>0</v>
      </c>
    </row>
    <row r="9" spans="1:49" x14ac:dyDescent="0.3">
      <c r="A9" s="192" t="s">
        <v>125</v>
      </c>
      <c r="B9" s="215">
        <v>6</v>
      </c>
      <c r="C9" s="192">
        <v>36</v>
      </c>
      <c r="D9" s="192">
        <v>1</v>
      </c>
      <c r="E9" s="192">
        <v>11</v>
      </c>
      <c r="F9" s="192">
        <v>1041.6666666666667</v>
      </c>
      <c r="G9" s="192">
        <v>0</v>
      </c>
      <c r="H9" s="192">
        <v>0</v>
      </c>
      <c r="I9" s="192">
        <v>0</v>
      </c>
      <c r="J9" s="192">
        <v>1041.6666666666667</v>
      </c>
      <c r="K9" s="192">
        <v>0</v>
      </c>
      <c r="L9" s="192">
        <v>0</v>
      </c>
      <c r="M9" s="192">
        <v>0</v>
      </c>
      <c r="N9" s="192">
        <v>0</v>
      </c>
      <c r="O9" s="192">
        <v>0</v>
      </c>
      <c r="P9" s="192">
        <v>0</v>
      </c>
      <c r="Q9" s="192">
        <v>0</v>
      </c>
      <c r="R9" s="192">
        <v>0</v>
      </c>
      <c r="S9" s="192">
        <v>0</v>
      </c>
      <c r="T9" s="192">
        <v>0</v>
      </c>
      <c r="U9" s="192">
        <v>0</v>
      </c>
      <c r="V9" s="192">
        <v>0</v>
      </c>
      <c r="W9" s="192">
        <v>0</v>
      </c>
      <c r="X9" s="192">
        <v>0</v>
      </c>
      <c r="Y9" s="192">
        <v>0</v>
      </c>
      <c r="Z9" s="192">
        <v>0</v>
      </c>
      <c r="AA9" s="192">
        <v>0</v>
      </c>
      <c r="AB9" s="192">
        <v>0</v>
      </c>
      <c r="AC9" s="192">
        <v>0</v>
      </c>
      <c r="AD9" s="192">
        <v>0</v>
      </c>
      <c r="AE9" s="192">
        <v>0</v>
      </c>
      <c r="AF9" s="192">
        <v>0</v>
      </c>
      <c r="AG9" s="192">
        <v>0</v>
      </c>
      <c r="AH9" s="192">
        <v>0</v>
      </c>
      <c r="AI9" s="192">
        <v>0</v>
      </c>
      <c r="AJ9" s="192">
        <v>0</v>
      </c>
      <c r="AK9" s="192">
        <v>0</v>
      </c>
      <c r="AL9" s="192">
        <v>0</v>
      </c>
      <c r="AM9" s="192">
        <v>0</v>
      </c>
      <c r="AN9" s="192">
        <v>0</v>
      </c>
      <c r="AO9" s="192">
        <v>0</v>
      </c>
      <c r="AP9" s="192">
        <v>0</v>
      </c>
      <c r="AQ9" s="192">
        <v>0</v>
      </c>
      <c r="AR9" s="192">
        <v>0</v>
      </c>
      <c r="AS9" s="192">
        <v>0</v>
      </c>
      <c r="AT9" s="192">
        <v>0</v>
      </c>
      <c r="AU9" s="192">
        <v>0</v>
      </c>
      <c r="AV9" s="192">
        <v>0</v>
      </c>
      <c r="AW9" s="192">
        <v>0</v>
      </c>
    </row>
    <row r="10" spans="1:49" x14ac:dyDescent="0.3">
      <c r="A10" s="192" t="s">
        <v>126</v>
      </c>
      <c r="B10" s="215">
        <v>7</v>
      </c>
      <c r="C10" s="192">
        <v>36</v>
      </c>
      <c r="D10" s="192">
        <v>2</v>
      </c>
      <c r="E10" s="192">
        <v>1</v>
      </c>
      <c r="F10" s="192">
        <v>5</v>
      </c>
      <c r="G10" s="192">
        <v>0</v>
      </c>
      <c r="H10" s="192">
        <v>0</v>
      </c>
      <c r="I10" s="192">
        <v>0</v>
      </c>
      <c r="J10" s="192">
        <v>0</v>
      </c>
      <c r="K10" s="192">
        <v>0</v>
      </c>
      <c r="L10" s="192">
        <v>0</v>
      </c>
      <c r="M10" s="192">
        <v>0</v>
      </c>
      <c r="N10" s="192">
        <v>0</v>
      </c>
      <c r="O10" s="192">
        <v>0</v>
      </c>
      <c r="P10" s="192">
        <v>0</v>
      </c>
      <c r="Q10" s="192">
        <v>0</v>
      </c>
      <c r="R10" s="192">
        <v>0</v>
      </c>
      <c r="S10" s="192">
        <v>0</v>
      </c>
      <c r="T10" s="192">
        <v>0</v>
      </c>
      <c r="U10" s="192">
        <v>0</v>
      </c>
      <c r="V10" s="192">
        <v>0</v>
      </c>
      <c r="W10" s="192">
        <v>0</v>
      </c>
      <c r="X10" s="192">
        <v>0</v>
      </c>
      <c r="Y10" s="192">
        <v>0</v>
      </c>
      <c r="Z10" s="192">
        <v>0</v>
      </c>
      <c r="AA10" s="192">
        <v>0</v>
      </c>
      <c r="AB10" s="192">
        <v>0</v>
      </c>
      <c r="AC10" s="192">
        <v>0</v>
      </c>
      <c r="AD10" s="192">
        <v>0</v>
      </c>
      <c r="AE10" s="192">
        <v>0</v>
      </c>
      <c r="AF10" s="192">
        <v>0</v>
      </c>
      <c r="AG10" s="192">
        <v>0</v>
      </c>
      <c r="AH10" s="192">
        <v>0</v>
      </c>
      <c r="AI10" s="192">
        <v>5</v>
      </c>
      <c r="AJ10" s="192">
        <v>0</v>
      </c>
      <c r="AK10" s="192">
        <v>0</v>
      </c>
      <c r="AL10" s="192">
        <v>0</v>
      </c>
      <c r="AM10" s="192">
        <v>0</v>
      </c>
      <c r="AN10" s="192">
        <v>0</v>
      </c>
      <c r="AO10" s="192">
        <v>0</v>
      </c>
      <c r="AP10" s="192">
        <v>0</v>
      </c>
      <c r="AQ10" s="192">
        <v>0</v>
      </c>
      <c r="AR10" s="192">
        <v>0</v>
      </c>
      <c r="AS10" s="192">
        <v>0</v>
      </c>
      <c r="AT10" s="192">
        <v>0</v>
      </c>
      <c r="AU10" s="192">
        <v>0</v>
      </c>
      <c r="AV10" s="192">
        <v>0</v>
      </c>
      <c r="AW10" s="192">
        <v>0</v>
      </c>
    </row>
    <row r="11" spans="1:49" x14ac:dyDescent="0.3">
      <c r="A11" s="192" t="s">
        <v>127</v>
      </c>
      <c r="B11" s="215">
        <v>8</v>
      </c>
      <c r="C11" s="192">
        <v>36</v>
      </c>
      <c r="D11" s="192">
        <v>2</v>
      </c>
      <c r="E11" s="192">
        <v>2</v>
      </c>
      <c r="F11" s="192">
        <v>768</v>
      </c>
      <c r="G11" s="192">
        <v>0</v>
      </c>
      <c r="H11" s="192">
        <v>0</v>
      </c>
      <c r="I11" s="192">
        <v>0</v>
      </c>
      <c r="J11" s="192">
        <v>0</v>
      </c>
      <c r="K11" s="192">
        <v>0</v>
      </c>
      <c r="L11" s="192">
        <v>0</v>
      </c>
      <c r="M11" s="192">
        <v>0</v>
      </c>
      <c r="N11" s="192">
        <v>0</v>
      </c>
      <c r="O11" s="192">
        <v>0</v>
      </c>
      <c r="P11" s="192">
        <v>0</v>
      </c>
      <c r="Q11" s="192">
        <v>0</v>
      </c>
      <c r="R11" s="192">
        <v>0</v>
      </c>
      <c r="S11" s="192">
        <v>0</v>
      </c>
      <c r="T11" s="192">
        <v>0</v>
      </c>
      <c r="U11" s="192">
        <v>0</v>
      </c>
      <c r="V11" s="192">
        <v>0</v>
      </c>
      <c r="W11" s="192">
        <v>0</v>
      </c>
      <c r="X11" s="192">
        <v>0</v>
      </c>
      <c r="Y11" s="192">
        <v>0</v>
      </c>
      <c r="Z11" s="192">
        <v>0</v>
      </c>
      <c r="AA11" s="192">
        <v>0</v>
      </c>
      <c r="AB11" s="192">
        <v>0</v>
      </c>
      <c r="AC11" s="192">
        <v>0</v>
      </c>
      <c r="AD11" s="192">
        <v>0</v>
      </c>
      <c r="AE11" s="192">
        <v>0</v>
      </c>
      <c r="AF11" s="192">
        <v>0</v>
      </c>
      <c r="AG11" s="192">
        <v>0</v>
      </c>
      <c r="AH11" s="192">
        <v>0</v>
      </c>
      <c r="AI11" s="192">
        <v>768</v>
      </c>
      <c r="AJ11" s="192">
        <v>0</v>
      </c>
      <c r="AK11" s="192">
        <v>0</v>
      </c>
      <c r="AL11" s="192">
        <v>0</v>
      </c>
      <c r="AM11" s="192">
        <v>0</v>
      </c>
      <c r="AN11" s="192">
        <v>0</v>
      </c>
      <c r="AO11" s="192">
        <v>0</v>
      </c>
      <c r="AP11" s="192">
        <v>0</v>
      </c>
      <c r="AQ11" s="192">
        <v>0</v>
      </c>
      <c r="AR11" s="192">
        <v>0</v>
      </c>
      <c r="AS11" s="192">
        <v>0</v>
      </c>
      <c r="AT11" s="192">
        <v>0</v>
      </c>
      <c r="AU11" s="192">
        <v>0</v>
      </c>
      <c r="AV11" s="192">
        <v>0</v>
      </c>
      <c r="AW11" s="192">
        <v>0</v>
      </c>
    </row>
    <row r="12" spans="1:49" x14ac:dyDescent="0.3">
      <c r="A12" s="192" t="s">
        <v>128</v>
      </c>
      <c r="B12" s="215">
        <v>9</v>
      </c>
      <c r="C12" s="192">
        <v>36</v>
      </c>
      <c r="D12" s="192">
        <v>2</v>
      </c>
      <c r="E12" s="192">
        <v>6</v>
      </c>
      <c r="F12" s="192">
        <v>216682</v>
      </c>
      <c r="G12" s="192">
        <v>0</v>
      </c>
      <c r="H12" s="192">
        <v>0</v>
      </c>
      <c r="I12" s="192">
        <v>3327</v>
      </c>
      <c r="J12" s="192">
        <v>0</v>
      </c>
      <c r="K12" s="192">
        <v>0</v>
      </c>
      <c r="L12" s="192">
        <v>0</v>
      </c>
      <c r="M12" s="192">
        <v>0</v>
      </c>
      <c r="N12" s="192">
        <v>0</v>
      </c>
      <c r="O12" s="192">
        <v>0</v>
      </c>
      <c r="P12" s="192">
        <v>0</v>
      </c>
      <c r="Q12" s="192">
        <v>0</v>
      </c>
      <c r="R12" s="192">
        <v>0</v>
      </c>
      <c r="S12" s="192">
        <v>0</v>
      </c>
      <c r="T12" s="192">
        <v>0</v>
      </c>
      <c r="U12" s="192">
        <v>0</v>
      </c>
      <c r="V12" s="192">
        <v>0</v>
      </c>
      <c r="W12" s="192">
        <v>0</v>
      </c>
      <c r="X12" s="192">
        <v>0</v>
      </c>
      <c r="Y12" s="192">
        <v>0</v>
      </c>
      <c r="Z12" s="192">
        <v>0</v>
      </c>
      <c r="AA12" s="192">
        <v>0</v>
      </c>
      <c r="AB12" s="192">
        <v>0</v>
      </c>
      <c r="AC12" s="192">
        <v>0</v>
      </c>
      <c r="AD12" s="192">
        <v>0</v>
      </c>
      <c r="AE12" s="192">
        <v>0</v>
      </c>
      <c r="AF12" s="192">
        <v>0</v>
      </c>
      <c r="AG12" s="192">
        <v>0</v>
      </c>
      <c r="AH12" s="192">
        <v>0</v>
      </c>
      <c r="AI12" s="192">
        <v>213355</v>
      </c>
      <c r="AJ12" s="192">
        <v>0</v>
      </c>
      <c r="AK12" s="192">
        <v>0</v>
      </c>
      <c r="AL12" s="192">
        <v>0</v>
      </c>
      <c r="AM12" s="192">
        <v>0</v>
      </c>
      <c r="AN12" s="192">
        <v>0</v>
      </c>
      <c r="AO12" s="192">
        <v>0</v>
      </c>
      <c r="AP12" s="192">
        <v>0</v>
      </c>
      <c r="AQ12" s="192">
        <v>0</v>
      </c>
      <c r="AR12" s="192">
        <v>0</v>
      </c>
      <c r="AS12" s="192">
        <v>0</v>
      </c>
      <c r="AT12" s="192">
        <v>0</v>
      </c>
      <c r="AU12" s="192">
        <v>0</v>
      </c>
      <c r="AV12" s="192">
        <v>0</v>
      </c>
      <c r="AW12" s="192">
        <v>0</v>
      </c>
    </row>
    <row r="13" spans="1:49" x14ac:dyDescent="0.3">
      <c r="A13" s="192" t="s">
        <v>129</v>
      </c>
      <c r="B13" s="215">
        <v>10</v>
      </c>
      <c r="C13" s="192">
        <v>36</v>
      </c>
      <c r="D13" s="192">
        <v>2</v>
      </c>
      <c r="E13" s="192">
        <v>11</v>
      </c>
      <c r="F13" s="192">
        <v>1041.6666666666667</v>
      </c>
      <c r="G13" s="192">
        <v>0</v>
      </c>
      <c r="H13" s="192">
        <v>0</v>
      </c>
      <c r="I13" s="192">
        <v>0</v>
      </c>
      <c r="J13" s="192">
        <v>1041.6666666666667</v>
      </c>
      <c r="K13" s="192">
        <v>0</v>
      </c>
      <c r="L13" s="192">
        <v>0</v>
      </c>
      <c r="M13" s="192">
        <v>0</v>
      </c>
      <c r="N13" s="192">
        <v>0</v>
      </c>
      <c r="O13" s="192">
        <v>0</v>
      </c>
      <c r="P13" s="192">
        <v>0</v>
      </c>
      <c r="Q13" s="192">
        <v>0</v>
      </c>
      <c r="R13" s="192">
        <v>0</v>
      </c>
      <c r="S13" s="192">
        <v>0</v>
      </c>
      <c r="T13" s="192">
        <v>0</v>
      </c>
      <c r="U13" s="192">
        <v>0</v>
      </c>
      <c r="V13" s="192">
        <v>0</v>
      </c>
      <c r="W13" s="192">
        <v>0</v>
      </c>
      <c r="X13" s="192">
        <v>0</v>
      </c>
      <c r="Y13" s="192">
        <v>0</v>
      </c>
      <c r="Z13" s="192">
        <v>0</v>
      </c>
      <c r="AA13" s="192">
        <v>0</v>
      </c>
      <c r="AB13" s="192">
        <v>0</v>
      </c>
      <c r="AC13" s="192">
        <v>0</v>
      </c>
      <c r="AD13" s="192">
        <v>0</v>
      </c>
      <c r="AE13" s="192">
        <v>0</v>
      </c>
      <c r="AF13" s="192">
        <v>0</v>
      </c>
      <c r="AG13" s="192">
        <v>0</v>
      </c>
      <c r="AH13" s="192">
        <v>0</v>
      </c>
      <c r="AI13" s="192">
        <v>0</v>
      </c>
      <c r="AJ13" s="192">
        <v>0</v>
      </c>
      <c r="AK13" s="192">
        <v>0</v>
      </c>
      <c r="AL13" s="192">
        <v>0</v>
      </c>
      <c r="AM13" s="192">
        <v>0</v>
      </c>
      <c r="AN13" s="192">
        <v>0</v>
      </c>
      <c r="AO13" s="192">
        <v>0</v>
      </c>
      <c r="AP13" s="192">
        <v>0</v>
      </c>
      <c r="AQ13" s="192">
        <v>0</v>
      </c>
      <c r="AR13" s="192">
        <v>0</v>
      </c>
      <c r="AS13" s="192">
        <v>0</v>
      </c>
      <c r="AT13" s="192">
        <v>0</v>
      </c>
      <c r="AU13" s="192">
        <v>0</v>
      </c>
      <c r="AV13" s="192">
        <v>0</v>
      </c>
      <c r="AW13" s="192">
        <v>0</v>
      </c>
    </row>
    <row r="14" spans="1:49" x14ac:dyDescent="0.3">
      <c r="A14" s="192" t="s">
        <v>130</v>
      </c>
      <c r="B14" s="215">
        <v>11</v>
      </c>
      <c r="C14" s="192">
        <v>36</v>
      </c>
      <c r="D14" s="192">
        <v>3</v>
      </c>
      <c r="E14" s="192">
        <v>1</v>
      </c>
      <c r="F14" s="192">
        <v>5</v>
      </c>
      <c r="G14" s="192">
        <v>0</v>
      </c>
      <c r="H14" s="192">
        <v>0</v>
      </c>
      <c r="I14" s="192">
        <v>0</v>
      </c>
      <c r="J14" s="192">
        <v>0</v>
      </c>
      <c r="K14" s="192">
        <v>0</v>
      </c>
      <c r="L14" s="192">
        <v>0</v>
      </c>
      <c r="M14" s="192">
        <v>0</v>
      </c>
      <c r="N14" s="192">
        <v>0</v>
      </c>
      <c r="O14" s="192">
        <v>0</v>
      </c>
      <c r="P14" s="192">
        <v>0</v>
      </c>
      <c r="Q14" s="192">
        <v>0</v>
      </c>
      <c r="R14" s="192">
        <v>0</v>
      </c>
      <c r="S14" s="192">
        <v>0</v>
      </c>
      <c r="T14" s="192">
        <v>0</v>
      </c>
      <c r="U14" s="192">
        <v>0</v>
      </c>
      <c r="V14" s="192">
        <v>0</v>
      </c>
      <c r="W14" s="192">
        <v>0</v>
      </c>
      <c r="X14" s="192">
        <v>0</v>
      </c>
      <c r="Y14" s="192">
        <v>0</v>
      </c>
      <c r="Z14" s="192">
        <v>0</v>
      </c>
      <c r="AA14" s="192">
        <v>0</v>
      </c>
      <c r="AB14" s="192">
        <v>0</v>
      </c>
      <c r="AC14" s="192">
        <v>0</v>
      </c>
      <c r="AD14" s="192">
        <v>0</v>
      </c>
      <c r="AE14" s="192">
        <v>0</v>
      </c>
      <c r="AF14" s="192">
        <v>0</v>
      </c>
      <c r="AG14" s="192">
        <v>0</v>
      </c>
      <c r="AH14" s="192">
        <v>0</v>
      </c>
      <c r="AI14" s="192">
        <v>5</v>
      </c>
      <c r="AJ14" s="192">
        <v>0</v>
      </c>
      <c r="AK14" s="192">
        <v>0</v>
      </c>
      <c r="AL14" s="192">
        <v>0</v>
      </c>
      <c r="AM14" s="192">
        <v>0</v>
      </c>
      <c r="AN14" s="192">
        <v>0</v>
      </c>
      <c r="AO14" s="192">
        <v>0</v>
      </c>
      <c r="AP14" s="192">
        <v>0</v>
      </c>
      <c r="AQ14" s="192">
        <v>0</v>
      </c>
      <c r="AR14" s="192">
        <v>0</v>
      </c>
      <c r="AS14" s="192">
        <v>0</v>
      </c>
      <c r="AT14" s="192">
        <v>0</v>
      </c>
      <c r="AU14" s="192">
        <v>0</v>
      </c>
      <c r="AV14" s="192">
        <v>0</v>
      </c>
      <c r="AW14" s="192">
        <v>0</v>
      </c>
    </row>
    <row r="15" spans="1:49" x14ac:dyDescent="0.3">
      <c r="A15" s="192" t="s">
        <v>131</v>
      </c>
      <c r="B15" s="215">
        <v>12</v>
      </c>
      <c r="C15" s="192">
        <v>36</v>
      </c>
      <c r="D15" s="192">
        <v>3</v>
      </c>
      <c r="E15" s="192">
        <v>2</v>
      </c>
      <c r="F15" s="192">
        <v>872</v>
      </c>
      <c r="G15" s="192">
        <v>0</v>
      </c>
      <c r="H15" s="192">
        <v>0</v>
      </c>
      <c r="I15" s="192">
        <v>0</v>
      </c>
      <c r="J15" s="192">
        <v>0</v>
      </c>
      <c r="K15" s="192">
        <v>0</v>
      </c>
      <c r="L15" s="192">
        <v>0</v>
      </c>
      <c r="M15" s="192">
        <v>0</v>
      </c>
      <c r="N15" s="192">
        <v>0</v>
      </c>
      <c r="O15" s="192">
        <v>0</v>
      </c>
      <c r="P15" s="192">
        <v>0</v>
      </c>
      <c r="Q15" s="192">
        <v>0</v>
      </c>
      <c r="R15" s="192">
        <v>0</v>
      </c>
      <c r="S15" s="192">
        <v>0</v>
      </c>
      <c r="T15" s="192">
        <v>0</v>
      </c>
      <c r="U15" s="192">
        <v>0</v>
      </c>
      <c r="V15" s="192">
        <v>0</v>
      </c>
      <c r="W15" s="192">
        <v>0</v>
      </c>
      <c r="X15" s="192">
        <v>0</v>
      </c>
      <c r="Y15" s="192">
        <v>0</v>
      </c>
      <c r="Z15" s="192">
        <v>0</v>
      </c>
      <c r="AA15" s="192">
        <v>0</v>
      </c>
      <c r="AB15" s="192">
        <v>0</v>
      </c>
      <c r="AC15" s="192">
        <v>0</v>
      </c>
      <c r="AD15" s="192">
        <v>0</v>
      </c>
      <c r="AE15" s="192">
        <v>0</v>
      </c>
      <c r="AF15" s="192">
        <v>0</v>
      </c>
      <c r="AG15" s="192">
        <v>0</v>
      </c>
      <c r="AH15" s="192">
        <v>0</v>
      </c>
      <c r="AI15" s="192">
        <v>872</v>
      </c>
      <c r="AJ15" s="192">
        <v>0</v>
      </c>
      <c r="AK15" s="192">
        <v>0</v>
      </c>
      <c r="AL15" s="192">
        <v>0</v>
      </c>
      <c r="AM15" s="192">
        <v>0</v>
      </c>
      <c r="AN15" s="192">
        <v>0</v>
      </c>
      <c r="AO15" s="192">
        <v>0</v>
      </c>
      <c r="AP15" s="192">
        <v>0</v>
      </c>
      <c r="AQ15" s="192">
        <v>0</v>
      </c>
      <c r="AR15" s="192">
        <v>0</v>
      </c>
      <c r="AS15" s="192">
        <v>0</v>
      </c>
      <c r="AT15" s="192">
        <v>0</v>
      </c>
      <c r="AU15" s="192">
        <v>0</v>
      </c>
      <c r="AV15" s="192">
        <v>0</v>
      </c>
      <c r="AW15" s="192">
        <v>0</v>
      </c>
    </row>
    <row r="16" spans="1:49" x14ac:dyDescent="0.3">
      <c r="A16" s="192" t="s">
        <v>119</v>
      </c>
      <c r="B16" s="215">
        <v>2017</v>
      </c>
      <c r="C16" s="192">
        <v>36</v>
      </c>
      <c r="D16" s="192">
        <v>3</v>
      </c>
      <c r="E16" s="192">
        <v>6</v>
      </c>
      <c r="F16" s="192">
        <v>217858</v>
      </c>
      <c r="G16" s="192">
        <v>0</v>
      </c>
      <c r="H16" s="192">
        <v>0</v>
      </c>
      <c r="I16" s="192">
        <v>3374</v>
      </c>
      <c r="J16" s="192">
        <v>0</v>
      </c>
      <c r="K16" s="192">
        <v>0</v>
      </c>
      <c r="L16" s="192">
        <v>0</v>
      </c>
      <c r="M16" s="192">
        <v>0</v>
      </c>
      <c r="N16" s="192">
        <v>0</v>
      </c>
      <c r="O16" s="192">
        <v>0</v>
      </c>
      <c r="P16" s="192">
        <v>0</v>
      </c>
      <c r="Q16" s="192">
        <v>0</v>
      </c>
      <c r="R16" s="192">
        <v>0</v>
      </c>
      <c r="S16" s="192">
        <v>0</v>
      </c>
      <c r="T16" s="192">
        <v>0</v>
      </c>
      <c r="U16" s="192">
        <v>0</v>
      </c>
      <c r="V16" s="192">
        <v>0</v>
      </c>
      <c r="W16" s="192">
        <v>0</v>
      </c>
      <c r="X16" s="192">
        <v>0</v>
      </c>
      <c r="Y16" s="192">
        <v>0</v>
      </c>
      <c r="Z16" s="192">
        <v>0</v>
      </c>
      <c r="AA16" s="192">
        <v>0</v>
      </c>
      <c r="AB16" s="192">
        <v>0</v>
      </c>
      <c r="AC16" s="192">
        <v>0</v>
      </c>
      <c r="AD16" s="192">
        <v>0</v>
      </c>
      <c r="AE16" s="192">
        <v>0</v>
      </c>
      <c r="AF16" s="192">
        <v>0</v>
      </c>
      <c r="AG16" s="192">
        <v>0</v>
      </c>
      <c r="AH16" s="192">
        <v>0</v>
      </c>
      <c r="AI16" s="192">
        <v>214484</v>
      </c>
      <c r="AJ16" s="192">
        <v>0</v>
      </c>
      <c r="AK16" s="192">
        <v>0</v>
      </c>
      <c r="AL16" s="192">
        <v>0</v>
      </c>
      <c r="AM16" s="192">
        <v>0</v>
      </c>
      <c r="AN16" s="192">
        <v>0</v>
      </c>
      <c r="AO16" s="192">
        <v>0</v>
      </c>
      <c r="AP16" s="192">
        <v>0</v>
      </c>
      <c r="AQ16" s="192">
        <v>0</v>
      </c>
      <c r="AR16" s="192">
        <v>0</v>
      </c>
      <c r="AS16" s="192">
        <v>0</v>
      </c>
      <c r="AT16" s="192">
        <v>0</v>
      </c>
      <c r="AU16" s="192">
        <v>0</v>
      </c>
      <c r="AV16" s="192">
        <v>0</v>
      </c>
      <c r="AW16" s="192">
        <v>0</v>
      </c>
    </row>
    <row r="17" spans="3:49" x14ac:dyDescent="0.3">
      <c r="C17" s="192">
        <v>36</v>
      </c>
      <c r="D17" s="192">
        <v>3</v>
      </c>
      <c r="E17" s="192">
        <v>11</v>
      </c>
      <c r="F17" s="192">
        <v>1041.6666666666667</v>
      </c>
      <c r="G17" s="192">
        <v>0</v>
      </c>
      <c r="H17" s="192">
        <v>0</v>
      </c>
      <c r="I17" s="192">
        <v>0</v>
      </c>
      <c r="J17" s="192">
        <v>1041.6666666666667</v>
      </c>
      <c r="K17" s="192">
        <v>0</v>
      </c>
      <c r="L17" s="192">
        <v>0</v>
      </c>
      <c r="M17" s="192">
        <v>0</v>
      </c>
      <c r="N17" s="192">
        <v>0</v>
      </c>
      <c r="O17" s="192">
        <v>0</v>
      </c>
      <c r="P17" s="192">
        <v>0</v>
      </c>
      <c r="Q17" s="192">
        <v>0</v>
      </c>
      <c r="R17" s="192">
        <v>0</v>
      </c>
      <c r="S17" s="192">
        <v>0</v>
      </c>
      <c r="T17" s="192">
        <v>0</v>
      </c>
      <c r="U17" s="192">
        <v>0</v>
      </c>
      <c r="V17" s="192">
        <v>0</v>
      </c>
      <c r="W17" s="192">
        <v>0</v>
      </c>
      <c r="X17" s="192">
        <v>0</v>
      </c>
      <c r="Y17" s="192">
        <v>0</v>
      </c>
      <c r="Z17" s="192">
        <v>0</v>
      </c>
      <c r="AA17" s="192">
        <v>0</v>
      </c>
      <c r="AB17" s="192">
        <v>0</v>
      </c>
      <c r="AC17" s="192">
        <v>0</v>
      </c>
      <c r="AD17" s="192">
        <v>0</v>
      </c>
      <c r="AE17" s="192">
        <v>0</v>
      </c>
      <c r="AF17" s="192">
        <v>0</v>
      </c>
      <c r="AG17" s="192">
        <v>0</v>
      </c>
      <c r="AH17" s="192">
        <v>0</v>
      </c>
      <c r="AI17" s="192">
        <v>0</v>
      </c>
      <c r="AJ17" s="192">
        <v>0</v>
      </c>
      <c r="AK17" s="192">
        <v>0</v>
      </c>
      <c r="AL17" s="192">
        <v>0</v>
      </c>
      <c r="AM17" s="192">
        <v>0</v>
      </c>
      <c r="AN17" s="192">
        <v>0</v>
      </c>
      <c r="AO17" s="192">
        <v>0</v>
      </c>
      <c r="AP17" s="192">
        <v>0</v>
      </c>
      <c r="AQ17" s="192">
        <v>0</v>
      </c>
      <c r="AR17" s="192">
        <v>0</v>
      </c>
      <c r="AS17" s="192">
        <v>0</v>
      </c>
      <c r="AT17" s="192">
        <v>0</v>
      </c>
      <c r="AU17" s="192">
        <v>0</v>
      </c>
      <c r="AV17" s="192">
        <v>0</v>
      </c>
      <c r="AW17" s="192">
        <v>0</v>
      </c>
    </row>
    <row r="18" spans="3:49" x14ac:dyDescent="0.3">
      <c r="C18" s="192">
        <v>36</v>
      </c>
      <c r="D18" s="192">
        <v>4</v>
      </c>
      <c r="E18" s="192">
        <v>1</v>
      </c>
      <c r="F18" s="192">
        <v>5</v>
      </c>
      <c r="G18" s="192">
        <v>0</v>
      </c>
      <c r="H18" s="192">
        <v>0</v>
      </c>
      <c r="I18" s="192">
        <v>0</v>
      </c>
      <c r="J18" s="192">
        <v>0</v>
      </c>
      <c r="K18" s="192">
        <v>0</v>
      </c>
      <c r="L18" s="192">
        <v>0</v>
      </c>
      <c r="M18" s="192">
        <v>0</v>
      </c>
      <c r="N18" s="192">
        <v>0</v>
      </c>
      <c r="O18" s="192">
        <v>0</v>
      </c>
      <c r="P18" s="192">
        <v>0</v>
      </c>
      <c r="Q18" s="192">
        <v>0</v>
      </c>
      <c r="R18" s="192">
        <v>0</v>
      </c>
      <c r="S18" s="192">
        <v>0</v>
      </c>
      <c r="T18" s="192">
        <v>0</v>
      </c>
      <c r="U18" s="192">
        <v>0</v>
      </c>
      <c r="V18" s="192">
        <v>0</v>
      </c>
      <c r="W18" s="192">
        <v>0</v>
      </c>
      <c r="X18" s="192">
        <v>0</v>
      </c>
      <c r="Y18" s="192">
        <v>0</v>
      </c>
      <c r="Z18" s="192">
        <v>0</v>
      </c>
      <c r="AA18" s="192">
        <v>0</v>
      </c>
      <c r="AB18" s="192">
        <v>0</v>
      </c>
      <c r="AC18" s="192">
        <v>0</v>
      </c>
      <c r="AD18" s="192">
        <v>0</v>
      </c>
      <c r="AE18" s="192">
        <v>0</v>
      </c>
      <c r="AF18" s="192">
        <v>0</v>
      </c>
      <c r="AG18" s="192">
        <v>0</v>
      </c>
      <c r="AH18" s="192">
        <v>0</v>
      </c>
      <c r="AI18" s="192">
        <v>5</v>
      </c>
      <c r="AJ18" s="192">
        <v>0</v>
      </c>
      <c r="AK18" s="192">
        <v>0</v>
      </c>
      <c r="AL18" s="192">
        <v>0</v>
      </c>
      <c r="AM18" s="192">
        <v>0</v>
      </c>
      <c r="AN18" s="192">
        <v>0</v>
      </c>
      <c r="AO18" s="192">
        <v>0</v>
      </c>
      <c r="AP18" s="192">
        <v>0</v>
      </c>
      <c r="AQ18" s="192">
        <v>0</v>
      </c>
      <c r="AR18" s="192">
        <v>0</v>
      </c>
      <c r="AS18" s="192">
        <v>0</v>
      </c>
      <c r="AT18" s="192">
        <v>0</v>
      </c>
      <c r="AU18" s="192">
        <v>0</v>
      </c>
      <c r="AV18" s="192">
        <v>0</v>
      </c>
      <c r="AW18" s="192">
        <v>0</v>
      </c>
    </row>
    <row r="19" spans="3:49" x14ac:dyDescent="0.3">
      <c r="C19" s="192">
        <v>36</v>
      </c>
      <c r="D19" s="192">
        <v>4</v>
      </c>
      <c r="E19" s="192">
        <v>2</v>
      </c>
      <c r="F19" s="192">
        <v>752</v>
      </c>
      <c r="G19" s="192">
        <v>0</v>
      </c>
      <c r="H19" s="192">
        <v>0</v>
      </c>
      <c r="I19" s="192">
        <v>0</v>
      </c>
      <c r="J19" s="192">
        <v>0</v>
      </c>
      <c r="K19" s="192">
        <v>0</v>
      </c>
      <c r="L19" s="192">
        <v>0</v>
      </c>
      <c r="M19" s="192">
        <v>0</v>
      </c>
      <c r="N19" s="192">
        <v>0</v>
      </c>
      <c r="O19" s="192">
        <v>0</v>
      </c>
      <c r="P19" s="192">
        <v>0</v>
      </c>
      <c r="Q19" s="192">
        <v>0</v>
      </c>
      <c r="R19" s="192">
        <v>0</v>
      </c>
      <c r="S19" s="192">
        <v>0</v>
      </c>
      <c r="T19" s="192">
        <v>0</v>
      </c>
      <c r="U19" s="192">
        <v>0</v>
      </c>
      <c r="V19" s="192">
        <v>0</v>
      </c>
      <c r="W19" s="192">
        <v>0</v>
      </c>
      <c r="X19" s="192">
        <v>0</v>
      </c>
      <c r="Y19" s="192">
        <v>0</v>
      </c>
      <c r="Z19" s="192">
        <v>0</v>
      </c>
      <c r="AA19" s="192">
        <v>0</v>
      </c>
      <c r="AB19" s="192">
        <v>0</v>
      </c>
      <c r="AC19" s="192">
        <v>0</v>
      </c>
      <c r="AD19" s="192">
        <v>0</v>
      </c>
      <c r="AE19" s="192">
        <v>0</v>
      </c>
      <c r="AF19" s="192">
        <v>0</v>
      </c>
      <c r="AG19" s="192">
        <v>0</v>
      </c>
      <c r="AH19" s="192">
        <v>0</v>
      </c>
      <c r="AI19" s="192">
        <v>752</v>
      </c>
      <c r="AJ19" s="192">
        <v>0</v>
      </c>
      <c r="AK19" s="192">
        <v>0</v>
      </c>
      <c r="AL19" s="192">
        <v>0</v>
      </c>
      <c r="AM19" s="192">
        <v>0</v>
      </c>
      <c r="AN19" s="192">
        <v>0</v>
      </c>
      <c r="AO19" s="192">
        <v>0</v>
      </c>
      <c r="AP19" s="192">
        <v>0</v>
      </c>
      <c r="AQ19" s="192">
        <v>0</v>
      </c>
      <c r="AR19" s="192">
        <v>0</v>
      </c>
      <c r="AS19" s="192">
        <v>0</v>
      </c>
      <c r="AT19" s="192">
        <v>0</v>
      </c>
      <c r="AU19" s="192">
        <v>0</v>
      </c>
      <c r="AV19" s="192">
        <v>0</v>
      </c>
      <c r="AW19" s="192">
        <v>0</v>
      </c>
    </row>
    <row r="20" spans="3:49" x14ac:dyDescent="0.3">
      <c r="C20" s="192">
        <v>36</v>
      </c>
      <c r="D20" s="192">
        <v>4</v>
      </c>
      <c r="E20" s="192">
        <v>6</v>
      </c>
      <c r="F20" s="192">
        <v>217800</v>
      </c>
      <c r="G20" s="192">
        <v>0</v>
      </c>
      <c r="H20" s="192">
        <v>0</v>
      </c>
      <c r="I20" s="192">
        <v>3696</v>
      </c>
      <c r="J20" s="192">
        <v>0</v>
      </c>
      <c r="K20" s="192">
        <v>0</v>
      </c>
      <c r="L20" s="192">
        <v>0</v>
      </c>
      <c r="M20" s="192">
        <v>0</v>
      </c>
      <c r="N20" s="192">
        <v>0</v>
      </c>
      <c r="O20" s="192">
        <v>0</v>
      </c>
      <c r="P20" s="192">
        <v>0</v>
      </c>
      <c r="Q20" s="192">
        <v>0</v>
      </c>
      <c r="R20" s="192">
        <v>0</v>
      </c>
      <c r="S20" s="192">
        <v>0</v>
      </c>
      <c r="T20" s="192">
        <v>0</v>
      </c>
      <c r="U20" s="192">
        <v>0</v>
      </c>
      <c r="V20" s="192">
        <v>0</v>
      </c>
      <c r="W20" s="192">
        <v>0</v>
      </c>
      <c r="X20" s="192">
        <v>0</v>
      </c>
      <c r="Y20" s="192">
        <v>0</v>
      </c>
      <c r="Z20" s="192">
        <v>0</v>
      </c>
      <c r="AA20" s="192">
        <v>0</v>
      </c>
      <c r="AB20" s="192">
        <v>0</v>
      </c>
      <c r="AC20" s="192">
        <v>0</v>
      </c>
      <c r="AD20" s="192">
        <v>0</v>
      </c>
      <c r="AE20" s="192">
        <v>0</v>
      </c>
      <c r="AF20" s="192">
        <v>0</v>
      </c>
      <c r="AG20" s="192">
        <v>0</v>
      </c>
      <c r="AH20" s="192">
        <v>0</v>
      </c>
      <c r="AI20" s="192">
        <v>214104</v>
      </c>
      <c r="AJ20" s="192">
        <v>0</v>
      </c>
      <c r="AK20" s="192">
        <v>0</v>
      </c>
      <c r="AL20" s="192">
        <v>0</v>
      </c>
      <c r="AM20" s="192">
        <v>0</v>
      </c>
      <c r="AN20" s="192">
        <v>0</v>
      </c>
      <c r="AO20" s="192">
        <v>0</v>
      </c>
      <c r="AP20" s="192">
        <v>0</v>
      </c>
      <c r="AQ20" s="192">
        <v>0</v>
      </c>
      <c r="AR20" s="192">
        <v>0</v>
      </c>
      <c r="AS20" s="192">
        <v>0</v>
      </c>
      <c r="AT20" s="192">
        <v>0</v>
      </c>
      <c r="AU20" s="192">
        <v>0</v>
      </c>
      <c r="AV20" s="192">
        <v>0</v>
      </c>
      <c r="AW20" s="192">
        <v>0</v>
      </c>
    </row>
    <row r="21" spans="3:49" x14ac:dyDescent="0.3">
      <c r="C21" s="192">
        <v>36</v>
      </c>
      <c r="D21" s="192">
        <v>4</v>
      </c>
      <c r="E21" s="192">
        <v>11</v>
      </c>
      <c r="F21" s="192">
        <v>1041.6666666666667</v>
      </c>
      <c r="G21" s="192">
        <v>0</v>
      </c>
      <c r="H21" s="192">
        <v>0</v>
      </c>
      <c r="I21" s="192">
        <v>0</v>
      </c>
      <c r="J21" s="192">
        <v>1041.6666666666667</v>
      </c>
      <c r="K21" s="192">
        <v>0</v>
      </c>
      <c r="L21" s="192">
        <v>0</v>
      </c>
      <c r="M21" s="192">
        <v>0</v>
      </c>
      <c r="N21" s="192">
        <v>0</v>
      </c>
      <c r="O21" s="192">
        <v>0</v>
      </c>
      <c r="P21" s="192">
        <v>0</v>
      </c>
      <c r="Q21" s="192">
        <v>0</v>
      </c>
      <c r="R21" s="192">
        <v>0</v>
      </c>
      <c r="S21" s="192">
        <v>0</v>
      </c>
      <c r="T21" s="192">
        <v>0</v>
      </c>
      <c r="U21" s="192">
        <v>0</v>
      </c>
      <c r="V21" s="192">
        <v>0</v>
      </c>
      <c r="W21" s="192">
        <v>0</v>
      </c>
      <c r="X21" s="192">
        <v>0</v>
      </c>
      <c r="Y21" s="192">
        <v>0</v>
      </c>
      <c r="Z21" s="192">
        <v>0</v>
      </c>
      <c r="AA21" s="192">
        <v>0</v>
      </c>
      <c r="AB21" s="192">
        <v>0</v>
      </c>
      <c r="AC21" s="192">
        <v>0</v>
      </c>
      <c r="AD21" s="192">
        <v>0</v>
      </c>
      <c r="AE21" s="192">
        <v>0</v>
      </c>
      <c r="AF21" s="192">
        <v>0</v>
      </c>
      <c r="AG21" s="192">
        <v>0</v>
      </c>
      <c r="AH21" s="192">
        <v>0</v>
      </c>
      <c r="AI21" s="192">
        <v>0</v>
      </c>
      <c r="AJ21" s="192">
        <v>0</v>
      </c>
      <c r="AK21" s="192">
        <v>0</v>
      </c>
      <c r="AL21" s="192">
        <v>0</v>
      </c>
      <c r="AM21" s="192">
        <v>0</v>
      </c>
      <c r="AN21" s="192">
        <v>0</v>
      </c>
      <c r="AO21" s="192">
        <v>0</v>
      </c>
      <c r="AP21" s="192">
        <v>0</v>
      </c>
      <c r="AQ21" s="192">
        <v>0</v>
      </c>
      <c r="AR21" s="192">
        <v>0</v>
      </c>
      <c r="AS21" s="192">
        <v>0</v>
      </c>
      <c r="AT21" s="192">
        <v>0</v>
      </c>
      <c r="AU21" s="192">
        <v>0</v>
      </c>
      <c r="AV21" s="192">
        <v>0</v>
      </c>
      <c r="AW21" s="192">
        <v>0</v>
      </c>
    </row>
    <row r="22" spans="3:49" x14ac:dyDescent="0.3">
      <c r="C22" s="192">
        <v>36</v>
      </c>
      <c r="D22" s="192">
        <v>5</v>
      </c>
      <c r="E22" s="192">
        <v>1</v>
      </c>
      <c r="F22" s="192">
        <v>5</v>
      </c>
      <c r="G22" s="192">
        <v>0</v>
      </c>
      <c r="H22" s="192">
        <v>0</v>
      </c>
      <c r="I22" s="192">
        <v>0</v>
      </c>
      <c r="J22" s="192">
        <v>0</v>
      </c>
      <c r="K22" s="192">
        <v>0</v>
      </c>
      <c r="L22" s="192">
        <v>0</v>
      </c>
      <c r="M22" s="192">
        <v>0</v>
      </c>
      <c r="N22" s="192">
        <v>0</v>
      </c>
      <c r="O22" s="192">
        <v>0</v>
      </c>
      <c r="P22" s="192">
        <v>0</v>
      </c>
      <c r="Q22" s="192">
        <v>0</v>
      </c>
      <c r="R22" s="192">
        <v>0</v>
      </c>
      <c r="S22" s="192">
        <v>0</v>
      </c>
      <c r="T22" s="192">
        <v>0</v>
      </c>
      <c r="U22" s="192">
        <v>0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5</v>
      </c>
      <c r="AJ22" s="192">
        <v>0</v>
      </c>
      <c r="AK22" s="192">
        <v>0</v>
      </c>
      <c r="AL22" s="192">
        <v>0</v>
      </c>
      <c r="AM22" s="192">
        <v>0</v>
      </c>
      <c r="AN22" s="192">
        <v>0</v>
      </c>
      <c r="AO22" s="192">
        <v>0</v>
      </c>
      <c r="AP22" s="192">
        <v>0</v>
      </c>
      <c r="AQ22" s="192">
        <v>0</v>
      </c>
      <c r="AR22" s="192">
        <v>0</v>
      </c>
      <c r="AS22" s="192">
        <v>0</v>
      </c>
      <c r="AT22" s="192">
        <v>0</v>
      </c>
      <c r="AU22" s="192">
        <v>0</v>
      </c>
      <c r="AV22" s="192">
        <v>0</v>
      </c>
      <c r="AW22" s="192">
        <v>0</v>
      </c>
    </row>
    <row r="23" spans="3:49" x14ac:dyDescent="0.3">
      <c r="C23" s="192">
        <v>36</v>
      </c>
      <c r="D23" s="192">
        <v>5</v>
      </c>
      <c r="E23" s="192">
        <v>2</v>
      </c>
      <c r="F23" s="192">
        <v>880</v>
      </c>
      <c r="G23" s="192">
        <v>0</v>
      </c>
      <c r="H23" s="192">
        <v>0</v>
      </c>
      <c r="I23" s="192">
        <v>0</v>
      </c>
      <c r="J23" s="192">
        <v>0</v>
      </c>
      <c r="K23" s="192">
        <v>0</v>
      </c>
      <c r="L23" s="192">
        <v>0</v>
      </c>
      <c r="M23" s="192">
        <v>0</v>
      </c>
      <c r="N23" s="192">
        <v>0</v>
      </c>
      <c r="O23" s="192">
        <v>0</v>
      </c>
      <c r="P23" s="192">
        <v>0</v>
      </c>
      <c r="Q23" s="192">
        <v>0</v>
      </c>
      <c r="R23" s="192">
        <v>0</v>
      </c>
      <c r="S23" s="192">
        <v>0</v>
      </c>
      <c r="T23" s="192">
        <v>0</v>
      </c>
      <c r="U23" s="192">
        <v>0</v>
      </c>
      <c r="V23" s="192">
        <v>0</v>
      </c>
      <c r="W23" s="192">
        <v>0</v>
      </c>
      <c r="X23" s="192">
        <v>0</v>
      </c>
      <c r="Y23" s="192">
        <v>0</v>
      </c>
      <c r="Z23" s="192">
        <v>0</v>
      </c>
      <c r="AA23" s="192">
        <v>0</v>
      </c>
      <c r="AB23" s="192">
        <v>0</v>
      </c>
      <c r="AC23" s="192">
        <v>0</v>
      </c>
      <c r="AD23" s="192">
        <v>0</v>
      </c>
      <c r="AE23" s="192">
        <v>0</v>
      </c>
      <c r="AF23" s="192">
        <v>0</v>
      </c>
      <c r="AG23" s="192">
        <v>0</v>
      </c>
      <c r="AH23" s="192">
        <v>0</v>
      </c>
      <c r="AI23" s="192">
        <v>880</v>
      </c>
      <c r="AJ23" s="192">
        <v>0</v>
      </c>
      <c r="AK23" s="192">
        <v>0</v>
      </c>
      <c r="AL23" s="192">
        <v>0</v>
      </c>
      <c r="AM23" s="192">
        <v>0</v>
      </c>
      <c r="AN23" s="192">
        <v>0</v>
      </c>
      <c r="AO23" s="192">
        <v>0</v>
      </c>
      <c r="AP23" s="192">
        <v>0</v>
      </c>
      <c r="AQ23" s="192">
        <v>0</v>
      </c>
      <c r="AR23" s="192">
        <v>0</v>
      </c>
      <c r="AS23" s="192">
        <v>0</v>
      </c>
      <c r="AT23" s="192">
        <v>0</v>
      </c>
      <c r="AU23" s="192">
        <v>0</v>
      </c>
      <c r="AV23" s="192">
        <v>0</v>
      </c>
      <c r="AW23" s="192">
        <v>0</v>
      </c>
    </row>
    <row r="24" spans="3:49" x14ac:dyDescent="0.3">
      <c r="C24" s="192">
        <v>36</v>
      </c>
      <c r="D24" s="192">
        <v>5</v>
      </c>
      <c r="E24" s="192">
        <v>6</v>
      </c>
      <c r="F24" s="192">
        <v>218907</v>
      </c>
      <c r="G24" s="192">
        <v>0</v>
      </c>
      <c r="H24" s="192">
        <v>0</v>
      </c>
      <c r="I24" s="192">
        <v>3615</v>
      </c>
      <c r="J24" s="192">
        <v>0</v>
      </c>
      <c r="K24" s="192">
        <v>0</v>
      </c>
      <c r="L24" s="192">
        <v>0</v>
      </c>
      <c r="M24" s="192">
        <v>0</v>
      </c>
      <c r="N24" s="192">
        <v>0</v>
      </c>
      <c r="O24" s="192">
        <v>0</v>
      </c>
      <c r="P24" s="192">
        <v>0</v>
      </c>
      <c r="Q24" s="192">
        <v>0</v>
      </c>
      <c r="R24" s="192">
        <v>0</v>
      </c>
      <c r="S24" s="192">
        <v>0</v>
      </c>
      <c r="T24" s="192">
        <v>0</v>
      </c>
      <c r="U24" s="192">
        <v>0</v>
      </c>
      <c r="V24" s="192">
        <v>0</v>
      </c>
      <c r="W24" s="192">
        <v>0</v>
      </c>
      <c r="X24" s="192">
        <v>0</v>
      </c>
      <c r="Y24" s="192">
        <v>0</v>
      </c>
      <c r="Z24" s="192">
        <v>0</v>
      </c>
      <c r="AA24" s="192">
        <v>0</v>
      </c>
      <c r="AB24" s="192">
        <v>0</v>
      </c>
      <c r="AC24" s="192">
        <v>0</v>
      </c>
      <c r="AD24" s="192">
        <v>0</v>
      </c>
      <c r="AE24" s="192">
        <v>0</v>
      </c>
      <c r="AF24" s="192">
        <v>0</v>
      </c>
      <c r="AG24" s="192">
        <v>0</v>
      </c>
      <c r="AH24" s="192">
        <v>0</v>
      </c>
      <c r="AI24" s="192">
        <v>215292</v>
      </c>
      <c r="AJ24" s="192">
        <v>0</v>
      </c>
      <c r="AK24" s="192">
        <v>0</v>
      </c>
      <c r="AL24" s="192">
        <v>0</v>
      </c>
      <c r="AM24" s="192">
        <v>0</v>
      </c>
      <c r="AN24" s="192">
        <v>0</v>
      </c>
      <c r="AO24" s="192">
        <v>0</v>
      </c>
      <c r="AP24" s="192">
        <v>0</v>
      </c>
      <c r="AQ24" s="192">
        <v>0</v>
      </c>
      <c r="AR24" s="192">
        <v>0</v>
      </c>
      <c r="AS24" s="192">
        <v>0</v>
      </c>
      <c r="AT24" s="192">
        <v>0</v>
      </c>
      <c r="AU24" s="192">
        <v>0</v>
      </c>
      <c r="AV24" s="192">
        <v>0</v>
      </c>
      <c r="AW24" s="192">
        <v>0</v>
      </c>
    </row>
    <row r="25" spans="3:49" x14ac:dyDescent="0.3">
      <c r="C25" s="192">
        <v>36</v>
      </c>
      <c r="D25" s="192">
        <v>5</v>
      </c>
      <c r="E25" s="192">
        <v>11</v>
      </c>
      <c r="F25" s="192">
        <v>1041.6666666666667</v>
      </c>
      <c r="G25" s="192">
        <v>0</v>
      </c>
      <c r="H25" s="192">
        <v>0</v>
      </c>
      <c r="I25" s="192">
        <v>0</v>
      </c>
      <c r="J25" s="192">
        <v>1041.6666666666667</v>
      </c>
      <c r="K25" s="192">
        <v>0</v>
      </c>
      <c r="L25" s="192">
        <v>0</v>
      </c>
      <c r="M25" s="192">
        <v>0</v>
      </c>
      <c r="N25" s="192">
        <v>0</v>
      </c>
      <c r="O25" s="192">
        <v>0</v>
      </c>
      <c r="P25" s="192">
        <v>0</v>
      </c>
      <c r="Q25" s="192">
        <v>0</v>
      </c>
      <c r="R25" s="192">
        <v>0</v>
      </c>
      <c r="S25" s="192">
        <v>0</v>
      </c>
      <c r="T25" s="192">
        <v>0</v>
      </c>
      <c r="U25" s="192">
        <v>0</v>
      </c>
      <c r="V25" s="192">
        <v>0</v>
      </c>
      <c r="W25" s="192">
        <v>0</v>
      </c>
      <c r="X25" s="192">
        <v>0</v>
      </c>
      <c r="Y25" s="192">
        <v>0</v>
      </c>
      <c r="Z25" s="192">
        <v>0</v>
      </c>
      <c r="AA25" s="192">
        <v>0</v>
      </c>
      <c r="AB25" s="192">
        <v>0</v>
      </c>
      <c r="AC25" s="192">
        <v>0</v>
      </c>
      <c r="AD25" s="192">
        <v>0</v>
      </c>
      <c r="AE25" s="192">
        <v>0</v>
      </c>
      <c r="AF25" s="192">
        <v>0</v>
      </c>
      <c r="AG25" s="192">
        <v>0</v>
      </c>
      <c r="AH25" s="192">
        <v>0</v>
      </c>
      <c r="AI25" s="192">
        <v>0</v>
      </c>
      <c r="AJ25" s="192">
        <v>0</v>
      </c>
      <c r="AK25" s="192">
        <v>0</v>
      </c>
      <c r="AL25" s="192">
        <v>0</v>
      </c>
      <c r="AM25" s="192">
        <v>0</v>
      </c>
      <c r="AN25" s="192">
        <v>0</v>
      </c>
      <c r="AO25" s="192">
        <v>0</v>
      </c>
      <c r="AP25" s="192">
        <v>0</v>
      </c>
      <c r="AQ25" s="192">
        <v>0</v>
      </c>
      <c r="AR25" s="192">
        <v>0</v>
      </c>
      <c r="AS25" s="192">
        <v>0</v>
      </c>
      <c r="AT25" s="192">
        <v>0</v>
      </c>
      <c r="AU25" s="192">
        <v>0</v>
      </c>
      <c r="AV25" s="192">
        <v>0</v>
      </c>
      <c r="AW25" s="192">
        <v>0</v>
      </c>
    </row>
    <row r="26" spans="3:49" x14ac:dyDescent="0.3">
      <c r="C26" s="192">
        <v>36</v>
      </c>
      <c r="D26" s="192">
        <v>6</v>
      </c>
      <c r="E26" s="192">
        <v>1</v>
      </c>
      <c r="F26" s="192">
        <v>5</v>
      </c>
      <c r="G26" s="192">
        <v>0</v>
      </c>
      <c r="H26" s="192">
        <v>0</v>
      </c>
      <c r="I26" s="192">
        <v>0</v>
      </c>
      <c r="J26" s="192">
        <v>0</v>
      </c>
      <c r="K26" s="192">
        <v>0</v>
      </c>
      <c r="L26" s="192">
        <v>0</v>
      </c>
      <c r="M26" s="192">
        <v>0</v>
      </c>
      <c r="N26" s="192">
        <v>0</v>
      </c>
      <c r="O26" s="192">
        <v>0</v>
      </c>
      <c r="P26" s="192">
        <v>0</v>
      </c>
      <c r="Q26" s="192">
        <v>0</v>
      </c>
      <c r="R26" s="192">
        <v>0</v>
      </c>
      <c r="S26" s="192">
        <v>0</v>
      </c>
      <c r="T26" s="192">
        <v>0</v>
      </c>
      <c r="U26" s="192">
        <v>0</v>
      </c>
      <c r="V26" s="192">
        <v>0</v>
      </c>
      <c r="W26" s="192">
        <v>0</v>
      </c>
      <c r="X26" s="192">
        <v>0</v>
      </c>
      <c r="Y26" s="192">
        <v>0</v>
      </c>
      <c r="Z26" s="192">
        <v>0</v>
      </c>
      <c r="AA26" s="192">
        <v>0</v>
      </c>
      <c r="AB26" s="192">
        <v>0</v>
      </c>
      <c r="AC26" s="192">
        <v>0</v>
      </c>
      <c r="AD26" s="192">
        <v>0</v>
      </c>
      <c r="AE26" s="192">
        <v>0</v>
      </c>
      <c r="AF26" s="192">
        <v>0</v>
      </c>
      <c r="AG26" s="192">
        <v>0</v>
      </c>
      <c r="AH26" s="192">
        <v>0</v>
      </c>
      <c r="AI26" s="192">
        <v>5</v>
      </c>
      <c r="AJ26" s="192">
        <v>0</v>
      </c>
      <c r="AK26" s="192">
        <v>0</v>
      </c>
      <c r="AL26" s="192">
        <v>0</v>
      </c>
      <c r="AM26" s="192">
        <v>0</v>
      </c>
      <c r="AN26" s="192">
        <v>0</v>
      </c>
      <c r="AO26" s="192">
        <v>0</v>
      </c>
      <c r="AP26" s="192">
        <v>0</v>
      </c>
      <c r="AQ26" s="192">
        <v>0</v>
      </c>
      <c r="AR26" s="192">
        <v>0</v>
      </c>
      <c r="AS26" s="192">
        <v>0</v>
      </c>
      <c r="AT26" s="192">
        <v>0</v>
      </c>
      <c r="AU26" s="192">
        <v>0</v>
      </c>
      <c r="AV26" s="192">
        <v>0</v>
      </c>
      <c r="AW26" s="192">
        <v>0</v>
      </c>
    </row>
    <row r="27" spans="3:49" x14ac:dyDescent="0.3">
      <c r="C27" s="192">
        <v>36</v>
      </c>
      <c r="D27" s="192">
        <v>6</v>
      </c>
      <c r="E27" s="192">
        <v>2</v>
      </c>
      <c r="F27" s="192">
        <v>880</v>
      </c>
      <c r="G27" s="192">
        <v>0</v>
      </c>
      <c r="H27" s="192">
        <v>0</v>
      </c>
      <c r="I27" s="192">
        <v>0</v>
      </c>
      <c r="J27" s="192">
        <v>0</v>
      </c>
      <c r="K27" s="192">
        <v>0</v>
      </c>
      <c r="L27" s="192">
        <v>0</v>
      </c>
      <c r="M27" s="192">
        <v>0</v>
      </c>
      <c r="N27" s="192">
        <v>0</v>
      </c>
      <c r="O27" s="192">
        <v>0</v>
      </c>
      <c r="P27" s="192">
        <v>0</v>
      </c>
      <c r="Q27" s="192">
        <v>0</v>
      </c>
      <c r="R27" s="192">
        <v>0</v>
      </c>
      <c r="S27" s="192">
        <v>0</v>
      </c>
      <c r="T27" s="192">
        <v>0</v>
      </c>
      <c r="U27" s="192">
        <v>0</v>
      </c>
      <c r="V27" s="192">
        <v>0</v>
      </c>
      <c r="W27" s="192">
        <v>0</v>
      </c>
      <c r="X27" s="192">
        <v>0</v>
      </c>
      <c r="Y27" s="192">
        <v>0</v>
      </c>
      <c r="Z27" s="192">
        <v>0</v>
      </c>
      <c r="AA27" s="192">
        <v>0</v>
      </c>
      <c r="AB27" s="192">
        <v>0</v>
      </c>
      <c r="AC27" s="192">
        <v>0</v>
      </c>
      <c r="AD27" s="192">
        <v>0</v>
      </c>
      <c r="AE27" s="192">
        <v>0</v>
      </c>
      <c r="AF27" s="192">
        <v>0</v>
      </c>
      <c r="AG27" s="192">
        <v>0</v>
      </c>
      <c r="AH27" s="192">
        <v>0</v>
      </c>
      <c r="AI27" s="192">
        <v>880</v>
      </c>
      <c r="AJ27" s="192">
        <v>0</v>
      </c>
      <c r="AK27" s="192">
        <v>0</v>
      </c>
      <c r="AL27" s="192">
        <v>0</v>
      </c>
      <c r="AM27" s="192">
        <v>0</v>
      </c>
      <c r="AN27" s="192">
        <v>0</v>
      </c>
      <c r="AO27" s="192">
        <v>0</v>
      </c>
      <c r="AP27" s="192">
        <v>0</v>
      </c>
      <c r="AQ27" s="192">
        <v>0</v>
      </c>
      <c r="AR27" s="192">
        <v>0</v>
      </c>
      <c r="AS27" s="192">
        <v>0</v>
      </c>
      <c r="AT27" s="192">
        <v>0</v>
      </c>
      <c r="AU27" s="192">
        <v>0</v>
      </c>
      <c r="AV27" s="192">
        <v>0</v>
      </c>
      <c r="AW27" s="192">
        <v>0</v>
      </c>
    </row>
    <row r="28" spans="3:49" x14ac:dyDescent="0.3">
      <c r="C28" s="192">
        <v>36</v>
      </c>
      <c r="D28" s="192">
        <v>6</v>
      </c>
      <c r="E28" s="192">
        <v>6</v>
      </c>
      <c r="F28" s="192">
        <v>217344</v>
      </c>
      <c r="G28" s="192">
        <v>0</v>
      </c>
      <c r="H28" s="192">
        <v>0</v>
      </c>
      <c r="I28" s="192">
        <v>3024</v>
      </c>
      <c r="J28" s="192">
        <v>0</v>
      </c>
      <c r="K28" s="192">
        <v>0</v>
      </c>
      <c r="L28" s="192">
        <v>0</v>
      </c>
      <c r="M28" s="192">
        <v>0</v>
      </c>
      <c r="N28" s="192">
        <v>0</v>
      </c>
      <c r="O28" s="192">
        <v>0</v>
      </c>
      <c r="P28" s="192">
        <v>0</v>
      </c>
      <c r="Q28" s="192">
        <v>0</v>
      </c>
      <c r="R28" s="192">
        <v>0</v>
      </c>
      <c r="S28" s="192">
        <v>0</v>
      </c>
      <c r="T28" s="192">
        <v>0</v>
      </c>
      <c r="U28" s="192">
        <v>0</v>
      </c>
      <c r="V28" s="192">
        <v>0</v>
      </c>
      <c r="W28" s="192">
        <v>0</v>
      </c>
      <c r="X28" s="192">
        <v>0</v>
      </c>
      <c r="Y28" s="192">
        <v>0</v>
      </c>
      <c r="Z28" s="192">
        <v>0</v>
      </c>
      <c r="AA28" s="192">
        <v>0</v>
      </c>
      <c r="AB28" s="192">
        <v>0</v>
      </c>
      <c r="AC28" s="192">
        <v>0</v>
      </c>
      <c r="AD28" s="192">
        <v>0</v>
      </c>
      <c r="AE28" s="192">
        <v>0</v>
      </c>
      <c r="AF28" s="192">
        <v>0</v>
      </c>
      <c r="AG28" s="192">
        <v>0</v>
      </c>
      <c r="AH28" s="192">
        <v>0</v>
      </c>
      <c r="AI28" s="192">
        <v>214320</v>
      </c>
      <c r="AJ28" s="192">
        <v>0</v>
      </c>
      <c r="AK28" s="192">
        <v>0</v>
      </c>
      <c r="AL28" s="192">
        <v>0</v>
      </c>
      <c r="AM28" s="192">
        <v>0</v>
      </c>
      <c r="AN28" s="192">
        <v>0</v>
      </c>
      <c r="AO28" s="192">
        <v>0</v>
      </c>
      <c r="AP28" s="192">
        <v>0</v>
      </c>
      <c r="AQ28" s="192">
        <v>0</v>
      </c>
      <c r="AR28" s="192">
        <v>0</v>
      </c>
      <c r="AS28" s="192">
        <v>0</v>
      </c>
      <c r="AT28" s="192">
        <v>0</v>
      </c>
      <c r="AU28" s="192">
        <v>0</v>
      </c>
      <c r="AV28" s="192">
        <v>0</v>
      </c>
      <c r="AW28" s="192">
        <v>0</v>
      </c>
    </row>
    <row r="29" spans="3:49" x14ac:dyDescent="0.3">
      <c r="C29" s="192">
        <v>36</v>
      </c>
      <c r="D29" s="192">
        <v>6</v>
      </c>
      <c r="E29" s="192">
        <v>11</v>
      </c>
      <c r="F29" s="192">
        <v>1041.6666666666667</v>
      </c>
      <c r="G29" s="192">
        <v>0</v>
      </c>
      <c r="H29" s="192">
        <v>0</v>
      </c>
      <c r="I29" s="192">
        <v>0</v>
      </c>
      <c r="J29" s="192">
        <v>1041.6666666666667</v>
      </c>
      <c r="K29" s="192">
        <v>0</v>
      </c>
      <c r="L29" s="192">
        <v>0</v>
      </c>
      <c r="M29" s="192">
        <v>0</v>
      </c>
      <c r="N29" s="192">
        <v>0</v>
      </c>
      <c r="O29" s="192">
        <v>0</v>
      </c>
      <c r="P29" s="192">
        <v>0</v>
      </c>
      <c r="Q29" s="192">
        <v>0</v>
      </c>
      <c r="R29" s="192">
        <v>0</v>
      </c>
      <c r="S29" s="192">
        <v>0</v>
      </c>
      <c r="T29" s="192">
        <v>0</v>
      </c>
      <c r="U29" s="192">
        <v>0</v>
      </c>
      <c r="V29" s="192">
        <v>0</v>
      </c>
      <c r="W29" s="192">
        <v>0</v>
      </c>
      <c r="X29" s="192">
        <v>0</v>
      </c>
      <c r="Y29" s="192">
        <v>0</v>
      </c>
      <c r="Z29" s="192">
        <v>0</v>
      </c>
      <c r="AA29" s="192">
        <v>0</v>
      </c>
      <c r="AB29" s="192">
        <v>0</v>
      </c>
      <c r="AC29" s="192">
        <v>0</v>
      </c>
      <c r="AD29" s="192">
        <v>0</v>
      </c>
      <c r="AE29" s="192">
        <v>0</v>
      </c>
      <c r="AF29" s="192">
        <v>0</v>
      </c>
      <c r="AG29" s="192">
        <v>0</v>
      </c>
      <c r="AH29" s="192">
        <v>0</v>
      </c>
      <c r="AI29" s="192">
        <v>0</v>
      </c>
      <c r="AJ29" s="192">
        <v>0</v>
      </c>
      <c r="AK29" s="192">
        <v>0</v>
      </c>
      <c r="AL29" s="192">
        <v>0</v>
      </c>
      <c r="AM29" s="192">
        <v>0</v>
      </c>
      <c r="AN29" s="192">
        <v>0</v>
      </c>
      <c r="AO29" s="192">
        <v>0</v>
      </c>
      <c r="AP29" s="192">
        <v>0</v>
      </c>
      <c r="AQ29" s="192">
        <v>0</v>
      </c>
      <c r="AR29" s="192">
        <v>0</v>
      </c>
      <c r="AS29" s="192">
        <v>0</v>
      </c>
      <c r="AT29" s="192">
        <v>0</v>
      </c>
      <c r="AU29" s="192">
        <v>0</v>
      </c>
      <c r="AV29" s="192">
        <v>0</v>
      </c>
      <c r="AW29" s="192">
        <v>0</v>
      </c>
    </row>
    <row r="30" spans="3:49" x14ac:dyDescent="0.3">
      <c r="C30" s="192">
        <v>36</v>
      </c>
      <c r="D30" s="192">
        <v>7</v>
      </c>
      <c r="E30" s="192">
        <v>1</v>
      </c>
      <c r="F30" s="192">
        <v>5</v>
      </c>
      <c r="G30" s="192">
        <v>0</v>
      </c>
      <c r="H30" s="192">
        <v>0</v>
      </c>
      <c r="I30" s="192">
        <v>0</v>
      </c>
      <c r="J30" s="192">
        <v>0</v>
      </c>
      <c r="K30" s="192">
        <v>0</v>
      </c>
      <c r="L30" s="192">
        <v>0</v>
      </c>
      <c r="M30" s="192">
        <v>0</v>
      </c>
      <c r="N30" s="192">
        <v>0</v>
      </c>
      <c r="O30" s="192">
        <v>0</v>
      </c>
      <c r="P30" s="192">
        <v>0</v>
      </c>
      <c r="Q30" s="192">
        <v>0</v>
      </c>
      <c r="R30" s="192">
        <v>0</v>
      </c>
      <c r="S30" s="192">
        <v>0</v>
      </c>
      <c r="T30" s="192">
        <v>0</v>
      </c>
      <c r="U30" s="192">
        <v>0</v>
      </c>
      <c r="V30" s="192">
        <v>0</v>
      </c>
      <c r="W30" s="192">
        <v>0</v>
      </c>
      <c r="X30" s="192">
        <v>0</v>
      </c>
      <c r="Y30" s="192">
        <v>0</v>
      </c>
      <c r="Z30" s="192">
        <v>0</v>
      </c>
      <c r="AA30" s="192">
        <v>0</v>
      </c>
      <c r="AB30" s="192">
        <v>0</v>
      </c>
      <c r="AC30" s="192">
        <v>0</v>
      </c>
      <c r="AD30" s="192">
        <v>0</v>
      </c>
      <c r="AE30" s="192">
        <v>0</v>
      </c>
      <c r="AF30" s="192">
        <v>0</v>
      </c>
      <c r="AG30" s="192">
        <v>0</v>
      </c>
      <c r="AH30" s="192">
        <v>0</v>
      </c>
      <c r="AI30" s="192">
        <v>5</v>
      </c>
      <c r="AJ30" s="192">
        <v>0</v>
      </c>
      <c r="AK30" s="192">
        <v>0</v>
      </c>
      <c r="AL30" s="192">
        <v>0</v>
      </c>
      <c r="AM30" s="192">
        <v>0</v>
      </c>
      <c r="AN30" s="192">
        <v>0</v>
      </c>
      <c r="AO30" s="192">
        <v>0</v>
      </c>
      <c r="AP30" s="192">
        <v>0</v>
      </c>
      <c r="AQ30" s="192">
        <v>0</v>
      </c>
      <c r="AR30" s="192">
        <v>0</v>
      </c>
      <c r="AS30" s="192">
        <v>0</v>
      </c>
      <c r="AT30" s="192">
        <v>0</v>
      </c>
      <c r="AU30" s="192">
        <v>0</v>
      </c>
      <c r="AV30" s="192">
        <v>0</v>
      </c>
      <c r="AW30" s="192">
        <v>0</v>
      </c>
    </row>
    <row r="31" spans="3:49" x14ac:dyDescent="0.3">
      <c r="C31" s="192">
        <v>36</v>
      </c>
      <c r="D31" s="192">
        <v>7</v>
      </c>
      <c r="E31" s="192">
        <v>2</v>
      </c>
      <c r="F31" s="192">
        <v>600</v>
      </c>
      <c r="G31" s="192">
        <v>0</v>
      </c>
      <c r="H31" s="192">
        <v>0</v>
      </c>
      <c r="I31" s="192">
        <v>0</v>
      </c>
      <c r="J31" s="192">
        <v>0</v>
      </c>
      <c r="K31" s="192">
        <v>0</v>
      </c>
      <c r="L31" s="192">
        <v>0</v>
      </c>
      <c r="M31" s="192">
        <v>0</v>
      </c>
      <c r="N31" s="192">
        <v>0</v>
      </c>
      <c r="O31" s="192">
        <v>0</v>
      </c>
      <c r="P31" s="192">
        <v>0</v>
      </c>
      <c r="Q31" s="192">
        <v>0</v>
      </c>
      <c r="R31" s="192">
        <v>0</v>
      </c>
      <c r="S31" s="192">
        <v>0</v>
      </c>
      <c r="T31" s="192">
        <v>0</v>
      </c>
      <c r="U31" s="192">
        <v>0</v>
      </c>
      <c r="V31" s="192">
        <v>0</v>
      </c>
      <c r="W31" s="192">
        <v>0</v>
      </c>
      <c r="X31" s="192">
        <v>0</v>
      </c>
      <c r="Y31" s="192">
        <v>0</v>
      </c>
      <c r="Z31" s="192">
        <v>0</v>
      </c>
      <c r="AA31" s="192">
        <v>0</v>
      </c>
      <c r="AB31" s="192">
        <v>0</v>
      </c>
      <c r="AC31" s="192">
        <v>0</v>
      </c>
      <c r="AD31" s="192">
        <v>0</v>
      </c>
      <c r="AE31" s="192">
        <v>0</v>
      </c>
      <c r="AF31" s="192">
        <v>0</v>
      </c>
      <c r="AG31" s="192">
        <v>0</v>
      </c>
      <c r="AH31" s="192">
        <v>0</v>
      </c>
      <c r="AI31" s="192">
        <v>600</v>
      </c>
      <c r="AJ31" s="192">
        <v>0</v>
      </c>
      <c r="AK31" s="192">
        <v>0</v>
      </c>
      <c r="AL31" s="192">
        <v>0</v>
      </c>
      <c r="AM31" s="192">
        <v>0</v>
      </c>
      <c r="AN31" s="192">
        <v>0</v>
      </c>
      <c r="AO31" s="192">
        <v>0</v>
      </c>
      <c r="AP31" s="192">
        <v>0</v>
      </c>
      <c r="AQ31" s="192">
        <v>0</v>
      </c>
      <c r="AR31" s="192">
        <v>0</v>
      </c>
      <c r="AS31" s="192">
        <v>0</v>
      </c>
      <c r="AT31" s="192">
        <v>0</v>
      </c>
      <c r="AU31" s="192">
        <v>0</v>
      </c>
      <c r="AV31" s="192">
        <v>0</v>
      </c>
      <c r="AW31" s="192">
        <v>0</v>
      </c>
    </row>
    <row r="32" spans="3:49" x14ac:dyDescent="0.3">
      <c r="C32" s="192">
        <v>36</v>
      </c>
      <c r="D32" s="192">
        <v>7</v>
      </c>
      <c r="E32" s="192">
        <v>6</v>
      </c>
      <c r="F32" s="192">
        <v>298753</v>
      </c>
      <c r="G32" s="192">
        <v>0</v>
      </c>
      <c r="H32" s="192">
        <v>0</v>
      </c>
      <c r="I32" s="192">
        <v>1760</v>
      </c>
      <c r="J32" s="192">
        <v>0</v>
      </c>
      <c r="K32" s="192">
        <v>0</v>
      </c>
      <c r="L32" s="192">
        <v>0</v>
      </c>
      <c r="M32" s="192">
        <v>0</v>
      </c>
      <c r="N32" s="192">
        <v>0</v>
      </c>
      <c r="O32" s="192">
        <v>0</v>
      </c>
      <c r="P32" s="192">
        <v>0</v>
      </c>
      <c r="Q32" s="192">
        <v>0</v>
      </c>
      <c r="R32" s="192">
        <v>0</v>
      </c>
      <c r="S32" s="192">
        <v>0</v>
      </c>
      <c r="T32" s="192">
        <v>0</v>
      </c>
      <c r="U32" s="192">
        <v>0</v>
      </c>
      <c r="V32" s="192">
        <v>0</v>
      </c>
      <c r="W32" s="192">
        <v>0</v>
      </c>
      <c r="X32" s="192">
        <v>0</v>
      </c>
      <c r="Y32" s="192">
        <v>0</v>
      </c>
      <c r="Z32" s="192">
        <v>0</v>
      </c>
      <c r="AA32" s="192">
        <v>0</v>
      </c>
      <c r="AB32" s="192">
        <v>0</v>
      </c>
      <c r="AC32" s="192">
        <v>0</v>
      </c>
      <c r="AD32" s="192">
        <v>0</v>
      </c>
      <c r="AE32" s="192">
        <v>0</v>
      </c>
      <c r="AF32" s="192">
        <v>0</v>
      </c>
      <c r="AG32" s="192">
        <v>0</v>
      </c>
      <c r="AH32" s="192">
        <v>0</v>
      </c>
      <c r="AI32" s="192">
        <v>296993</v>
      </c>
      <c r="AJ32" s="192">
        <v>0</v>
      </c>
      <c r="AK32" s="192">
        <v>0</v>
      </c>
      <c r="AL32" s="192">
        <v>0</v>
      </c>
      <c r="AM32" s="192">
        <v>0</v>
      </c>
      <c r="AN32" s="192">
        <v>0</v>
      </c>
      <c r="AO32" s="192">
        <v>0</v>
      </c>
      <c r="AP32" s="192">
        <v>0</v>
      </c>
      <c r="AQ32" s="192">
        <v>0</v>
      </c>
      <c r="AR32" s="192">
        <v>0</v>
      </c>
      <c r="AS32" s="192">
        <v>0</v>
      </c>
      <c r="AT32" s="192">
        <v>0</v>
      </c>
      <c r="AU32" s="192">
        <v>0</v>
      </c>
      <c r="AV32" s="192">
        <v>0</v>
      </c>
      <c r="AW32" s="192">
        <v>0</v>
      </c>
    </row>
    <row r="33" spans="3:49" x14ac:dyDescent="0.3">
      <c r="C33" s="192">
        <v>36</v>
      </c>
      <c r="D33" s="192">
        <v>7</v>
      </c>
      <c r="E33" s="192">
        <v>9</v>
      </c>
      <c r="F33" s="192">
        <v>83848</v>
      </c>
      <c r="G33" s="192">
        <v>0</v>
      </c>
      <c r="H33" s="192">
        <v>0</v>
      </c>
      <c r="I33" s="192">
        <v>0</v>
      </c>
      <c r="J33" s="192">
        <v>0</v>
      </c>
      <c r="K33" s="192">
        <v>0</v>
      </c>
      <c r="L33" s="192">
        <v>0</v>
      </c>
      <c r="M33" s="192">
        <v>0</v>
      </c>
      <c r="N33" s="192">
        <v>0</v>
      </c>
      <c r="O33" s="192">
        <v>0</v>
      </c>
      <c r="P33" s="192">
        <v>0</v>
      </c>
      <c r="Q33" s="192">
        <v>0</v>
      </c>
      <c r="R33" s="192">
        <v>0</v>
      </c>
      <c r="S33" s="192">
        <v>0</v>
      </c>
      <c r="T33" s="192">
        <v>0</v>
      </c>
      <c r="U33" s="192">
        <v>0</v>
      </c>
      <c r="V33" s="192">
        <v>0</v>
      </c>
      <c r="W33" s="192">
        <v>0</v>
      </c>
      <c r="X33" s="192">
        <v>0</v>
      </c>
      <c r="Y33" s="192">
        <v>0</v>
      </c>
      <c r="Z33" s="192">
        <v>0</v>
      </c>
      <c r="AA33" s="192">
        <v>0</v>
      </c>
      <c r="AB33" s="192">
        <v>0</v>
      </c>
      <c r="AC33" s="192">
        <v>0</v>
      </c>
      <c r="AD33" s="192">
        <v>0</v>
      </c>
      <c r="AE33" s="192">
        <v>0</v>
      </c>
      <c r="AF33" s="192">
        <v>0</v>
      </c>
      <c r="AG33" s="192">
        <v>0</v>
      </c>
      <c r="AH33" s="192">
        <v>0</v>
      </c>
      <c r="AI33" s="192">
        <v>83848</v>
      </c>
      <c r="AJ33" s="192">
        <v>0</v>
      </c>
      <c r="AK33" s="192">
        <v>0</v>
      </c>
      <c r="AL33" s="192">
        <v>0</v>
      </c>
      <c r="AM33" s="192">
        <v>0</v>
      </c>
      <c r="AN33" s="192">
        <v>0</v>
      </c>
      <c r="AO33" s="192">
        <v>0</v>
      </c>
      <c r="AP33" s="192">
        <v>0</v>
      </c>
      <c r="AQ33" s="192">
        <v>0</v>
      </c>
      <c r="AR33" s="192">
        <v>0</v>
      </c>
      <c r="AS33" s="192">
        <v>0</v>
      </c>
      <c r="AT33" s="192">
        <v>0</v>
      </c>
      <c r="AU33" s="192">
        <v>0</v>
      </c>
      <c r="AV33" s="192">
        <v>0</v>
      </c>
      <c r="AW33" s="192">
        <v>0</v>
      </c>
    </row>
    <row r="34" spans="3:49" x14ac:dyDescent="0.3">
      <c r="C34" s="192">
        <v>36</v>
      </c>
      <c r="D34" s="192">
        <v>7</v>
      </c>
      <c r="E34" s="192">
        <v>11</v>
      </c>
      <c r="F34" s="192">
        <v>1041.6666666666667</v>
      </c>
      <c r="G34" s="192">
        <v>0</v>
      </c>
      <c r="H34" s="192">
        <v>0</v>
      </c>
      <c r="I34" s="192">
        <v>0</v>
      </c>
      <c r="J34" s="192">
        <v>1041.6666666666667</v>
      </c>
      <c r="K34" s="192">
        <v>0</v>
      </c>
      <c r="L34" s="192">
        <v>0</v>
      </c>
      <c r="M34" s="192">
        <v>0</v>
      </c>
      <c r="N34" s="192">
        <v>0</v>
      </c>
      <c r="O34" s="192">
        <v>0</v>
      </c>
      <c r="P34" s="192">
        <v>0</v>
      </c>
      <c r="Q34" s="192">
        <v>0</v>
      </c>
      <c r="R34" s="192">
        <v>0</v>
      </c>
      <c r="S34" s="192">
        <v>0</v>
      </c>
      <c r="T34" s="192">
        <v>0</v>
      </c>
      <c r="U34" s="192">
        <v>0</v>
      </c>
      <c r="V34" s="192">
        <v>0</v>
      </c>
      <c r="W34" s="192">
        <v>0</v>
      </c>
      <c r="X34" s="192">
        <v>0</v>
      </c>
      <c r="Y34" s="192">
        <v>0</v>
      </c>
      <c r="Z34" s="192">
        <v>0</v>
      </c>
      <c r="AA34" s="192">
        <v>0</v>
      </c>
      <c r="AB34" s="192">
        <v>0</v>
      </c>
      <c r="AC34" s="192">
        <v>0</v>
      </c>
      <c r="AD34" s="192">
        <v>0</v>
      </c>
      <c r="AE34" s="192">
        <v>0</v>
      </c>
      <c r="AF34" s="192">
        <v>0</v>
      </c>
      <c r="AG34" s="192">
        <v>0</v>
      </c>
      <c r="AH34" s="192">
        <v>0</v>
      </c>
      <c r="AI34" s="192">
        <v>0</v>
      </c>
      <c r="AJ34" s="192">
        <v>0</v>
      </c>
      <c r="AK34" s="192">
        <v>0</v>
      </c>
      <c r="AL34" s="192">
        <v>0</v>
      </c>
      <c r="AM34" s="192">
        <v>0</v>
      </c>
      <c r="AN34" s="192">
        <v>0</v>
      </c>
      <c r="AO34" s="192">
        <v>0</v>
      </c>
      <c r="AP34" s="192">
        <v>0</v>
      </c>
      <c r="AQ34" s="192">
        <v>0</v>
      </c>
      <c r="AR34" s="192">
        <v>0</v>
      </c>
      <c r="AS34" s="192">
        <v>0</v>
      </c>
      <c r="AT34" s="192">
        <v>0</v>
      </c>
      <c r="AU34" s="192">
        <v>0</v>
      </c>
      <c r="AV34" s="192">
        <v>0</v>
      </c>
      <c r="AW34" s="192">
        <v>0</v>
      </c>
    </row>
    <row r="35" spans="3:49" x14ac:dyDescent="0.3">
      <c r="C35" s="192">
        <v>36</v>
      </c>
      <c r="D35" s="192">
        <v>8</v>
      </c>
      <c r="E35" s="192">
        <v>11</v>
      </c>
      <c r="F35" s="192">
        <v>1041.6666666666667</v>
      </c>
      <c r="G35" s="192">
        <v>0</v>
      </c>
      <c r="H35" s="192">
        <v>0</v>
      </c>
      <c r="I35" s="192">
        <v>0</v>
      </c>
      <c r="J35" s="192">
        <v>1041.6666666666667</v>
      </c>
      <c r="K35" s="192">
        <v>0</v>
      </c>
      <c r="L35" s="192">
        <v>0</v>
      </c>
      <c r="M35" s="192">
        <v>0</v>
      </c>
      <c r="N35" s="192">
        <v>0</v>
      </c>
      <c r="O35" s="192">
        <v>0</v>
      </c>
      <c r="P35" s="192">
        <v>0</v>
      </c>
      <c r="Q35" s="192">
        <v>0</v>
      </c>
      <c r="R35" s="192">
        <v>0</v>
      </c>
      <c r="S35" s="192">
        <v>0</v>
      </c>
      <c r="T35" s="192">
        <v>0</v>
      </c>
      <c r="U35" s="192">
        <v>0</v>
      </c>
      <c r="V35" s="192">
        <v>0</v>
      </c>
      <c r="W35" s="192">
        <v>0</v>
      </c>
      <c r="X35" s="192">
        <v>0</v>
      </c>
      <c r="Y35" s="192">
        <v>0</v>
      </c>
      <c r="Z35" s="192">
        <v>0</v>
      </c>
      <c r="AA35" s="192">
        <v>0</v>
      </c>
      <c r="AB35" s="192">
        <v>0</v>
      </c>
      <c r="AC35" s="192">
        <v>0</v>
      </c>
      <c r="AD35" s="192">
        <v>0</v>
      </c>
      <c r="AE35" s="192">
        <v>0</v>
      </c>
      <c r="AF35" s="192">
        <v>0</v>
      </c>
      <c r="AG35" s="192">
        <v>0</v>
      </c>
      <c r="AH35" s="192">
        <v>0</v>
      </c>
      <c r="AI35" s="192">
        <v>0</v>
      </c>
      <c r="AJ35" s="192">
        <v>0</v>
      </c>
      <c r="AK35" s="192">
        <v>0</v>
      </c>
      <c r="AL35" s="192">
        <v>0</v>
      </c>
      <c r="AM35" s="192">
        <v>0</v>
      </c>
      <c r="AN35" s="192">
        <v>0</v>
      </c>
      <c r="AO35" s="192">
        <v>0</v>
      </c>
      <c r="AP35" s="192">
        <v>0</v>
      </c>
      <c r="AQ35" s="192">
        <v>0</v>
      </c>
      <c r="AR35" s="192">
        <v>0</v>
      </c>
      <c r="AS35" s="192">
        <v>0</v>
      </c>
      <c r="AT35" s="192">
        <v>0</v>
      </c>
      <c r="AU35" s="192">
        <v>0</v>
      </c>
      <c r="AV35" s="192">
        <v>0</v>
      </c>
      <c r="AW35" s="192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1" customWidth="1" collapsed="1"/>
    <col min="2" max="2" width="7.77734375" style="78" hidden="1" customWidth="1" outlineLevel="1"/>
    <col min="3" max="4" width="5.44140625" style="101" hidden="1" customWidth="1"/>
    <col min="5" max="5" width="7.77734375" style="78" customWidth="1"/>
    <col min="6" max="6" width="7.77734375" style="78" hidden="1" customWidth="1"/>
    <col min="7" max="7" width="5.44140625" style="101" hidden="1" customWidth="1"/>
    <col min="8" max="8" width="7.77734375" style="78" customWidth="1" collapsed="1"/>
    <col min="9" max="9" width="7.77734375" style="179" hidden="1" customWidth="1" outlineLevel="1"/>
    <col min="10" max="10" width="7.77734375" style="179" customWidth="1" collapsed="1"/>
    <col min="11" max="12" width="7.77734375" style="78" hidden="1" customWidth="1"/>
    <col min="13" max="13" width="5.44140625" style="101" hidden="1" customWidth="1"/>
    <col min="14" max="14" width="7.77734375" style="78" customWidth="1"/>
    <col min="15" max="15" width="7.77734375" style="78" hidden="1" customWidth="1"/>
    <col min="16" max="16" width="5.44140625" style="101" hidden="1" customWidth="1"/>
    <col min="17" max="17" width="7.77734375" style="78" customWidth="1" collapsed="1"/>
    <col min="18" max="18" width="7.77734375" style="179" hidden="1" customWidth="1" outlineLevel="1"/>
    <col min="19" max="19" width="7.77734375" style="179" customWidth="1" collapsed="1"/>
    <col min="20" max="21" width="7.77734375" style="78" hidden="1" customWidth="1"/>
    <col min="22" max="22" width="5" style="101" hidden="1" customWidth="1"/>
    <col min="23" max="23" width="7.77734375" style="78" customWidth="1"/>
    <col min="24" max="24" width="7.77734375" style="78" hidden="1" customWidth="1"/>
    <col min="25" max="25" width="5" style="101" hidden="1" customWidth="1"/>
    <col min="26" max="26" width="7.77734375" style="78" customWidth="1" collapsed="1"/>
    <col min="27" max="27" width="7.77734375" style="179" hidden="1" customWidth="1" outlineLevel="1"/>
    <col min="28" max="28" width="7.77734375" style="179" customWidth="1" collapsed="1"/>
    <col min="29" max="16384" width="8.88671875" style="101"/>
  </cols>
  <sheetData>
    <row r="1" spans="1:28" ht="18.600000000000001" customHeight="1" thickBot="1" x14ac:dyDescent="0.4">
      <c r="A1" s="345" t="s">
        <v>332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</row>
    <row r="2" spans="1:28" ht="14.4" customHeight="1" thickBot="1" x14ac:dyDescent="0.35">
      <c r="A2" s="196" t="s">
        <v>206</v>
      </c>
      <c r="B2" s="83"/>
      <c r="C2" s="83"/>
      <c r="D2" s="83"/>
      <c r="E2" s="83"/>
      <c r="F2" s="83"/>
      <c r="G2" s="83"/>
      <c r="H2" s="83"/>
      <c r="I2" s="188"/>
      <c r="J2" s="188"/>
      <c r="K2" s="83"/>
      <c r="L2" s="83"/>
      <c r="M2" s="83"/>
      <c r="N2" s="83"/>
      <c r="O2" s="83"/>
      <c r="P2" s="83"/>
      <c r="Q2" s="83"/>
      <c r="R2" s="188"/>
      <c r="S2" s="188"/>
      <c r="T2" s="83"/>
      <c r="U2" s="83"/>
      <c r="V2" s="83"/>
      <c r="W2" s="83"/>
      <c r="X2" s="83"/>
      <c r="Y2" s="83"/>
      <c r="Z2" s="83"/>
      <c r="AA2" s="188"/>
      <c r="AB2" s="188"/>
    </row>
    <row r="3" spans="1:28" ht="14.4" customHeight="1" thickBot="1" x14ac:dyDescent="0.35">
      <c r="A3" s="181" t="s">
        <v>101</v>
      </c>
      <c r="B3" s="182">
        <f>SUBTOTAL(9,B6:B1048576)/4</f>
        <v>395766.66000000003</v>
      </c>
      <c r="C3" s="183">
        <f t="shared" ref="C3:Z3" si="0">SUBTOTAL(9,C6:C1048576)</f>
        <v>4</v>
      </c>
      <c r="D3" s="183"/>
      <c r="E3" s="183">
        <f>SUBTOTAL(9,E6:E1048576)/4</f>
        <v>452727.33999999997</v>
      </c>
      <c r="F3" s="183"/>
      <c r="G3" s="183">
        <f t="shared" si="0"/>
        <v>4</v>
      </c>
      <c r="H3" s="183">
        <f>SUBTOTAL(9,H6:H1048576)/4</f>
        <v>457832.33999999997</v>
      </c>
      <c r="I3" s="186">
        <f>IF(B3&lt;&gt;0,H3/B3,"")</f>
        <v>1.1568239224597643</v>
      </c>
      <c r="J3" s="184">
        <f>IF(E3&lt;&gt;0,H3/E3,"")</f>
        <v>1.0112761027421051</v>
      </c>
      <c r="K3" s="185">
        <f t="shared" si="0"/>
        <v>0</v>
      </c>
      <c r="L3" s="185"/>
      <c r="M3" s="183">
        <f t="shared" si="0"/>
        <v>0</v>
      </c>
      <c r="N3" s="183">
        <f t="shared" si="0"/>
        <v>0</v>
      </c>
      <c r="O3" s="183"/>
      <c r="P3" s="183">
        <f t="shared" si="0"/>
        <v>0</v>
      </c>
      <c r="Q3" s="183">
        <f t="shared" si="0"/>
        <v>0</v>
      </c>
      <c r="R3" s="186" t="str">
        <f>IF(K3&lt;&gt;0,Q3/K3,"")</f>
        <v/>
      </c>
      <c r="S3" s="186" t="str">
        <f>IF(N3&lt;&gt;0,Q3/N3,"")</f>
        <v/>
      </c>
      <c r="T3" s="182">
        <f t="shared" si="0"/>
        <v>0</v>
      </c>
      <c r="U3" s="185"/>
      <c r="V3" s="183">
        <f t="shared" si="0"/>
        <v>0</v>
      </c>
      <c r="W3" s="183">
        <f t="shared" si="0"/>
        <v>0</v>
      </c>
      <c r="X3" s="183"/>
      <c r="Y3" s="183">
        <f t="shared" si="0"/>
        <v>0</v>
      </c>
      <c r="Z3" s="183">
        <f t="shared" si="0"/>
        <v>0</v>
      </c>
      <c r="AA3" s="186" t="str">
        <f>IF(T3&lt;&gt;0,Z3/T3,"")</f>
        <v/>
      </c>
      <c r="AB3" s="184" t="str">
        <f>IF(W3&lt;&gt;0,Z3/W3,"")</f>
        <v/>
      </c>
    </row>
    <row r="4" spans="1:28" ht="14.4" customHeight="1" x14ac:dyDescent="0.3">
      <c r="A4" s="346" t="s">
        <v>171</v>
      </c>
      <c r="B4" s="347" t="s">
        <v>76</v>
      </c>
      <c r="C4" s="348"/>
      <c r="D4" s="349"/>
      <c r="E4" s="348"/>
      <c r="F4" s="349"/>
      <c r="G4" s="348"/>
      <c r="H4" s="348"/>
      <c r="I4" s="349"/>
      <c r="J4" s="350"/>
      <c r="K4" s="347" t="s">
        <v>77</v>
      </c>
      <c r="L4" s="349"/>
      <c r="M4" s="348"/>
      <c r="N4" s="348"/>
      <c r="O4" s="349"/>
      <c r="P4" s="348"/>
      <c r="Q4" s="348"/>
      <c r="R4" s="349"/>
      <c r="S4" s="350"/>
      <c r="T4" s="347" t="s">
        <v>78</v>
      </c>
      <c r="U4" s="349"/>
      <c r="V4" s="348"/>
      <c r="W4" s="348"/>
      <c r="X4" s="349"/>
      <c r="Y4" s="348"/>
      <c r="Z4" s="348"/>
      <c r="AA4" s="349"/>
      <c r="AB4" s="350"/>
    </row>
    <row r="5" spans="1:28" ht="14.4" customHeight="1" thickBot="1" x14ac:dyDescent="0.35">
      <c r="A5" s="422"/>
      <c r="B5" s="423">
        <v>2015</v>
      </c>
      <c r="C5" s="424"/>
      <c r="D5" s="424"/>
      <c r="E5" s="424">
        <v>2016</v>
      </c>
      <c r="F5" s="424"/>
      <c r="G5" s="424"/>
      <c r="H5" s="424">
        <v>2017</v>
      </c>
      <c r="I5" s="425" t="s">
        <v>193</v>
      </c>
      <c r="J5" s="426" t="s">
        <v>2</v>
      </c>
      <c r="K5" s="423">
        <v>2015</v>
      </c>
      <c r="L5" s="424"/>
      <c r="M5" s="424"/>
      <c r="N5" s="424">
        <v>2016</v>
      </c>
      <c r="O5" s="424"/>
      <c r="P5" s="424"/>
      <c r="Q5" s="424">
        <v>2017</v>
      </c>
      <c r="R5" s="425" t="s">
        <v>193</v>
      </c>
      <c r="S5" s="426" t="s">
        <v>2</v>
      </c>
      <c r="T5" s="423">
        <v>2015</v>
      </c>
      <c r="U5" s="424"/>
      <c r="V5" s="424"/>
      <c r="W5" s="424">
        <v>2016</v>
      </c>
      <c r="X5" s="424"/>
      <c r="Y5" s="424"/>
      <c r="Z5" s="424">
        <v>2017</v>
      </c>
      <c r="AA5" s="425" t="s">
        <v>193</v>
      </c>
      <c r="AB5" s="426" t="s">
        <v>2</v>
      </c>
    </row>
    <row r="6" spans="1:28" ht="14.4" customHeight="1" x14ac:dyDescent="0.3">
      <c r="A6" s="427" t="s">
        <v>330</v>
      </c>
      <c r="B6" s="428">
        <v>395766.66000000003</v>
      </c>
      <c r="C6" s="429">
        <v>1</v>
      </c>
      <c r="D6" s="429">
        <v>0.87418325564345212</v>
      </c>
      <c r="E6" s="428">
        <v>452727.33999999997</v>
      </c>
      <c r="F6" s="429">
        <v>1.143924907671606</v>
      </c>
      <c r="G6" s="429">
        <v>1</v>
      </c>
      <c r="H6" s="428">
        <v>457832.33999999997</v>
      </c>
      <c r="I6" s="429">
        <v>1.1568239224597643</v>
      </c>
      <c r="J6" s="429">
        <v>1.0112761027421051</v>
      </c>
      <c r="K6" s="428"/>
      <c r="L6" s="429"/>
      <c r="M6" s="429"/>
      <c r="N6" s="428"/>
      <c r="O6" s="429"/>
      <c r="P6" s="429"/>
      <c r="Q6" s="428"/>
      <c r="R6" s="429"/>
      <c r="S6" s="429"/>
      <c r="T6" s="428"/>
      <c r="U6" s="429"/>
      <c r="V6" s="429"/>
      <c r="W6" s="428"/>
      <c r="X6" s="429"/>
      <c r="Y6" s="429"/>
      <c r="Z6" s="428"/>
      <c r="AA6" s="429"/>
      <c r="AB6" s="430"/>
    </row>
    <row r="7" spans="1:28" ht="14.4" customHeight="1" thickBot="1" x14ac:dyDescent="0.35">
      <c r="A7" s="434" t="s">
        <v>331</v>
      </c>
      <c r="B7" s="431">
        <v>395766.66000000003</v>
      </c>
      <c r="C7" s="432">
        <v>1</v>
      </c>
      <c r="D7" s="432">
        <v>0.87418325564345212</v>
      </c>
      <c r="E7" s="431">
        <v>452727.33999999997</v>
      </c>
      <c r="F7" s="432">
        <v>1.143924907671606</v>
      </c>
      <c r="G7" s="432">
        <v>1</v>
      </c>
      <c r="H7" s="431">
        <v>457832.33999999997</v>
      </c>
      <c r="I7" s="432">
        <v>1.1568239224597643</v>
      </c>
      <c r="J7" s="432">
        <v>1.0112761027421051</v>
      </c>
      <c r="K7" s="431"/>
      <c r="L7" s="432"/>
      <c r="M7" s="432"/>
      <c r="N7" s="431"/>
      <c r="O7" s="432"/>
      <c r="P7" s="432"/>
      <c r="Q7" s="431"/>
      <c r="R7" s="432"/>
      <c r="S7" s="432"/>
      <c r="T7" s="431"/>
      <c r="U7" s="432"/>
      <c r="V7" s="432"/>
      <c r="W7" s="431"/>
      <c r="X7" s="432"/>
      <c r="Y7" s="432"/>
      <c r="Z7" s="431"/>
      <c r="AA7" s="432"/>
      <c r="AB7" s="433"/>
    </row>
    <row r="8" spans="1:28" ht="14.4" customHeight="1" thickBot="1" x14ac:dyDescent="0.35"/>
    <row r="9" spans="1:28" ht="14.4" customHeight="1" x14ac:dyDescent="0.3">
      <c r="A9" s="427" t="s">
        <v>319</v>
      </c>
      <c r="B9" s="428">
        <v>395766.66000000003</v>
      </c>
      <c r="C9" s="429">
        <v>1</v>
      </c>
      <c r="D9" s="429">
        <v>0.87418325564345212</v>
      </c>
      <c r="E9" s="428">
        <v>452727.33999999997</v>
      </c>
      <c r="F9" s="429">
        <v>1.143924907671606</v>
      </c>
      <c r="G9" s="429">
        <v>1</v>
      </c>
      <c r="H9" s="428">
        <v>457832.33999999997</v>
      </c>
      <c r="I9" s="429">
        <v>1.1568239224597643</v>
      </c>
      <c r="J9" s="430">
        <v>1.0112761027421051</v>
      </c>
    </row>
    <row r="10" spans="1:28" ht="14.4" customHeight="1" thickBot="1" x14ac:dyDescent="0.35">
      <c r="A10" s="434" t="s">
        <v>333</v>
      </c>
      <c r="B10" s="431">
        <v>395766.66000000003</v>
      </c>
      <c r="C10" s="432">
        <v>1</v>
      </c>
      <c r="D10" s="432">
        <v>0.87418325564345212</v>
      </c>
      <c r="E10" s="431">
        <v>452727.33999999997</v>
      </c>
      <c r="F10" s="432">
        <v>1.143924907671606</v>
      </c>
      <c r="G10" s="432">
        <v>1</v>
      </c>
      <c r="H10" s="431">
        <v>457832.33999999997</v>
      </c>
      <c r="I10" s="432">
        <v>1.1568239224597643</v>
      </c>
      <c r="J10" s="433">
        <v>1.0112761027421051</v>
      </c>
    </row>
    <row r="11" spans="1:28" ht="14.4" customHeight="1" x14ac:dyDescent="0.3">
      <c r="A11" s="435" t="s">
        <v>334</v>
      </c>
    </row>
    <row r="12" spans="1:28" ht="14.4" customHeight="1" x14ac:dyDescent="0.3">
      <c r="A12" s="436" t="s">
        <v>335</v>
      </c>
    </row>
    <row r="13" spans="1:28" ht="14.4" customHeight="1" x14ac:dyDescent="0.3">
      <c r="A13" s="435" t="s">
        <v>336</v>
      </c>
    </row>
    <row r="14" spans="1:28" ht="14.4" customHeight="1" x14ac:dyDescent="0.3">
      <c r="A14" s="435" t="s">
        <v>337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1" bestFit="1" customWidth="1"/>
    <col min="2" max="2" width="7.77734375" style="176" hidden="1" customWidth="1" outlineLevel="1"/>
    <col min="3" max="3" width="7.77734375" style="176" customWidth="1" collapsed="1"/>
    <col min="4" max="4" width="7.77734375" style="176" customWidth="1"/>
    <col min="5" max="5" width="7.77734375" style="78" hidden="1" customWidth="1" outlineLevel="1"/>
    <col min="6" max="6" width="7.77734375" style="78" customWidth="1" collapsed="1"/>
    <col min="7" max="7" width="7.77734375" style="78" customWidth="1"/>
    <col min="8" max="16384" width="8.88671875" style="101"/>
  </cols>
  <sheetData>
    <row r="1" spans="1:7" ht="18.600000000000001" customHeight="1" thickBot="1" x14ac:dyDescent="0.4">
      <c r="A1" s="345" t="s">
        <v>338</v>
      </c>
      <c r="B1" s="302"/>
      <c r="C1" s="302"/>
      <c r="D1" s="302"/>
      <c r="E1" s="302"/>
      <c r="F1" s="302"/>
      <c r="G1" s="302"/>
    </row>
    <row r="2" spans="1:7" ht="14.4" customHeight="1" thickBot="1" x14ac:dyDescent="0.35">
      <c r="A2" s="196" t="s">
        <v>206</v>
      </c>
      <c r="B2" s="83"/>
      <c r="C2" s="83"/>
      <c r="D2" s="83"/>
      <c r="E2" s="83"/>
      <c r="F2" s="83"/>
      <c r="G2" s="83"/>
    </row>
    <row r="3" spans="1:7" ht="14.4" customHeight="1" thickBot="1" x14ac:dyDescent="0.35">
      <c r="A3" s="277" t="s">
        <v>101</v>
      </c>
      <c r="B3" s="261">
        <f t="shared" ref="B3:G3" si="0">SUBTOTAL(9,B6:B1048576)</f>
        <v>888</v>
      </c>
      <c r="C3" s="262">
        <f t="shared" si="0"/>
        <v>993</v>
      </c>
      <c r="D3" s="276">
        <f t="shared" si="0"/>
        <v>992</v>
      </c>
      <c r="E3" s="185">
        <f t="shared" si="0"/>
        <v>395766.66000000003</v>
      </c>
      <c r="F3" s="183">
        <f t="shared" si="0"/>
        <v>452727.33999999997</v>
      </c>
      <c r="G3" s="263">
        <f t="shared" si="0"/>
        <v>457832.33999999997</v>
      </c>
    </row>
    <row r="4" spans="1:7" ht="14.4" customHeight="1" x14ac:dyDescent="0.3">
      <c r="A4" s="346" t="s">
        <v>102</v>
      </c>
      <c r="B4" s="351" t="s">
        <v>169</v>
      </c>
      <c r="C4" s="349"/>
      <c r="D4" s="352"/>
      <c r="E4" s="351" t="s">
        <v>76</v>
      </c>
      <c r="F4" s="349"/>
      <c r="G4" s="352"/>
    </row>
    <row r="5" spans="1:7" ht="14.4" customHeight="1" thickBot="1" x14ac:dyDescent="0.35">
      <c r="A5" s="422"/>
      <c r="B5" s="423">
        <v>2015</v>
      </c>
      <c r="C5" s="424">
        <v>2016</v>
      </c>
      <c r="D5" s="437">
        <v>2017</v>
      </c>
      <c r="E5" s="423">
        <v>2015</v>
      </c>
      <c r="F5" s="424">
        <v>2016</v>
      </c>
      <c r="G5" s="437">
        <v>2017</v>
      </c>
    </row>
    <row r="6" spans="1:7" ht="14.4" customHeight="1" thickBot="1" x14ac:dyDescent="0.35">
      <c r="A6" s="441" t="s">
        <v>333</v>
      </c>
      <c r="B6" s="438">
        <v>888</v>
      </c>
      <c r="C6" s="438">
        <v>993</v>
      </c>
      <c r="D6" s="438">
        <v>992</v>
      </c>
      <c r="E6" s="439">
        <v>395766.66000000003</v>
      </c>
      <c r="F6" s="439">
        <v>452727.33999999997</v>
      </c>
      <c r="G6" s="440">
        <v>457832.33999999997</v>
      </c>
    </row>
    <row r="7" spans="1:7" ht="14.4" customHeight="1" x14ac:dyDescent="0.3">
      <c r="A7" s="435" t="s">
        <v>334</v>
      </c>
    </row>
    <row r="8" spans="1:7" ht="14.4" customHeight="1" x14ac:dyDescent="0.3">
      <c r="A8" s="436" t="s">
        <v>335</v>
      </c>
    </row>
    <row r="9" spans="1:7" ht="14.4" customHeight="1" x14ac:dyDescent="0.3">
      <c r="A9" s="435" t="s">
        <v>336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1" customWidth="1"/>
    <col min="2" max="2" width="8.6640625" style="101" bestFit="1" customWidth="1"/>
    <col min="3" max="3" width="6.109375" style="101" customWidth="1"/>
    <col min="4" max="4" width="2.109375" style="101" bestFit="1" customWidth="1"/>
    <col min="5" max="5" width="8" style="101" customWidth="1"/>
    <col min="6" max="6" width="50.88671875" style="101" bestFit="1" customWidth="1" collapsed="1"/>
    <col min="7" max="8" width="11.109375" style="176" hidden="1" customWidth="1" outlineLevel="1"/>
    <col min="9" max="10" width="9.33203125" style="101" hidden="1" customWidth="1"/>
    <col min="11" max="12" width="11.109375" style="176" customWidth="1"/>
    <col min="13" max="14" width="9.33203125" style="101" hidden="1" customWidth="1"/>
    <col min="15" max="16" width="11.109375" style="176" customWidth="1"/>
    <col min="17" max="17" width="11.109375" style="179" customWidth="1"/>
    <col min="18" max="18" width="11.109375" style="176" customWidth="1"/>
    <col min="19" max="16384" width="8.88671875" style="101"/>
  </cols>
  <sheetData>
    <row r="1" spans="1:18" ht="18.600000000000001" customHeight="1" thickBot="1" x14ac:dyDescent="0.4">
      <c r="A1" s="302" t="s">
        <v>358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</row>
    <row r="2" spans="1:18" ht="14.4" customHeight="1" thickBot="1" x14ac:dyDescent="0.35">
      <c r="A2" s="196" t="s">
        <v>206</v>
      </c>
      <c r="B2" s="166"/>
      <c r="C2" s="166"/>
      <c r="D2" s="83"/>
      <c r="E2" s="83"/>
      <c r="F2" s="83"/>
      <c r="G2" s="191"/>
      <c r="H2" s="191"/>
      <c r="I2" s="83"/>
      <c r="J2" s="83"/>
      <c r="K2" s="191"/>
      <c r="L2" s="191"/>
      <c r="M2" s="83"/>
      <c r="N2" s="83"/>
      <c r="O2" s="191"/>
      <c r="P2" s="191"/>
      <c r="Q2" s="188"/>
      <c r="R2" s="191"/>
    </row>
    <row r="3" spans="1:18" ht="14.4" customHeight="1" thickBot="1" x14ac:dyDescent="0.35">
      <c r="F3" s="62" t="s">
        <v>101</v>
      </c>
      <c r="G3" s="74">
        <f t="shared" ref="G3:P3" si="0">SUBTOTAL(9,G6:G1048576)</f>
        <v>888</v>
      </c>
      <c r="H3" s="75">
        <f t="shared" si="0"/>
        <v>395766.66</v>
      </c>
      <c r="I3" s="57"/>
      <c r="J3" s="57"/>
      <c r="K3" s="75">
        <f t="shared" si="0"/>
        <v>993</v>
      </c>
      <c r="L3" s="75">
        <f t="shared" si="0"/>
        <v>452727.34</v>
      </c>
      <c r="M3" s="57"/>
      <c r="N3" s="57"/>
      <c r="O3" s="75">
        <f t="shared" si="0"/>
        <v>992</v>
      </c>
      <c r="P3" s="75">
        <f t="shared" si="0"/>
        <v>457832.34</v>
      </c>
      <c r="Q3" s="58">
        <f>IF(L3=0,0,P3/L3)</f>
        <v>1.0112761027421051</v>
      </c>
      <c r="R3" s="76">
        <f>IF(O3=0,0,P3/O3)</f>
        <v>461.5245362903226</v>
      </c>
    </row>
    <row r="4" spans="1:18" ht="14.4" customHeight="1" x14ac:dyDescent="0.3">
      <c r="A4" s="353" t="s">
        <v>194</v>
      </c>
      <c r="B4" s="353" t="s">
        <v>72</v>
      </c>
      <c r="C4" s="361" t="s">
        <v>0</v>
      </c>
      <c r="D4" s="355" t="s">
        <v>73</v>
      </c>
      <c r="E4" s="360" t="s">
        <v>48</v>
      </c>
      <c r="F4" s="356" t="s">
        <v>47</v>
      </c>
      <c r="G4" s="357">
        <v>2015</v>
      </c>
      <c r="H4" s="358"/>
      <c r="I4" s="73"/>
      <c r="J4" s="73"/>
      <c r="K4" s="357">
        <v>2016</v>
      </c>
      <c r="L4" s="358"/>
      <c r="M4" s="73"/>
      <c r="N4" s="73"/>
      <c r="O4" s="357">
        <v>2017</v>
      </c>
      <c r="P4" s="358"/>
      <c r="Q4" s="359" t="s">
        <v>2</v>
      </c>
      <c r="R4" s="354" t="s">
        <v>75</v>
      </c>
    </row>
    <row r="5" spans="1:18" ht="14.4" customHeight="1" thickBot="1" x14ac:dyDescent="0.35">
      <c r="A5" s="442"/>
      <c r="B5" s="442"/>
      <c r="C5" s="443"/>
      <c r="D5" s="444"/>
      <c r="E5" s="445"/>
      <c r="F5" s="446"/>
      <c r="G5" s="447" t="s">
        <v>49</v>
      </c>
      <c r="H5" s="448" t="s">
        <v>5</v>
      </c>
      <c r="I5" s="449"/>
      <c r="J5" s="449"/>
      <c r="K5" s="447" t="s">
        <v>49</v>
      </c>
      <c r="L5" s="448" t="s">
        <v>5</v>
      </c>
      <c r="M5" s="449"/>
      <c r="N5" s="449"/>
      <c r="O5" s="447" t="s">
        <v>49</v>
      </c>
      <c r="P5" s="448" t="s">
        <v>5</v>
      </c>
      <c r="Q5" s="450"/>
      <c r="R5" s="451"/>
    </row>
    <row r="6" spans="1:18" ht="14.4" customHeight="1" x14ac:dyDescent="0.3">
      <c r="A6" s="452" t="s">
        <v>339</v>
      </c>
      <c r="B6" s="453" t="s">
        <v>340</v>
      </c>
      <c r="C6" s="453" t="s">
        <v>319</v>
      </c>
      <c r="D6" s="453" t="s">
        <v>341</v>
      </c>
      <c r="E6" s="453" t="s">
        <v>342</v>
      </c>
      <c r="F6" s="453" t="s">
        <v>343</v>
      </c>
      <c r="G6" s="406">
        <v>3</v>
      </c>
      <c r="H6" s="406">
        <v>105</v>
      </c>
      <c r="I6" s="453"/>
      <c r="J6" s="453">
        <v>35</v>
      </c>
      <c r="K6" s="406"/>
      <c r="L6" s="406"/>
      <c r="M6" s="453"/>
      <c r="N6" s="453"/>
      <c r="O6" s="406"/>
      <c r="P6" s="406"/>
      <c r="Q6" s="407"/>
      <c r="R6" s="418"/>
    </row>
    <row r="7" spans="1:18" ht="14.4" customHeight="1" x14ac:dyDescent="0.3">
      <c r="A7" s="454" t="s">
        <v>339</v>
      </c>
      <c r="B7" s="455" t="s">
        <v>340</v>
      </c>
      <c r="C7" s="455" t="s">
        <v>319</v>
      </c>
      <c r="D7" s="455" t="s">
        <v>341</v>
      </c>
      <c r="E7" s="455" t="s">
        <v>344</v>
      </c>
      <c r="F7" s="455" t="s">
        <v>345</v>
      </c>
      <c r="G7" s="456"/>
      <c r="H7" s="456"/>
      <c r="I7" s="455"/>
      <c r="J7" s="455"/>
      <c r="K7" s="456">
        <v>1</v>
      </c>
      <c r="L7" s="456">
        <v>141</v>
      </c>
      <c r="M7" s="455">
        <v>1</v>
      </c>
      <c r="N7" s="455">
        <v>141</v>
      </c>
      <c r="O7" s="456">
        <v>5</v>
      </c>
      <c r="P7" s="456">
        <v>705</v>
      </c>
      <c r="Q7" s="457">
        <v>5</v>
      </c>
      <c r="R7" s="458">
        <v>141</v>
      </c>
    </row>
    <row r="8" spans="1:18" ht="14.4" customHeight="1" x14ac:dyDescent="0.3">
      <c r="A8" s="454" t="s">
        <v>339</v>
      </c>
      <c r="B8" s="455" t="s">
        <v>340</v>
      </c>
      <c r="C8" s="455" t="s">
        <v>319</v>
      </c>
      <c r="D8" s="455" t="s">
        <v>341</v>
      </c>
      <c r="E8" s="455" t="s">
        <v>346</v>
      </c>
      <c r="F8" s="455" t="s">
        <v>347</v>
      </c>
      <c r="G8" s="456">
        <v>94</v>
      </c>
      <c r="H8" s="456">
        <v>25192</v>
      </c>
      <c r="I8" s="455">
        <v>0.61384015594541907</v>
      </c>
      <c r="J8" s="455">
        <v>268</v>
      </c>
      <c r="K8" s="456">
        <v>144</v>
      </c>
      <c r="L8" s="456">
        <v>41040</v>
      </c>
      <c r="M8" s="455">
        <v>1</v>
      </c>
      <c r="N8" s="455">
        <v>285</v>
      </c>
      <c r="O8" s="456">
        <v>136</v>
      </c>
      <c r="P8" s="456">
        <v>37944</v>
      </c>
      <c r="Q8" s="457">
        <v>0.92456140350877192</v>
      </c>
      <c r="R8" s="458">
        <v>279</v>
      </c>
    </row>
    <row r="9" spans="1:18" ht="14.4" customHeight="1" x14ac:dyDescent="0.3">
      <c r="A9" s="454" t="s">
        <v>339</v>
      </c>
      <c r="B9" s="455" t="s">
        <v>340</v>
      </c>
      <c r="C9" s="455" t="s">
        <v>319</v>
      </c>
      <c r="D9" s="455" t="s">
        <v>341</v>
      </c>
      <c r="E9" s="455" t="s">
        <v>348</v>
      </c>
      <c r="F9" s="455" t="s">
        <v>349</v>
      </c>
      <c r="G9" s="456">
        <v>520</v>
      </c>
      <c r="H9" s="456">
        <v>269360</v>
      </c>
      <c r="I9" s="455">
        <v>0.96836701311120621</v>
      </c>
      <c r="J9" s="455">
        <v>518</v>
      </c>
      <c r="K9" s="456">
        <v>503</v>
      </c>
      <c r="L9" s="456">
        <v>278159</v>
      </c>
      <c r="M9" s="455">
        <v>1</v>
      </c>
      <c r="N9" s="455">
        <v>553</v>
      </c>
      <c r="O9" s="456">
        <v>522</v>
      </c>
      <c r="P9" s="456">
        <v>289188</v>
      </c>
      <c r="Q9" s="457">
        <v>1.0396499843614624</v>
      </c>
      <c r="R9" s="458">
        <v>554</v>
      </c>
    </row>
    <row r="10" spans="1:18" ht="14.4" customHeight="1" x14ac:dyDescent="0.3">
      <c r="A10" s="454" t="s">
        <v>339</v>
      </c>
      <c r="B10" s="455" t="s">
        <v>340</v>
      </c>
      <c r="C10" s="455" t="s">
        <v>319</v>
      </c>
      <c r="D10" s="455" t="s">
        <v>341</v>
      </c>
      <c r="E10" s="455" t="s">
        <v>350</v>
      </c>
      <c r="F10" s="455" t="s">
        <v>351</v>
      </c>
      <c r="G10" s="456">
        <v>9</v>
      </c>
      <c r="H10" s="456">
        <v>66.66</v>
      </c>
      <c r="I10" s="455">
        <v>7.1420918422011273E-2</v>
      </c>
      <c r="J10" s="455">
        <v>7.4066666666666663</v>
      </c>
      <c r="K10" s="456">
        <v>28</v>
      </c>
      <c r="L10" s="456">
        <v>933.33999999999992</v>
      </c>
      <c r="M10" s="455">
        <v>1</v>
      </c>
      <c r="N10" s="455">
        <v>33.333571428571425</v>
      </c>
      <c r="O10" s="456">
        <v>25</v>
      </c>
      <c r="P10" s="456">
        <v>833.34</v>
      </c>
      <c r="Q10" s="457">
        <v>0.89285790815779897</v>
      </c>
      <c r="R10" s="458">
        <v>33.333600000000004</v>
      </c>
    </row>
    <row r="11" spans="1:18" ht="14.4" customHeight="1" x14ac:dyDescent="0.3">
      <c r="A11" s="454" t="s">
        <v>339</v>
      </c>
      <c r="B11" s="455" t="s">
        <v>340</v>
      </c>
      <c r="C11" s="455" t="s">
        <v>319</v>
      </c>
      <c r="D11" s="455" t="s">
        <v>341</v>
      </c>
      <c r="E11" s="455" t="s">
        <v>352</v>
      </c>
      <c r="F11" s="455" t="s">
        <v>353</v>
      </c>
      <c r="G11" s="456">
        <v>27</v>
      </c>
      <c r="H11" s="456">
        <v>9450</v>
      </c>
      <c r="I11" s="455">
        <v>0.61959087332808815</v>
      </c>
      <c r="J11" s="455">
        <v>350</v>
      </c>
      <c r="K11" s="456">
        <v>41</v>
      </c>
      <c r="L11" s="456">
        <v>15252</v>
      </c>
      <c r="M11" s="455">
        <v>1</v>
      </c>
      <c r="N11" s="455">
        <v>372</v>
      </c>
      <c r="O11" s="456">
        <v>27</v>
      </c>
      <c r="P11" s="456">
        <v>10071</v>
      </c>
      <c r="Q11" s="457">
        <v>0.66030684500393388</v>
      </c>
      <c r="R11" s="458">
        <v>373</v>
      </c>
    </row>
    <row r="12" spans="1:18" ht="14.4" customHeight="1" x14ac:dyDescent="0.3">
      <c r="A12" s="454" t="s">
        <v>339</v>
      </c>
      <c r="B12" s="455" t="s">
        <v>340</v>
      </c>
      <c r="C12" s="455" t="s">
        <v>319</v>
      </c>
      <c r="D12" s="455" t="s">
        <v>341</v>
      </c>
      <c r="E12" s="455" t="s">
        <v>354</v>
      </c>
      <c r="F12" s="455" t="s">
        <v>355</v>
      </c>
      <c r="G12" s="456">
        <v>214</v>
      </c>
      <c r="H12" s="456">
        <v>86028</v>
      </c>
      <c r="I12" s="455">
        <v>0.77504099172958074</v>
      </c>
      <c r="J12" s="455">
        <v>402</v>
      </c>
      <c r="K12" s="456">
        <v>254</v>
      </c>
      <c r="L12" s="456">
        <v>110998</v>
      </c>
      <c r="M12" s="455">
        <v>1</v>
      </c>
      <c r="N12" s="455">
        <v>437</v>
      </c>
      <c r="O12" s="456">
        <v>275</v>
      </c>
      <c r="P12" s="456">
        <v>118525</v>
      </c>
      <c r="Q12" s="457">
        <v>1.0678120326492369</v>
      </c>
      <c r="R12" s="458">
        <v>431</v>
      </c>
    </row>
    <row r="13" spans="1:18" ht="14.4" customHeight="1" thickBot="1" x14ac:dyDescent="0.35">
      <c r="A13" s="459" t="s">
        <v>339</v>
      </c>
      <c r="B13" s="460" t="s">
        <v>340</v>
      </c>
      <c r="C13" s="460" t="s">
        <v>319</v>
      </c>
      <c r="D13" s="460" t="s">
        <v>341</v>
      </c>
      <c r="E13" s="460" t="s">
        <v>356</v>
      </c>
      <c r="F13" s="460" t="s">
        <v>357</v>
      </c>
      <c r="G13" s="409">
        <v>21</v>
      </c>
      <c r="H13" s="409">
        <v>5565</v>
      </c>
      <c r="I13" s="460">
        <v>0.89700193423597674</v>
      </c>
      <c r="J13" s="460">
        <v>265</v>
      </c>
      <c r="K13" s="409">
        <v>22</v>
      </c>
      <c r="L13" s="409">
        <v>6204</v>
      </c>
      <c r="M13" s="460">
        <v>1</v>
      </c>
      <c r="N13" s="460">
        <v>282</v>
      </c>
      <c r="O13" s="409">
        <v>2</v>
      </c>
      <c r="P13" s="409">
        <v>566</v>
      </c>
      <c r="Q13" s="410">
        <v>9.1231463571889104E-2</v>
      </c>
      <c r="R13" s="419">
        <v>283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1" customWidth="1"/>
    <col min="2" max="2" width="8.6640625" style="101" bestFit="1" customWidth="1"/>
    <col min="3" max="3" width="6.109375" style="101" customWidth="1"/>
    <col min="4" max="4" width="27.77734375" style="101" customWidth="1"/>
    <col min="5" max="5" width="2.109375" style="101" bestFit="1" customWidth="1"/>
    <col min="6" max="6" width="8" style="101" customWidth="1"/>
    <col min="7" max="7" width="50.88671875" style="101" bestFit="1" customWidth="1" collapsed="1"/>
    <col min="8" max="9" width="11.109375" style="176" hidden="1" customWidth="1" outlineLevel="1"/>
    <col min="10" max="11" width="9.33203125" style="101" hidden="1" customWidth="1"/>
    <col min="12" max="13" width="11.109375" style="176" customWidth="1"/>
    <col min="14" max="15" width="9.33203125" style="101" hidden="1" customWidth="1"/>
    <col min="16" max="17" width="11.109375" style="176" customWidth="1"/>
    <col min="18" max="18" width="11.109375" style="179" customWidth="1"/>
    <col min="19" max="19" width="11.109375" style="176" customWidth="1"/>
    <col min="20" max="16384" width="8.88671875" style="101"/>
  </cols>
  <sheetData>
    <row r="1" spans="1:19" ht="18.600000000000001" customHeight="1" thickBot="1" x14ac:dyDescent="0.4">
      <c r="A1" s="302" t="s">
        <v>359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</row>
    <row r="2" spans="1:19" ht="14.4" customHeight="1" thickBot="1" x14ac:dyDescent="0.35">
      <c r="A2" s="196" t="s">
        <v>206</v>
      </c>
      <c r="B2" s="166"/>
      <c r="C2" s="166"/>
      <c r="D2" s="166"/>
      <c r="E2" s="83"/>
      <c r="F2" s="83"/>
      <c r="G2" s="83"/>
      <c r="H2" s="191"/>
      <c r="I2" s="191"/>
      <c r="J2" s="83"/>
      <c r="K2" s="83"/>
      <c r="L2" s="191"/>
      <c r="M2" s="191"/>
      <c r="N2" s="83"/>
      <c r="O2" s="83"/>
      <c r="P2" s="191"/>
      <c r="Q2" s="191"/>
      <c r="R2" s="188"/>
      <c r="S2" s="191"/>
    </row>
    <row r="3" spans="1:19" ht="14.4" customHeight="1" thickBot="1" x14ac:dyDescent="0.35">
      <c r="G3" s="62" t="s">
        <v>101</v>
      </c>
      <c r="H3" s="74">
        <f t="shared" ref="H3:Q3" si="0">SUBTOTAL(9,H6:H1048576)</f>
        <v>888</v>
      </c>
      <c r="I3" s="75">
        <f t="shared" si="0"/>
        <v>395766.66</v>
      </c>
      <c r="J3" s="57"/>
      <c r="K3" s="57"/>
      <c r="L3" s="75">
        <f t="shared" si="0"/>
        <v>993</v>
      </c>
      <c r="M3" s="75">
        <f t="shared" si="0"/>
        <v>452727.34</v>
      </c>
      <c r="N3" s="57"/>
      <c r="O3" s="57"/>
      <c r="P3" s="75">
        <f t="shared" si="0"/>
        <v>992</v>
      </c>
      <c r="Q3" s="75">
        <f t="shared" si="0"/>
        <v>457832.34</v>
      </c>
      <c r="R3" s="58">
        <f>IF(M3=0,0,Q3/M3)</f>
        <v>1.0112761027421051</v>
      </c>
      <c r="S3" s="76">
        <f>IF(P3=0,0,Q3/P3)</f>
        <v>461.5245362903226</v>
      </c>
    </row>
    <row r="4" spans="1:19" ht="14.4" customHeight="1" x14ac:dyDescent="0.3">
      <c r="A4" s="353" t="s">
        <v>194</v>
      </c>
      <c r="B4" s="353" t="s">
        <v>72</v>
      </c>
      <c r="C4" s="361" t="s">
        <v>0</v>
      </c>
      <c r="D4" s="269" t="s">
        <v>102</v>
      </c>
      <c r="E4" s="355" t="s">
        <v>73</v>
      </c>
      <c r="F4" s="360" t="s">
        <v>48</v>
      </c>
      <c r="G4" s="356" t="s">
        <v>47</v>
      </c>
      <c r="H4" s="357">
        <v>2015</v>
      </c>
      <c r="I4" s="358"/>
      <c r="J4" s="73"/>
      <c r="K4" s="73"/>
      <c r="L4" s="357">
        <v>2016</v>
      </c>
      <c r="M4" s="358"/>
      <c r="N4" s="73"/>
      <c r="O4" s="73"/>
      <c r="P4" s="357">
        <v>2017</v>
      </c>
      <c r="Q4" s="358"/>
      <c r="R4" s="359" t="s">
        <v>2</v>
      </c>
      <c r="S4" s="354" t="s">
        <v>75</v>
      </c>
    </row>
    <row r="5" spans="1:19" ht="14.4" customHeight="1" thickBot="1" x14ac:dyDescent="0.35">
      <c r="A5" s="442"/>
      <c r="B5" s="442"/>
      <c r="C5" s="443"/>
      <c r="D5" s="461"/>
      <c r="E5" s="444"/>
      <c r="F5" s="445"/>
      <c r="G5" s="446"/>
      <c r="H5" s="447" t="s">
        <v>49</v>
      </c>
      <c r="I5" s="448" t="s">
        <v>5</v>
      </c>
      <c r="J5" s="449"/>
      <c r="K5" s="449"/>
      <c r="L5" s="447" t="s">
        <v>49</v>
      </c>
      <c r="M5" s="448" t="s">
        <v>5</v>
      </c>
      <c r="N5" s="449"/>
      <c r="O5" s="449"/>
      <c r="P5" s="447" t="s">
        <v>49</v>
      </c>
      <c r="Q5" s="448" t="s">
        <v>5</v>
      </c>
      <c r="R5" s="450"/>
      <c r="S5" s="451"/>
    </row>
    <row r="6" spans="1:19" ht="14.4" customHeight="1" x14ac:dyDescent="0.3">
      <c r="A6" s="452" t="s">
        <v>339</v>
      </c>
      <c r="B6" s="453" t="s">
        <v>340</v>
      </c>
      <c r="C6" s="453" t="s">
        <v>319</v>
      </c>
      <c r="D6" s="453" t="s">
        <v>333</v>
      </c>
      <c r="E6" s="453" t="s">
        <v>341</v>
      </c>
      <c r="F6" s="453" t="s">
        <v>342</v>
      </c>
      <c r="G6" s="453" t="s">
        <v>343</v>
      </c>
      <c r="H6" s="406">
        <v>3</v>
      </c>
      <c r="I6" s="406">
        <v>105</v>
      </c>
      <c r="J6" s="453"/>
      <c r="K6" s="453">
        <v>35</v>
      </c>
      <c r="L6" s="406"/>
      <c r="M6" s="406"/>
      <c r="N6" s="453"/>
      <c r="O6" s="453"/>
      <c r="P6" s="406"/>
      <c r="Q6" s="406"/>
      <c r="R6" s="407"/>
      <c r="S6" s="418"/>
    </row>
    <row r="7" spans="1:19" ht="14.4" customHeight="1" x14ac:dyDescent="0.3">
      <c r="A7" s="454" t="s">
        <v>339</v>
      </c>
      <c r="B7" s="455" t="s">
        <v>340</v>
      </c>
      <c r="C7" s="455" t="s">
        <v>319</v>
      </c>
      <c r="D7" s="455" t="s">
        <v>333</v>
      </c>
      <c r="E7" s="455" t="s">
        <v>341</v>
      </c>
      <c r="F7" s="455" t="s">
        <v>344</v>
      </c>
      <c r="G7" s="455" t="s">
        <v>345</v>
      </c>
      <c r="H7" s="456"/>
      <c r="I7" s="456"/>
      <c r="J7" s="455"/>
      <c r="K7" s="455"/>
      <c r="L7" s="456">
        <v>1</v>
      </c>
      <c r="M7" s="456">
        <v>141</v>
      </c>
      <c r="N7" s="455">
        <v>1</v>
      </c>
      <c r="O7" s="455">
        <v>141</v>
      </c>
      <c r="P7" s="456">
        <v>5</v>
      </c>
      <c r="Q7" s="456">
        <v>705</v>
      </c>
      <c r="R7" s="457">
        <v>5</v>
      </c>
      <c r="S7" s="458">
        <v>141</v>
      </c>
    </row>
    <row r="8" spans="1:19" ht="14.4" customHeight="1" x14ac:dyDescent="0.3">
      <c r="A8" s="454" t="s">
        <v>339</v>
      </c>
      <c r="B8" s="455" t="s">
        <v>340</v>
      </c>
      <c r="C8" s="455" t="s">
        <v>319</v>
      </c>
      <c r="D8" s="455" t="s">
        <v>333</v>
      </c>
      <c r="E8" s="455" t="s">
        <v>341</v>
      </c>
      <c r="F8" s="455" t="s">
        <v>346</v>
      </c>
      <c r="G8" s="455" t="s">
        <v>347</v>
      </c>
      <c r="H8" s="456">
        <v>94</v>
      </c>
      <c r="I8" s="456">
        <v>25192</v>
      </c>
      <c r="J8" s="455">
        <v>0.61384015594541907</v>
      </c>
      <c r="K8" s="455">
        <v>268</v>
      </c>
      <c r="L8" s="456">
        <v>144</v>
      </c>
      <c r="M8" s="456">
        <v>41040</v>
      </c>
      <c r="N8" s="455">
        <v>1</v>
      </c>
      <c r="O8" s="455">
        <v>285</v>
      </c>
      <c r="P8" s="456">
        <v>136</v>
      </c>
      <c r="Q8" s="456">
        <v>37944</v>
      </c>
      <c r="R8" s="457">
        <v>0.92456140350877192</v>
      </c>
      <c r="S8" s="458">
        <v>279</v>
      </c>
    </row>
    <row r="9" spans="1:19" ht="14.4" customHeight="1" x14ac:dyDescent="0.3">
      <c r="A9" s="454" t="s">
        <v>339</v>
      </c>
      <c r="B9" s="455" t="s">
        <v>340</v>
      </c>
      <c r="C9" s="455" t="s">
        <v>319</v>
      </c>
      <c r="D9" s="455" t="s">
        <v>333</v>
      </c>
      <c r="E9" s="455" t="s">
        <v>341</v>
      </c>
      <c r="F9" s="455" t="s">
        <v>348</v>
      </c>
      <c r="G9" s="455" t="s">
        <v>349</v>
      </c>
      <c r="H9" s="456">
        <v>520</v>
      </c>
      <c r="I9" s="456">
        <v>269360</v>
      </c>
      <c r="J9" s="455">
        <v>0.96836701311120621</v>
      </c>
      <c r="K9" s="455">
        <v>518</v>
      </c>
      <c r="L9" s="456">
        <v>503</v>
      </c>
      <c r="M9" s="456">
        <v>278159</v>
      </c>
      <c r="N9" s="455">
        <v>1</v>
      </c>
      <c r="O9" s="455">
        <v>553</v>
      </c>
      <c r="P9" s="456">
        <v>522</v>
      </c>
      <c r="Q9" s="456">
        <v>289188</v>
      </c>
      <c r="R9" s="457">
        <v>1.0396499843614624</v>
      </c>
      <c r="S9" s="458">
        <v>554</v>
      </c>
    </row>
    <row r="10" spans="1:19" ht="14.4" customHeight="1" x14ac:dyDescent="0.3">
      <c r="A10" s="454" t="s">
        <v>339</v>
      </c>
      <c r="B10" s="455" t="s">
        <v>340</v>
      </c>
      <c r="C10" s="455" t="s">
        <v>319</v>
      </c>
      <c r="D10" s="455" t="s">
        <v>333</v>
      </c>
      <c r="E10" s="455" t="s">
        <v>341</v>
      </c>
      <c r="F10" s="455" t="s">
        <v>350</v>
      </c>
      <c r="G10" s="455" t="s">
        <v>351</v>
      </c>
      <c r="H10" s="456">
        <v>9</v>
      </c>
      <c r="I10" s="456">
        <v>66.66</v>
      </c>
      <c r="J10" s="455">
        <v>7.1420918422011273E-2</v>
      </c>
      <c r="K10" s="455">
        <v>7.4066666666666663</v>
      </c>
      <c r="L10" s="456">
        <v>28</v>
      </c>
      <c r="M10" s="456">
        <v>933.33999999999992</v>
      </c>
      <c r="N10" s="455">
        <v>1</v>
      </c>
      <c r="O10" s="455">
        <v>33.333571428571425</v>
      </c>
      <c r="P10" s="456">
        <v>25</v>
      </c>
      <c r="Q10" s="456">
        <v>833.34</v>
      </c>
      <c r="R10" s="457">
        <v>0.89285790815779897</v>
      </c>
      <c r="S10" s="458">
        <v>33.333600000000004</v>
      </c>
    </row>
    <row r="11" spans="1:19" ht="14.4" customHeight="1" x14ac:dyDescent="0.3">
      <c r="A11" s="454" t="s">
        <v>339</v>
      </c>
      <c r="B11" s="455" t="s">
        <v>340</v>
      </c>
      <c r="C11" s="455" t="s">
        <v>319</v>
      </c>
      <c r="D11" s="455" t="s">
        <v>333</v>
      </c>
      <c r="E11" s="455" t="s">
        <v>341</v>
      </c>
      <c r="F11" s="455" t="s">
        <v>352</v>
      </c>
      <c r="G11" s="455" t="s">
        <v>353</v>
      </c>
      <c r="H11" s="456">
        <v>27</v>
      </c>
      <c r="I11" s="456">
        <v>9450</v>
      </c>
      <c r="J11" s="455">
        <v>0.61959087332808815</v>
      </c>
      <c r="K11" s="455">
        <v>350</v>
      </c>
      <c r="L11" s="456">
        <v>41</v>
      </c>
      <c r="M11" s="456">
        <v>15252</v>
      </c>
      <c r="N11" s="455">
        <v>1</v>
      </c>
      <c r="O11" s="455">
        <v>372</v>
      </c>
      <c r="P11" s="456">
        <v>27</v>
      </c>
      <c r="Q11" s="456">
        <v>10071</v>
      </c>
      <c r="R11" s="457">
        <v>0.66030684500393388</v>
      </c>
      <c r="S11" s="458">
        <v>373</v>
      </c>
    </row>
    <row r="12" spans="1:19" ht="14.4" customHeight="1" x14ac:dyDescent="0.3">
      <c r="A12" s="454" t="s">
        <v>339</v>
      </c>
      <c r="B12" s="455" t="s">
        <v>340</v>
      </c>
      <c r="C12" s="455" t="s">
        <v>319</v>
      </c>
      <c r="D12" s="455" t="s">
        <v>333</v>
      </c>
      <c r="E12" s="455" t="s">
        <v>341</v>
      </c>
      <c r="F12" s="455" t="s">
        <v>354</v>
      </c>
      <c r="G12" s="455" t="s">
        <v>355</v>
      </c>
      <c r="H12" s="456">
        <v>214</v>
      </c>
      <c r="I12" s="456">
        <v>86028</v>
      </c>
      <c r="J12" s="455">
        <v>0.77504099172958074</v>
      </c>
      <c r="K12" s="455">
        <v>402</v>
      </c>
      <c r="L12" s="456">
        <v>254</v>
      </c>
      <c r="M12" s="456">
        <v>110998</v>
      </c>
      <c r="N12" s="455">
        <v>1</v>
      </c>
      <c r="O12" s="455">
        <v>437</v>
      </c>
      <c r="P12" s="456">
        <v>275</v>
      </c>
      <c r="Q12" s="456">
        <v>118525</v>
      </c>
      <c r="R12" s="457">
        <v>1.0678120326492369</v>
      </c>
      <c r="S12" s="458">
        <v>431</v>
      </c>
    </row>
    <row r="13" spans="1:19" ht="14.4" customHeight="1" thickBot="1" x14ac:dyDescent="0.35">
      <c r="A13" s="459" t="s">
        <v>339</v>
      </c>
      <c r="B13" s="460" t="s">
        <v>340</v>
      </c>
      <c r="C13" s="460" t="s">
        <v>319</v>
      </c>
      <c r="D13" s="460" t="s">
        <v>333</v>
      </c>
      <c r="E13" s="460" t="s">
        <v>341</v>
      </c>
      <c r="F13" s="460" t="s">
        <v>356</v>
      </c>
      <c r="G13" s="460" t="s">
        <v>357</v>
      </c>
      <c r="H13" s="409">
        <v>21</v>
      </c>
      <c r="I13" s="409">
        <v>5565</v>
      </c>
      <c r="J13" s="460">
        <v>0.89700193423597674</v>
      </c>
      <c r="K13" s="460">
        <v>265</v>
      </c>
      <c r="L13" s="409">
        <v>22</v>
      </c>
      <c r="M13" s="409">
        <v>6204</v>
      </c>
      <c r="N13" s="460">
        <v>1</v>
      </c>
      <c r="O13" s="460">
        <v>282</v>
      </c>
      <c r="P13" s="409">
        <v>2</v>
      </c>
      <c r="Q13" s="409">
        <v>566</v>
      </c>
      <c r="R13" s="410">
        <v>9.1231463571889104E-2</v>
      </c>
      <c r="S13" s="419">
        <v>283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1" bestFit="1" customWidth="1" collapsed="1"/>
    <col min="2" max="2" width="7.77734375" style="78" hidden="1" customWidth="1" outlineLevel="1"/>
    <col min="3" max="3" width="0.109375" style="101" hidden="1" customWidth="1"/>
    <col min="4" max="4" width="7.77734375" style="78" customWidth="1"/>
    <col min="5" max="5" width="5.44140625" style="101" hidden="1" customWidth="1"/>
    <col min="6" max="6" width="7.77734375" style="78" customWidth="1"/>
    <col min="7" max="7" width="7.77734375" style="179" customWidth="1" collapsed="1"/>
    <col min="8" max="8" width="7.77734375" style="78" hidden="1" customWidth="1" outlineLevel="1"/>
    <col min="9" max="9" width="5.44140625" style="101" hidden="1" customWidth="1"/>
    <col min="10" max="10" width="7.77734375" style="78" customWidth="1"/>
    <col min="11" max="11" width="5.44140625" style="101" hidden="1" customWidth="1"/>
    <col min="12" max="12" width="7.77734375" style="78" customWidth="1"/>
    <col min="13" max="13" width="7.77734375" style="179" customWidth="1" collapsed="1"/>
    <col min="14" max="14" width="7.77734375" style="78" hidden="1" customWidth="1" outlineLevel="1"/>
    <col min="15" max="15" width="5" style="101" hidden="1" customWidth="1"/>
    <col min="16" max="16" width="7.77734375" style="78" customWidth="1"/>
    <col min="17" max="17" width="5" style="101" hidden="1" customWidth="1"/>
    <col min="18" max="18" width="7.77734375" style="78" customWidth="1"/>
    <col min="19" max="19" width="7.77734375" style="179" customWidth="1"/>
    <col min="20" max="16384" width="8.88671875" style="101"/>
  </cols>
  <sheetData>
    <row r="1" spans="1:19" ht="18.600000000000001" customHeight="1" thickBot="1" x14ac:dyDescent="0.4">
      <c r="A1" s="314" t="s">
        <v>100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4.4" customHeight="1" thickBot="1" x14ac:dyDescent="0.35">
      <c r="A2" s="196" t="s">
        <v>206</v>
      </c>
      <c r="B2" s="187"/>
      <c r="C2" s="83"/>
      <c r="D2" s="187"/>
      <c r="E2" s="83"/>
      <c r="F2" s="187"/>
      <c r="G2" s="188"/>
      <c r="H2" s="187"/>
      <c r="I2" s="83"/>
      <c r="J2" s="187"/>
      <c r="K2" s="83"/>
      <c r="L2" s="187"/>
      <c r="M2" s="188"/>
      <c r="N2" s="187"/>
      <c r="O2" s="83"/>
      <c r="P2" s="187"/>
      <c r="Q2" s="83"/>
      <c r="R2" s="187"/>
      <c r="S2" s="188"/>
    </row>
    <row r="3" spans="1:19" ht="14.4" customHeight="1" thickBot="1" x14ac:dyDescent="0.35">
      <c r="A3" s="181" t="s">
        <v>101</v>
      </c>
      <c r="B3" s="182">
        <f>SUBTOTAL(9,B6:B1048576)</f>
        <v>821754.32000000007</v>
      </c>
      <c r="C3" s="183">
        <f t="shared" ref="C3:R3" si="0">SUBTOTAL(9,C6:C1048576)</f>
        <v>14.218101228883336</v>
      </c>
      <c r="D3" s="183">
        <f t="shared" si="0"/>
        <v>917058.65999999992</v>
      </c>
      <c r="E3" s="183">
        <f t="shared" si="0"/>
        <v>8</v>
      </c>
      <c r="F3" s="183">
        <f t="shared" si="0"/>
        <v>348757.67</v>
      </c>
      <c r="G3" s="186">
        <f>IF(D3&lt;&gt;0,F3/D3,"")</f>
        <v>0.3803002852620137</v>
      </c>
      <c r="H3" s="182">
        <f t="shared" si="0"/>
        <v>0</v>
      </c>
      <c r="I3" s="183">
        <f t="shared" si="0"/>
        <v>0</v>
      </c>
      <c r="J3" s="183">
        <f t="shared" si="0"/>
        <v>0</v>
      </c>
      <c r="K3" s="183">
        <f t="shared" si="0"/>
        <v>0</v>
      </c>
      <c r="L3" s="183">
        <f t="shared" si="0"/>
        <v>0</v>
      </c>
      <c r="M3" s="184" t="str">
        <f>IF(J3&lt;&gt;0,L3/J3,"")</f>
        <v/>
      </c>
      <c r="N3" s="185">
        <f t="shared" si="0"/>
        <v>0</v>
      </c>
      <c r="O3" s="183">
        <f t="shared" si="0"/>
        <v>0</v>
      </c>
      <c r="P3" s="183">
        <f t="shared" si="0"/>
        <v>0</v>
      </c>
      <c r="Q3" s="183">
        <f t="shared" si="0"/>
        <v>0</v>
      </c>
      <c r="R3" s="183">
        <f t="shared" si="0"/>
        <v>0</v>
      </c>
      <c r="S3" s="184" t="str">
        <f>IF(P3&lt;&gt;0,R3/P3,"")</f>
        <v/>
      </c>
    </row>
    <row r="4" spans="1:19" ht="14.4" customHeight="1" x14ac:dyDescent="0.3">
      <c r="A4" s="346" t="s">
        <v>82</v>
      </c>
      <c r="B4" s="347" t="s">
        <v>76</v>
      </c>
      <c r="C4" s="348"/>
      <c r="D4" s="348"/>
      <c r="E4" s="348"/>
      <c r="F4" s="348"/>
      <c r="G4" s="350"/>
      <c r="H4" s="347" t="s">
        <v>77</v>
      </c>
      <c r="I4" s="348"/>
      <c r="J4" s="348"/>
      <c r="K4" s="348"/>
      <c r="L4" s="348"/>
      <c r="M4" s="350"/>
      <c r="N4" s="347" t="s">
        <v>78</v>
      </c>
      <c r="O4" s="348"/>
      <c r="P4" s="348"/>
      <c r="Q4" s="348"/>
      <c r="R4" s="348"/>
      <c r="S4" s="350"/>
    </row>
    <row r="5" spans="1:19" ht="14.4" customHeight="1" thickBot="1" x14ac:dyDescent="0.35">
      <c r="A5" s="422"/>
      <c r="B5" s="423">
        <v>2015</v>
      </c>
      <c r="C5" s="424"/>
      <c r="D5" s="424">
        <v>2016</v>
      </c>
      <c r="E5" s="424"/>
      <c r="F5" s="424">
        <v>2017</v>
      </c>
      <c r="G5" s="462" t="s">
        <v>2</v>
      </c>
      <c r="H5" s="423">
        <v>2015</v>
      </c>
      <c r="I5" s="424"/>
      <c r="J5" s="424">
        <v>2016</v>
      </c>
      <c r="K5" s="424"/>
      <c r="L5" s="424">
        <v>2017</v>
      </c>
      <c r="M5" s="462" t="s">
        <v>2</v>
      </c>
      <c r="N5" s="423">
        <v>2015</v>
      </c>
      <c r="O5" s="424"/>
      <c r="P5" s="424">
        <v>2016</v>
      </c>
      <c r="Q5" s="424"/>
      <c r="R5" s="424">
        <v>2017</v>
      </c>
      <c r="S5" s="462" t="s">
        <v>2</v>
      </c>
    </row>
    <row r="6" spans="1:19" ht="14.4" customHeight="1" x14ac:dyDescent="0.3">
      <c r="A6" s="405" t="s">
        <v>360</v>
      </c>
      <c r="B6" s="463">
        <v>5530</v>
      </c>
      <c r="C6" s="453">
        <v>10</v>
      </c>
      <c r="D6" s="463">
        <v>553</v>
      </c>
      <c r="E6" s="453">
        <v>1</v>
      </c>
      <c r="F6" s="463">
        <v>554</v>
      </c>
      <c r="G6" s="407">
        <v>1.0018083182640145</v>
      </c>
      <c r="H6" s="463"/>
      <c r="I6" s="453"/>
      <c r="J6" s="463"/>
      <c r="K6" s="453"/>
      <c r="L6" s="463"/>
      <c r="M6" s="407"/>
      <c r="N6" s="463"/>
      <c r="O6" s="453"/>
      <c r="P6" s="463"/>
      <c r="Q6" s="453"/>
      <c r="R6" s="463"/>
      <c r="S6" s="408"/>
    </row>
    <row r="7" spans="1:19" ht="14.4" customHeight="1" x14ac:dyDescent="0.3">
      <c r="A7" s="467" t="s">
        <v>361</v>
      </c>
      <c r="B7" s="464"/>
      <c r="C7" s="455"/>
      <c r="D7" s="464"/>
      <c r="E7" s="455"/>
      <c r="F7" s="464">
        <v>1108</v>
      </c>
      <c r="G7" s="457"/>
      <c r="H7" s="464"/>
      <c r="I7" s="455"/>
      <c r="J7" s="464"/>
      <c r="K7" s="455"/>
      <c r="L7" s="464"/>
      <c r="M7" s="457"/>
      <c r="N7" s="464"/>
      <c r="O7" s="455"/>
      <c r="P7" s="464"/>
      <c r="Q7" s="455"/>
      <c r="R7" s="464"/>
      <c r="S7" s="465"/>
    </row>
    <row r="8" spans="1:19" ht="14.4" customHeight="1" x14ac:dyDescent="0.3">
      <c r="A8" s="467" t="s">
        <v>362</v>
      </c>
      <c r="B8" s="464">
        <v>3108</v>
      </c>
      <c r="C8" s="455"/>
      <c r="D8" s="464"/>
      <c r="E8" s="455"/>
      <c r="F8" s="464">
        <v>4817</v>
      </c>
      <c r="G8" s="457"/>
      <c r="H8" s="464"/>
      <c r="I8" s="455"/>
      <c r="J8" s="464"/>
      <c r="K8" s="455"/>
      <c r="L8" s="464"/>
      <c r="M8" s="457"/>
      <c r="N8" s="464"/>
      <c r="O8" s="455"/>
      <c r="P8" s="464"/>
      <c r="Q8" s="455"/>
      <c r="R8" s="464"/>
      <c r="S8" s="465"/>
    </row>
    <row r="9" spans="1:19" ht="14.4" customHeight="1" x14ac:dyDescent="0.3">
      <c r="A9" s="467" t="s">
        <v>363</v>
      </c>
      <c r="B9" s="464">
        <v>2422</v>
      </c>
      <c r="C9" s="455"/>
      <c r="D9" s="464"/>
      <c r="E9" s="455"/>
      <c r="F9" s="464"/>
      <c r="G9" s="457"/>
      <c r="H9" s="464"/>
      <c r="I9" s="455"/>
      <c r="J9" s="464"/>
      <c r="K9" s="455"/>
      <c r="L9" s="464"/>
      <c r="M9" s="457"/>
      <c r="N9" s="464"/>
      <c r="O9" s="455"/>
      <c r="P9" s="464"/>
      <c r="Q9" s="455"/>
      <c r="R9" s="464"/>
      <c r="S9" s="465"/>
    </row>
    <row r="10" spans="1:19" ht="14.4" customHeight="1" x14ac:dyDescent="0.3">
      <c r="A10" s="467" t="s">
        <v>364</v>
      </c>
      <c r="B10" s="464"/>
      <c r="C10" s="455"/>
      <c r="D10" s="464">
        <v>553</v>
      </c>
      <c r="E10" s="455">
        <v>1</v>
      </c>
      <c r="F10" s="464">
        <v>554</v>
      </c>
      <c r="G10" s="457">
        <v>1.0018083182640145</v>
      </c>
      <c r="H10" s="464"/>
      <c r="I10" s="455"/>
      <c r="J10" s="464"/>
      <c r="K10" s="455"/>
      <c r="L10" s="464"/>
      <c r="M10" s="457"/>
      <c r="N10" s="464"/>
      <c r="O10" s="455"/>
      <c r="P10" s="464"/>
      <c r="Q10" s="455"/>
      <c r="R10" s="464"/>
      <c r="S10" s="465"/>
    </row>
    <row r="11" spans="1:19" ht="14.4" customHeight="1" x14ac:dyDescent="0.3">
      <c r="A11" s="467" t="s">
        <v>365</v>
      </c>
      <c r="B11" s="464">
        <v>6848</v>
      </c>
      <c r="C11" s="455">
        <v>0.43980124169351736</v>
      </c>
      <c r="D11" s="464">
        <v>15570.67</v>
      </c>
      <c r="E11" s="455">
        <v>1</v>
      </c>
      <c r="F11" s="464">
        <v>9158</v>
      </c>
      <c r="G11" s="457">
        <v>0.58815709279048367</v>
      </c>
      <c r="H11" s="464"/>
      <c r="I11" s="455"/>
      <c r="J11" s="464"/>
      <c r="K11" s="455"/>
      <c r="L11" s="464"/>
      <c r="M11" s="457"/>
      <c r="N11" s="464"/>
      <c r="O11" s="455"/>
      <c r="P11" s="464"/>
      <c r="Q11" s="455"/>
      <c r="R11" s="464"/>
      <c r="S11" s="465"/>
    </row>
    <row r="12" spans="1:19" ht="14.4" customHeight="1" x14ac:dyDescent="0.3">
      <c r="A12" s="467" t="s">
        <v>366</v>
      </c>
      <c r="B12" s="464">
        <v>350</v>
      </c>
      <c r="C12" s="455"/>
      <c r="D12" s="464"/>
      <c r="E12" s="455"/>
      <c r="F12" s="464"/>
      <c r="G12" s="457"/>
      <c r="H12" s="464"/>
      <c r="I12" s="455"/>
      <c r="J12" s="464"/>
      <c r="K12" s="455"/>
      <c r="L12" s="464"/>
      <c r="M12" s="457"/>
      <c r="N12" s="464"/>
      <c r="O12" s="455"/>
      <c r="P12" s="464"/>
      <c r="Q12" s="455"/>
      <c r="R12" s="464"/>
      <c r="S12" s="465"/>
    </row>
    <row r="13" spans="1:19" ht="14.4" customHeight="1" x14ac:dyDescent="0.3">
      <c r="A13" s="467" t="s">
        <v>367</v>
      </c>
      <c r="B13" s="464">
        <v>4494</v>
      </c>
      <c r="C13" s="455"/>
      <c r="D13" s="464"/>
      <c r="E13" s="455"/>
      <c r="F13" s="464"/>
      <c r="G13" s="457"/>
      <c r="H13" s="464"/>
      <c r="I13" s="455"/>
      <c r="J13" s="464"/>
      <c r="K13" s="455"/>
      <c r="L13" s="464"/>
      <c r="M13" s="457"/>
      <c r="N13" s="464"/>
      <c r="O13" s="455"/>
      <c r="P13" s="464"/>
      <c r="Q13" s="455"/>
      <c r="R13" s="464"/>
      <c r="S13" s="465"/>
    </row>
    <row r="14" spans="1:19" ht="14.4" customHeight="1" x14ac:dyDescent="0.3">
      <c r="A14" s="467" t="s">
        <v>368</v>
      </c>
      <c r="B14" s="464">
        <v>422783.33</v>
      </c>
      <c r="C14" s="455">
        <v>1.1262609331935238</v>
      </c>
      <c r="D14" s="464">
        <v>375386.66</v>
      </c>
      <c r="E14" s="455">
        <v>1</v>
      </c>
      <c r="F14" s="464">
        <v>198230.34</v>
      </c>
      <c r="G14" s="457">
        <v>0.52806975080041474</v>
      </c>
      <c r="H14" s="464"/>
      <c r="I14" s="455"/>
      <c r="J14" s="464"/>
      <c r="K14" s="455"/>
      <c r="L14" s="464"/>
      <c r="M14" s="457"/>
      <c r="N14" s="464"/>
      <c r="O14" s="455"/>
      <c r="P14" s="464"/>
      <c r="Q14" s="455"/>
      <c r="R14" s="464"/>
      <c r="S14" s="465"/>
    </row>
    <row r="15" spans="1:19" ht="14.4" customHeight="1" x14ac:dyDescent="0.3">
      <c r="A15" s="467" t="s">
        <v>369</v>
      </c>
      <c r="B15" s="464">
        <v>3205</v>
      </c>
      <c r="C15" s="455">
        <v>1.2403250773993808</v>
      </c>
      <c r="D15" s="464">
        <v>2584</v>
      </c>
      <c r="E15" s="455">
        <v>1</v>
      </c>
      <c r="F15" s="464"/>
      <c r="G15" s="457"/>
      <c r="H15" s="464"/>
      <c r="I15" s="455"/>
      <c r="J15" s="464"/>
      <c r="K15" s="455"/>
      <c r="L15" s="464"/>
      <c r="M15" s="457"/>
      <c r="N15" s="464"/>
      <c r="O15" s="455"/>
      <c r="P15" s="464"/>
      <c r="Q15" s="455"/>
      <c r="R15" s="464"/>
      <c r="S15" s="465"/>
    </row>
    <row r="16" spans="1:19" ht="14.4" customHeight="1" x14ac:dyDescent="0.3">
      <c r="A16" s="467" t="s">
        <v>370</v>
      </c>
      <c r="B16" s="464">
        <v>203040.00000000003</v>
      </c>
      <c r="C16" s="455">
        <v>0.7538529985910184</v>
      </c>
      <c r="D16" s="464">
        <v>269336.32999999996</v>
      </c>
      <c r="E16" s="455">
        <v>1</v>
      </c>
      <c r="F16" s="464">
        <v>91939.33</v>
      </c>
      <c r="G16" s="457">
        <v>0.34135510051688911</v>
      </c>
      <c r="H16" s="464"/>
      <c r="I16" s="455"/>
      <c r="J16" s="464"/>
      <c r="K16" s="455"/>
      <c r="L16" s="464"/>
      <c r="M16" s="457"/>
      <c r="N16" s="464"/>
      <c r="O16" s="455"/>
      <c r="P16" s="464"/>
      <c r="Q16" s="455"/>
      <c r="R16" s="464"/>
      <c r="S16" s="465"/>
    </row>
    <row r="17" spans="1:19" ht="14.4" customHeight="1" x14ac:dyDescent="0.3">
      <c r="A17" s="467" t="s">
        <v>371</v>
      </c>
      <c r="B17" s="464">
        <v>164060.66</v>
      </c>
      <c r="C17" s="455">
        <v>0.65786097800589449</v>
      </c>
      <c r="D17" s="464">
        <v>249385</v>
      </c>
      <c r="E17" s="455">
        <v>1</v>
      </c>
      <c r="F17" s="464">
        <v>42397</v>
      </c>
      <c r="G17" s="457">
        <v>0.17000621528961243</v>
      </c>
      <c r="H17" s="464"/>
      <c r="I17" s="455"/>
      <c r="J17" s="464"/>
      <c r="K17" s="455"/>
      <c r="L17" s="464"/>
      <c r="M17" s="457"/>
      <c r="N17" s="464"/>
      <c r="O17" s="455"/>
      <c r="P17" s="464"/>
      <c r="Q17" s="455"/>
      <c r="R17" s="464"/>
      <c r="S17" s="465"/>
    </row>
    <row r="18" spans="1:19" ht="14.4" customHeight="1" x14ac:dyDescent="0.3">
      <c r="A18" s="467" t="s">
        <v>372</v>
      </c>
      <c r="B18" s="464"/>
      <c r="C18" s="455"/>
      <c r="D18" s="464">
        <v>3690</v>
      </c>
      <c r="E18" s="455">
        <v>1</v>
      </c>
      <c r="F18" s="464"/>
      <c r="G18" s="457"/>
      <c r="H18" s="464"/>
      <c r="I18" s="455"/>
      <c r="J18" s="464"/>
      <c r="K18" s="455"/>
      <c r="L18" s="464"/>
      <c r="M18" s="457"/>
      <c r="N18" s="464"/>
      <c r="O18" s="455"/>
      <c r="P18" s="464"/>
      <c r="Q18" s="455"/>
      <c r="R18" s="464"/>
      <c r="S18" s="465"/>
    </row>
    <row r="19" spans="1:19" ht="14.4" customHeight="1" x14ac:dyDescent="0.3">
      <c r="A19" s="467" t="s">
        <v>373</v>
      </c>
      <c r="B19" s="464">
        <v>5395.33</v>
      </c>
      <c r="C19" s="455"/>
      <c r="D19" s="464"/>
      <c r="E19" s="455"/>
      <c r="F19" s="464"/>
      <c r="G19" s="457"/>
      <c r="H19" s="464"/>
      <c r="I19" s="455"/>
      <c r="J19" s="464"/>
      <c r="K19" s="455"/>
      <c r="L19" s="464"/>
      <c r="M19" s="457"/>
      <c r="N19" s="464"/>
      <c r="O19" s="455"/>
      <c r="P19" s="464"/>
      <c r="Q19" s="455"/>
      <c r="R19" s="464"/>
      <c r="S19" s="465"/>
    </row>
    <row r="20" spans="1:19" ht="14.4" customHeight="1" thickBot="1" x14ac:dyDescent="0.35">
      <c r="A20" s="468" t="s">
        <v>374</v>
      </c>
      <c r="B20" s="466">
        <v>518</v>
      </c>
      <c r="C20" s="460"/>
      <c r="D20" s="466"/>
      <c r="E20" s="460"/>
      <c r="F20" s="466"/>
      <c r="G20" s="410"/>
      <c r="H20" s="466"/>
      <c r="I20" s="460"/>
      <c r="J20" s="466"/>
      <c r="K20" s="460"/>
      <c r="L20" s="466"/>
      <c r="M20" s="410"/>
      <c r="N20" s="466"/>
      <c r="O20" s="460"/>
      <c r="P20" s="466"/>
      <c r="Q20" s="460"/>
      <c r="R20" s="466"/>
      <c r="S20" s="41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4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1" bestFit="1" customWidth="1"/>
    <col min="2" max="2" width="8.6640625" style="101" bestFit="1" customWidth="1"/>
    <col min="3" max="3" width="2.109375" style="101" bestFit="1" customWidth="1"/>
    <col min="4" max="4" width="8" style="101" bestFit="1" customWidth="1"/>
    <col min="5" max="5" width="52.88671875" style="101" bestFit="1" customWidth="1" collapsed="1"/>
    <col min="6" max="7" width="11.109375" style="176" hidden="1" customWidth="1" outlineLevel="1"/>
    <col min="8" max="9" width="9.33203125" style="176" hidden="1" customWidth="1"/>
    <col min="10" max="11" width="11.109375" style="176" customWidth="1"/>
    <col min="12" max="13" width="9.33203125" style="176" hidden="1" customWidth="1"/>
    <col min="14" max="15" width="11.109375" style="176" customWidth="1"/>
    <col min="16" max="16" width="11.109375" style="179" customWidth="1"/>
    <col min="17" max="17" width="11.109375" style="176" customWidth="1"/>
    <col min="18" max="16384" width="8.88671875" style="101"/>
  </cols>
  <sheetData>
    <row r="1" spans="1:17" ht="18.600000000000001" customHeight="1" thickBot="1" x14ac:dyDescent="0.4">
      <c r="A1" s="302" t="s">
        <v>389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</row>
    <row r="2" spans="1:17" ht="14.4" customHeight="1" thickBot="1" x14ac:dyDescent="0.35">
      <c r="A2" s="196" t="s">
        <v>206</v>
      </c>
      <c r="B2" s="102"/>
      <c r="C2" s="102"/>
      <c r="D2" s="102"/>
      <c r="E2" s="102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90"/>
      <c r="Q2" s="189"/>
    </row>
    <row r="3" spans="1:17" ht="14.4" customHeight="1" thickBot="1" x14ac:dyDescent="0.35">
      <c r="E3" s="62" t="s">
        <v>101</v>
      </c>
      <c r="F3" s="74">
        <f t="shared" ref="F3:O3" si="0">SUBTOTAL(9,F6:F1048576)</f>
        <v>1754</v>
      </c>
      <c r="G3" s="75">
        <f t="shared" si="0"/>
        <v>821754.32000000007</v>
      </c>
      <c r="H3" s="75"/>
      <c r="I3" s="75"/>
      <c r="J3" s="75">
        <f t="shared" si="0"/>
        <v>1753</v>
      </c>
      <c r="K3" s="75">
        <f t="shared" si="0"/>
        <v>917058.65999999992</v>
      </c>
      <c r="L3" s="75"/>
      <c r="M3" s="75"/>
      <c r="N3" s="75">
        <f t="shared" si="0"/>
        <v>698</v>
      </c>
      <c r="O3" s="75">
        <f t="shared" si="0"/>
        <v>348757.67</v>
      </c>
      <c r="P3" s="58">
        <f>IF(K3=0,0,O3/K3)</f>
        <v>0.3803002852620137</v>
      </c>
      <c r="Q3" s="76">
        <f>IF(N3=0,0,O3/N3)</f>
        <v>499.65282234957016</v>
      </c>
    </row>
    <row r="4" spans="1:17" ht="14.4" customHeight="1" x14ac:dyDescent="0.3">
      <c r="A4" s="355" t="s">
        <v>46</v>
      </c>
      <c r="B4" s="353" t="s">
        <v>72</v>
      </c>
      <c r="C4" s="355" t="s">
        <v>73</v>
      </c>
      <c r="D4" s="364" t="s">
        <v>74</v>
      </c>
      <c r="E4" s="356" t="s">
        <v>47</v>
      </c>
      <c r="F4" s="362">
        <v>2015</v>
      </c>
      <c r="G4" s="363"/>
      <c r="H4" s="77"/>
      <c r="I4" s="77"/>
      <c r="J4" s="362">
        <v>2016</v>
      </c>
      <c r="K4" s="363"/>
      <c r="L4" s="77"/>
      <c r="M4" s="77"/>
      <c r="N4" s="362">
        <v>2017</v>
      </c>
      <c r="O4" s="363"/>
      <c r="P4" s="365" t="s">
        <v>2</v>
      </c>
      <c r="Q4" s="354" t="s">
        <v>75</v>
      </c>
    </row>
    <row r="5" spans="1:17" ht="14.4" customHeight="1" thickBot="1" x14ac:dyDescent="0.35">
      <c r="A5" s="444"/>
      <c r="B5" s="442"/>
      <c r="C5" s="444"/>
      <c r="D5" s="469"/>
      <c r="E5" s="446"/>
      <c r="F5" s="470" t="s">
        <v>49</v>
      </c>
      <c r="G5" s="471" t="s">
        <v>5</v>
      </c>
      <c r="H5" s="472"/>
      <c r="I5" s="472"/>
      <c r="J5" s="470" t="s">
        <v>49</v>
      </c>
      <c r="K5" s="471" t="s">
        <v>5</v>
      </c>
      <c r="L5" s="472"/>
      <c r="M5" s="472"/>
      <c r="N5" s="470" t="s">
        <v>49</v>
      </c>
      <c r="O5" s="471" t="s">
        <v>5</v>
      </c>
      <c r="P5" s="473"/>
      <c r="Q5" s="451"/>
    </row>
    <row r="6" spans="1:17" ht="14.4" customHeight="1" x14ac:dyDescent="0.3">
      <c r="A6" s="452" t="s">
        <v>375</v>
      </c>
      <c r="B6" s="453" t="s">
        <v>340</v>
      </c>
      <c r="C6" s="453" t="s">
        <v>341</v>
      </c>
      <c r="D6" s="453" t="s">
        <v>348</v>
      </c>
      <c r="E6" s="453" t="s">
        <v>349</v>
      </c>
      <c r="F6" s="406">
        <v>10</v>
      </c>
      <c r="G6" s="406">
        <v>5180</v>
      </c>
      <c r="H6" s="406">
        <v>9.3670886075949369</v>
      </c>
      <c r="I6" s="406">
        <v>518</v>
      </c>
      <c r="J6" s="406">
        <v>1</v>
      </c>
      <c r="K6" s="406">
        <v>553</v>
      </c>
      <c r="L6" s="406">
        <v>1</v>
      </c>
      <c r="M6" s="406">
        <v>553</v>
      </c>
      <c r="N6" s="406">
        <v>1</v>
      </c>
      <c r="O6" s="406">
        <v>554</v>
      </c>
      <c r="P6" s="407">
        <v>1.0018083182640145</v>
      </c>
      <c r="Q6" s="418">
        <v>554</v>
      </c>
    </row>
    <row r="7" spans="1:17" ht="14.4" customHeight="1" x14ac:dyDescent="0.3">
      <c r="A7" s="454" t="s">
        <v>375</v>
      </c>
      <c r="B7" s="455" t="s">
        <v>340</v>
      </c>
      <c r="C7" s="455" t="s">
        <v>341</v>
      </c>
      <c r="D7" s="455" t="s">
        <v>350</v>
      </c>
      <c r="E7" s="455" t="s">
        <v>351</v>
      </c>
      <c r="F7" s="456">
        <v>1</v>
      </c>
      <c r="G7" s="456">
        <v>0</v>
      </c>
      <c r="H7" s="456"/>
      <c r="I7" s="456">
        <v>0</v>
      </c>
      <c r="J7" s="456"/>
      <c r="K7" s="456"/>
      <c r="L7" s="456"/>
      <c r="M7" s="456"/>
      <c r="N7" s="456"/>
      <c r="O7" s="456"/>
      <c r="P7" s="457"/>
      <c r="Q7" s="458"/>
    </row>
    <row r="8" spans="1:17" ht="14.4" customHeight="1" x14ac:dyDescent="0.3">
      <c r="A8" s="454" t="s">
        <v>375</v>
      </c>
      <c r="B8" s="455" t="s">
        <v>340</v>
      </c>
      <c r="C8" s="455" t="s">
        <v>341</v>
      </c>
      <c r="D8" s="455" t="s">
        <v>352</v>
      </c>
      <c r="E8" s="455" t="s">
        <v>353</v>
      </c>
      <c r="F8" s="456">
        <v>1</v>
      </c>
      <c r="G8" s="456">
        <v>350</v>
      </c>
      <c r="H8" s="456"/>
      <c r="I8" s="456">
        <v>350</v>
      </c>
      <c r="J8" s="456"/>
      <c r="K8" s="456"/>
      <c r="L8" s="456"/>
      <c r="M8" s="456"/>
      <c r="N8" s="456"/>
      <c r="O8" s="456"/>
      <c r="P8" s="457"/>
      <c r="Q8" s="458"/>
    </row>
    <row r="9" spans="1:17" ht="14.4" customHeight="1" x14ac:dyDescent="0.3">
      <c r="A9" s="454" t="s">
        <v>376</v>
      </c>
      <c r="B9" s="455" t="s">
        <v>340</v>
      </c>
      <c r="C9" s="455" t="s">
        <v>341</v>
      </c>
      <c r="D9" s="455" t="s">
        <v>348</v>
      </c>
      <c r="E9" s="455" t="s">
        <v>349</v>
      </c>
      <c r="F9" s="456"/>
      <c r="G9" s="456"/>
      <c r="H9" s="456"/>
      <c r="I9" s="456"/>
      <c r="J9" s="456"/>
      <c r="K9" s="456"/>
      <c r="L9" s="456"/>
      <c r="M9" s="456"/>
      <c r="N9" s="456">
        <v>2</v>
      </c>
      <c r="O9" s="456">
        <v>1108</v>
      </c>
      <c r="P9" s="457"/>
      <c r="Q9" s="458">
        <v>554</v>
      </c>
    </row>
    <row r="10" spans="1:17" ht="14.4" customHeight="1" x14ac:dyDescent="0.3">
      <c r="A10" s="454" t="s">
        <v>377</v>
      </c>
      <c r="B10" s="455" t="s">
        <v>340</v>
      </c>
      <c r="C10" s="455" t="s">
        <v>341</v>
      </c>
      <c r="D10" s="455" t="s">
        <v>348</v>
      </c>
      <c r="E10" s="455" t="s">
        <v>349</v>
      </c>
      <c r="F10" s="456">
        <v>6</v>
      </c>
      <c r="G10" s="456">
        <v>3108</v>
      </c>
      <c r="H10" s="456"/>
      <c r="I10" s="456">
        <v>518</v>
      </c>
      <c r="J10" s="456"/>
      <c r="K10" s="456"/>
      <c r="L10" s="456"/>
      <c r="M10" s="456"/>
      <c r="N10" s="456">
        <v>7</v>
      </c>
      <c r="O10" s="456">
        <v>3878</v>
      </c>
      <c r="P10" s="457"/>
      <c r="Q10" s="458">
        <v>554</v>
      </c>
    </row>
    <row r="11" spans="1:17" ht="14.4" customHeight="1" x14ac:dyDescent="0.3">
      <c r="A11" s="454" t="s">
        <v>377</v>
      </c>
      <c r="B11" s="455" t="s">
        <v>340</v>
      </c>
      <c r="C11" s="455" t="s">
        <v>341</v>
      </c>
      <c r="D11" s="455" t="s">
        <v>352</v>
      </c>
      <c r="E11" s="455" t="s">
        <v>353</v>
      </c>
      <c r="F11" s="456"/>
      <c r="G11" s="456"/>
      <c r="H11" s="456"/>
      <c r="I11" s="456"/>
      <c r="J11" s="456"/>
      <c r="K11" s="456"/>
      <c r="L11" s="456"/>
      <c r="M11" s="456"/>
      <c r="N11" s="456">
        <v>1</v>
      </c>
      <c r="O11" s="456">
        <v>373</v>
      </c>
      <c r="P11" s="457"/>
      <c r="Q11" s="458">
        <v>373</v>
      </c>
    </row>
    <row r="12" spans="1:17" ht="14.4" customHeight="1" x14ac:dyDescent="0.3">
      <c r="A12" s="454" t="s">
        <v>377</v>
      </c>
      <c r="B12" s="455" t="s">
        <v>340</v>
      </c>
      <c r="C12" s="455" t="s">
        <v>341</v>
      </c>
      <c r="D12" s="455" t="s">
        <v>356</v>
      </c>
      <c r="E12" s="455" t="s">
        <v>357</v>
      </c>
      <c r="F12" s="456"/>
      <c r="G12" s="456"/>
      <c r="H12" s="456"/>
      <c r="I12" s="456"/>
      <c r="J12" s="456"/>
      <c r="K12" s="456"/>
      <c r="L12" s="456"/>
      <c r="M12" s="456"/>
      <c r="N12" s="456">
        <v>2</v>
      </c>
      <c r="O12" s="456">
        <v>566</v>
      </c>
      <c r="P12" s="457"/>
      <c r="Q12" s="458">
        <v>283</v>
      </c>
    </row>
    <row r="13" spans="1:17" ht="14.4" customHeight="1" x14ac:dyDescent="0.3">
      <c r="A13" s="454" t="s">
        <v>378</v>
      </c>
      <c r="B13" s="455" t="s">
        <v>340</v>
      </c>
      <c r="C13" s="455" t="s">
        <v>341</v>
      </c>
      <c r="D13" s="455" t="s">
        <v>348</v>
      </c>
      <c r="E13" s="455" t="s">
        <v>349</v>
      </c>
      <c r="F13" s="456">
        <v>4</v>
      </c>
      <c r="G13" s="456">
        <v>2072</v>
      </c>
      <c r="H13" s="456"/>
      <c r="I13" s="456">
        <v>518</v>
      </c>
      <c r="J13" s="456"/>
      <c r="K13" s="456"/>
      <c r="L13" s="456"/>
      <c r="M13" s="456"/>
      <c r="N13" s="456"/>
      <c r="O13" s="456"/>
      <c r="P13" s="457"/>
      <c r="Q13" s="458"/>
    </row>
    <row r="14" spans="1:17" ht="14.4" customHeight="1" x14ac:dyDescent="0.3">
      <c r="A14" s="454" t="s">
        <v>378</v>
      </c>
      <c r="B14" s="455" t="s">
        <v>340</v>
      </c>
      <c r="C14" s="455" t="s">
        <v>341</v>
      </c>
      <c r="D14" s="455" t="s">
        <v>352</v>
      </c>
      <c r="E14" s="455" t="s">
        <v>353</v>
      </c>
      <c r="F14" s="456">
        <v>1</v>
      </c>
      <c r="G14" s="456">
        <v>350</v>
      </c>
      <c r="H14" s="456"/>
      <c r="I14" s="456">
        <v>350</v>
      </c>
      <c r="J14" s="456"/>
      <c r="K14" s="456"/>
      <c r="L14" s="456"/>
      <c r="M14" s="456"/>
      <c r="N14" s="456"/>
      <c r="O14" s="456"/>
      <c r="P14" s="457"/>
      <c r="Q14" s="458"/>
    </row>
    <row r="15" spans="1:17" ht="14.4" customHeight="1" x14ac:dyDescent="0.3">
      <c r="A15" s="454" t="s">
        <v>379</v>
      </c>
      <c r="B15" s="455" t="s">
        <v>340</v>
      </c>
      <c r="C15" s="455" t="s">
        <v>341</v>
      </c>
      <c r="D15" s="455" t="s">
        <v>348</v>
      </c>
      <c r="E15" s="455" t="s">
        <v>349</v>
      </c>
      <c r="F15" s="456"/>
      <c r="G15" s="456"/>
      <c r="H15" s="456"/>
      <c r="I15" s="456"/>
      <c r="J15" s="456">
        <v>1</v>
      </c>
      <c r="K15" s="456">
        <v>553</v>
      </c>
      <c r="L15" s="456">
        <v>1</v>
      </c>
      <c r="M15" s="456">
        <v>553</v>
      </c>
      <c r="N15" s="456">
        <v>1</v>
      </c>
      <c r="O15" s="456">
        <v>554</v>
      </c>
      <c r="P15" s="457">
        <v>1.0018083182640145</v>
      </c>
      <c r="Q15" s="458">
        <v>554</v>
      </c>
    </row>
    <row r="16" spans="1:17" ht="14.4" customHeight="1" x14ac:dyDescent="0.3">
      <c r="A16" s="454" t="s">
        <v>339</v>
      </c>
      <c r="B16" s="455" t="s">
        <v>340</v>
      </c>
      <c r="C16" s="455" t="s">
        <v>341</v>
      </c>
      <c r="D16" s="455" t="s">
        <v>348</v>
      </c>
      <c r="E16" s="455" t="s">
        <v>349</v>
      </c>
      <c r="F16" s="456">
        <v>11</v>
      </c>
      <c r="G16" s="456">
        <v>5698</v>
      </c>
      <c r="H16" s="456">
        <v>0.42932489451476791</v>
      </c>
      <c r="I16" s="456">
        <v>518</v>
      </c>
      <c r="J16" s="456">
        <v>24</v>
      </c>
      <c r="K16" s="456">
        <v>13272</v>
      </c>
      <c r="L16" s="456">
        <v>1</v>
      </c>
      <c r="M16" s="456">
        <v>553</v>
      </c>
      <c r="N16" s="456">
        <v>14</v>
      </c>
      <c r="O16" s="456">
        <v>7756</v>
      </c>
      <c r="P16" s="457">
        <v>0.58438818565400841</v>
      </c>
      <c r="Q16" s="458">
        <v>554</v>
      </c>
    </row>
    <row r="17" spans="1:17" ht="14.4" customHeight="1" x14ac:dyDescent="0.3">
      <c r="A17" s="454" t="s">
        <v>339</v>
      </c>
      <c r="B17" s="455" t="s">
        <v>340</v>
      </c>
      <c r="C17" s="455" t="s">
        <v>341</v>
      </c>
      <c r="D17" s="455" t="s">
        <v>350</v>
      </c>
      <c r="E17" s="455" t="s">
        <v>351</v>
      </c>
      <c r="F17" s="456">
        <v>3</v>
      </c>
      <c r="G17" s="456">
        <v>100</v>
      </c>
      <c r="H17" s="456">
        <v>1.4999250037498124</v>
      </c>
      <c r="I17" s="456">
        <v>33.333333333333336</v>
      </c>
      <c r="J17" s="456">
        <v>2</v>
      </c>
      <c r="K17" s="456">
        <v>66.67</v>
      </c>
      <c r="L17" s="456">
        <v>1</v>
      </c>
      <c r="M17" s="456">
        <v>33.335000000000001</v>
      </c>
      <c r="N17" s="456">
        <v>0</v>
      </c>
      <c r="O17" s="456">
        <v>0</v>
      </c>
      <c r="P17" s="457">
        <v>0</v>
      </c>
      <c r="Q17" s="458"/>
    </row>
    <row r="18" spans="1:17" ht="14.4" customHeight="1" x14ac:dyDescent="0.3">
      <c r="A18" s="454" t="s">
        <v>339</v>
      </c>
      <c r="B18" s="455" t="s">
        <v>340</v>
      </c>
      <c r="C18" s="455" t="s">
        <v>341</v>
      </c>
      <c r="D18" s="455" t="s">
        <v>352</v>
      </c>
      <c r="E18" s="455" t="s">
        <v>353</v>
      </c>
      <c r="F18" s="456">
        <v>3</v>
      </c>
      <c r="G18" s="456">
        <v>1050</v>
      </c>
      <c r="H18" s="456">
        <v>0.47043010752688175</v>
      </c>
      <c r="I18" s="456">
        <v>350</v>
      </c>
      <c r="J18" s="456">
        <v>6</v>
      </c>
      <c r="K18" s="456">
        <v>2232</v>
      </c>
      <c r="L18" s="456">
        <v>1</v>
      </c>
      <c r="M18" s="456">
        <v>372</v>
      </c>
      <c r="N18" s="456">
        <v>3</v>
      </c>
      <c r="O18" s="456">
        <v>1119</v>
      </c>
      <c r="P18" s="457">
        <v>0.50134408602150538</v>
      </c>
      <c r="Q18" s="458">
        <v>373</v>
      </c>
    </row>
    <row r="19" spans="1:17" ht="14.4" customHeight="1" x14ac:dyDescent="0.3">
      <c r="A19" s="454" t="s">
        <v>339</v>
      </c>
      <c r="B19" s="455" t="s">
        <v>340</v>
      </c>
      <c r="C19" s="455" t="s">
        <v>341</v>
      </c>
      <c r="D19" s="455" t="s">
        <v>356</v>
      </c>
      <c r="E19" s="455" t="s">
        <v>357</v>
      </c>
      <c r="F19" s="456"/>
      <c r="G19" s="456"/>
      <c r="H19" s="456"/>
      <c r="I19" s="456"/>
      <c r="J19" s="456">
        <v>0</v>
      </c>
      <c r="K19" s="456">
        <v>0</v>
      </c>
      <c r="L19" s="456"/>
      <c r="M19" s="456"/>
      <c r="N19" s="456">
        <v>1</v>
      </c>
      <c r="O19" s="456">
        <v>283</v>
      </c>
      <c r="P19" s="457"/>
      <c r="Q19" s="458">
        <v>283</v>
      </c>
    </row>
    <row r="20" spans="1:17" ht="14.4" customHeight="1" x14ac:dyDescent="0.3">
      <c r="A20" s="454" t="s">
        <v>380</v>
      </c>
      <c r="B20" s="455" t="s">
        <v>340</v>
      </c>
      <c r="C20" s="455" t="s">
        <v>341</v>
      </c>
      <c r="D20" s="455" t="s">
        <v>350</v>
      </c>
      <c r="E20" s="455" t="s">
        <v>351</v>
      </c>
      <c r="F20" s="456">
        <v>0</v>
      </c>
      <c r="G20" s="456">
        <v>0</v>
      </c>
      <c r="H20" s="456"/>
      <c r="I20" s="456"/>
      <c r="J20" s="456"/>
      <c r="K20" s="456"/>
      <c r="L20" s="456"/>
      <c r="M20" s="456"/>
      <c r="N20" s="456"/>
      <c r="O20" s="456"/>
      <c r="P20" s="457"/>
      <c r="Q20" s="458"/>
    </row>
    <row r="21" spans="1:17" ht="14.4" customHeight="1" x14ac:dyDescent="0.3">
      <c r="A21" s="454" t="s">
        <v>380</v>
      </c>
      <c r="B21" s="455" t="s">
        <v>340</v>
      </c>
      <c r="C21" s="455" t="s">
        <v>341</v>
      </c>
      <c r="D21" s="455" t="s">
        <v>352</v>
      </c>
      <c r="E21" s="455" t="s">
        <v>353</v>
      </c>
      <c r="F21" s="456">
        <v>1</v>
      </c>
      <c r="G21" s="456">
        <v>350</v>
      </c>
      <c r="H21" s="456"/>
      <c r="I21" s="456">
        <v>350</v>
      </c>
      <c r="J21" s="456"/>
      <c r="K21" s="456"/>
      <c r="L21" s="456"/>
      <c r="M21" s="456"/>
      <c r="N21" s="456"/>
      <c r="O21" s="456"/>
      <c r="P21" s="457"/>
      <c r="Q21" s="458"/>
    </row>
    <row r="22" spans="1:17" ht="14.4" customHeight="1" x14ac:dyDescent="0.3">
      <c r="A22" s="454" t="s">
        <v>381</v>
      </c>
      <c r="B22" s="455" t="s">
        <v>340</v>
      </c>
      <c r="C22" s="455" t="s">
        <v>341</v>
      </c>
      <c r="D22" s="455" t="s">
        <v>348</v>
      </c>
      <c r="E22" s="455" t="s">
        <v>349</v>
      </c>
      <c r="F22" s="456">
        <v>8</v>
      </c>
      <c r="G22" s="456">
        <v>4144</v>
      </c>
      <c r="H22" s="456"/>
      <c r="I22" s="456">
        <v>518</v>
      </c>
      <c r="J22" s="456"/>
      <c r="K22" s="456"/>
      <c r="L22" s="456"/>
      <c r="M22" s="456"/>
      <c r="N22" s="456"/>
      <c r="O22" s="456"/>
      <c r="P22" s="457"/>
      <c r="Q22" s="458"/>
    </row>
    <row r="23" spans="1:17" ht="14.4" customHeight="1" x14ac:dyDescent="0.3">
      <c r="A23" s="454" t="s">
        <v>381</v>
      </c>
      <c r="B23" s="455" t="s">
        <v>340</v>
      </c>
      <c r="C23" s="455" t="s">
        <v>341</v>
      </c>
      <c r="D23" s="455" t="s">
        <v>350</v>
      </c>
      <c r="E23" s="455" t="s">
        <v>351</v>
      </c>
      <c r="F23" s="456">
        <v>1</v>
      </c>
      <c r="G23" s="456">
        <v>0</v>
      </c>
      <c r="H23" s="456"/>
      <c r="I23" s="456">
        <v>0</v>
      </c>
      <c r="J23" s="456"/>
      <c r="K23" s="456"/>
      <c r="L23" s="456"/>
      <c r="M23" s="456"/>
      <c r="N23" s="456"/>
      <c r="O23" s="456"/>
      <c r="P23" s="457"/>
      <c r="Q23" s="458"/>
    </row>
    <row r="24" spans="1:17" ht="14.4" customHeight="1" x14ac:dyDescent="0.3">
      <c r="A24" s="454" t="s">
        <v>381</v>
      </c>
      <c r="B24" s="455" t="s">
        <v>340</v>
      </c>
      <c r="C24" s="455" t="s">
        <v>341</v>
      </c>
      <c r="D24" s="455" t="s">
        <v>352</v>
      </c>
      <c r="E24" s="455" t="s">
        <v>353</v>
      </c>
      <c r="F24" s="456">
        <v>1</v>
      </c>
      <c r="G24" s="456">
        <v>350</v>
      </c>
      <c r="H24" s="456"/>
      <c r="I24" s="456">
        <v>350</v>
      </c>
      <c r="J24" s="456"/>
      <c r="K24" s="456"/>
      <c r="L24" s="456"/>
      <c r="M24" s="456"/>
      <c r="N24" s="456"/>
      <c r="O24" s="456"/>
      <c r="P24" s="457"/>
      <c r="Q24" s="458"/>
    </row>
    <row r="25" spans="1:17" ht="14.4" customHeight="1" x14ac:dyDescent="0.3">
      <c r="A25" s="454" t="s">
        <v>382</v>
      </c>
      <c r="B25" s="455" t="s">
        <v>340</v>
      </c>
      <c r="C25" s="455" t="s">
        <v>341</v>
      </c>
      <c r="D25" s="455" t="s">
        <v>348</v>
      </c>
      <c r="E25" s="455" t="s">
        <v>349</v>
      </c>
      <c r="F25" s="456">
        <v>720</v>
      </c>
      <c r="G25" s="456">
        <v>372960</v>
      </c>
      <c r="H25" s="456">
        <v>1.1509050848922107</v>
      </c>
      <c r="I25" s="456">
        <v>518</v>
      </c>
      <c r="J25" s="456">
        <v>586</v>
      </c>
      <c r="K25" s="456">
        <v>324058</v>
      </c>
      <c r="L25" s="456">
        <v>1</v>
      </c>
      <c r="M25" s="456">
        <v>553</v>
      </c>
      <c r="N25" s="456">
        <v>286</v>
      </c>
      <c r="O25" s="456">
        <v>158444</v>
      </c>
      <c r="P25" s="457">
        <v>0.48893716556912653</v>
      </c>
      <c r="Q25" s="458">
        <v>554</v>
      </c>
    </row>
    <row r="26" spans="1:17" ht="14.4" customHeight="1" x14ac:dyDescent="0.3">
      <c r="A26" s="454" t="s">
        <v>382</v>
      </c>
      <c r="B26" s="455" t="s">
        <v>340</v>
      </c>
      <c r="C26" s="455" t="s">
        <v>341</v>
      </c>
      <c r="D26" s="455" t="s">
        <v>350</v>
      </c>
      <c r="E26" s="455" t="s">
        <v>351</v>
      </c>
      <c r="F26" s="456">
        <v>87</v>
      </c>
      <c r="G26" s="456">
        <v>1833.3299999999997</v>
      </c>
      <c r="H26" s="456">
        <v>2.3913207940938612</v>
      </c>
      <c r="I26" s="456">
        <v>21.072758620689651</v>
      </c>
      <c r="J26" s="456">
        <v>23</v>
      </c>
      <c r="K26" s="456">
        <v>766.66</v>
      </c>
      <c r="L26" s="456">
        <v>1</v>
      </c>
      <c r="M26" s="456">
        <v>33.333043478260869</v>
      </c>
      <c r="N26" s="456">
        <v>19</v>
      </c>
      <c r="O26" s="456">
        <v>633.34</v>
      </c>
      <c r="P26" s="457">
        <v>0.82610283567683207</v>
      </c>
      <c r="Q26" s="458">
        <v>33.333684210526314</v>
      </c>
    </row>
    <row r="27" spans="1:17" ht="14.4" customHeight="1" x14ac:dyDescent="0.3">
      <c r="A27" s="454" t="s">
        <v>382</v>
      </c>
      <c r="B27" s="455" t="s">
        <v>340</v>
      </c>
      <c r="C27" s="455" t="s">
        <v>341</v>
      </c>
      <c r="D27" s="455" t="s">
        <v>352</v>
      </c>
      <c r="E27" s="455" t="s">
        <v>353</v>
      </c>
      <c r="F27" s="456">
        <v>125</v>
      </c>
      <c r="G27" s="456">
        <v>43750</v>
      </c>
      <c r="H27" s="456">
        <v>0.98006272401433692</v>
      </c>
      <c r="I27" s="456">
        <v>350</v>
      </c>
      <c r="J27" s="456">
        <v>120</v>
      </c>
      <c r="K27" s="456">
        <v>44640</v>
      </c>
      <c r="L27" s="456">
        <v>1</v>
      </c>
      <c r="M27" s="456">
        <v>372</v>
      </c>
      <c r="N27" s="456">
        <v>86</v>
      </c>
      <c r="O27" s="456">
        <v>32078</v>
      </c>
      <c r="P27" s="457">
        <v>0.71859318996415766</v>
      </c>
      <c r="Q27" s="458">
        <v>373</v>
      </c>
    </row>
    <row r="28" spans="1:17" ht="14.4" customHeight="1" x14ac:dyDescent="0.3">
      <c r="A28" s="454" t="s">
        <v>382</v>
      </c>
      <c r="B28" s="455" t="s">
        <v>340</v>
      </c>
      <c r="C28" s="455" t="s">
        <v>341</v>
      </c>
      <c r="D28" s="455" t="s">
        <v>356</v>
      </c>
      <c r="E28" s="455" t="s">
        <v>357</v>
      </c>
      <c r="F28" s="456">
        <v>16</v>
      </c>
      <c r="G28" s="456">
        <v>4240</v>
      </c>
      <c r="H28" s="456">
        <v>0.71597433299560964</v>
      </c>
      <c r="I28" s="456">
        <v>265</v>
      </c>
      <c r="J28" s="456">
        <v>21</v>
      </c>
      <c r="K28" s="456">
        <v>5922</v>
      </c>
      <c r="L28" s="456">
        <v>1</v>
      </c>
      <c r="M28" s="456">
        <v>282</v>
      </c>
      <c r="N28" s="456">
        <v>25</v>
      </c>
      <c r="O28" s="456">
        <v>7075</v>
      </c>
      <c r="P28" s="457">
        <v>1.1946977372509286</v>
      </c>
      <c r="Q28" s="458">
        <v>283</v>
      </c>
    </row>
    <row r="29" spans="1:17" ht="14.4" customHeight="1" x14ac:dyDescent="0.3">
      <c r="A29" s="454" t="s">
        <v>383</v>
      </c>
      <c r="B29" s="455" t="s">
        <v>340</v>
      </c>
      <c r="C29" s="455" t="s">
        <v>341</v>
      </c>
      <c r="D29" s="455" t="s">
        <v>348</v>
      </c>
      <c r="E29" s="455" t="s">
        <v>349</v>
      </c>
      <c r="F29" s="456">
        <v>5</v>
      </c>
      <c r="G29" s="456">
        <v>2590</v>
      </c>
      <c r="H29" s="456">
        <v>1.1708860759493671</v>
      </c>
      <c r="I29" s="456">
        <v>518</v>
      </c>
      <c r="J29" s="456">
        <v>4</v>
      </c>
      <c r="K29" s="456">
        <v>2212</v>
      </c>
      <c r="L29" s="456">
        <v>1</v>
      </c>
      <c r="M29" s="456">
        <v>553</v>
      </c>
      <c r="N29" s="456"/>
      <c r="O29" s="456"/>
      <c r="P29" s="457"/>
      <c r="Q29" s="458"/>
    </row>
    <row r="30" spans="1:17" ht="14.4" customHeight="1" x14ac:dyDescent="0.3">
      <c r="A30" s="454" t="s">
        <v>383</v>
      </c>
      <c r="B30" s="455" t="s">
        <v>340</v>
      </c>
      <c r="C30" s="455" t="s">
        <v>341</v>
      </c>
      <c r="D30" s="455" t="s">
        <v>350</v>
      </c>
      <c r="E30" s="455" t="s">
        <v>351</v>
      </c>
      <c r="F30" s="456">
        <v>2</v>
      </c>
      <c r="G30" s="456">
        <v>0</v>
      </c>
      <c r="H30" s="456"/>
      <c r="I30" s="456">
        <v>0</v>
      </c>
      <c r="J30" s="456"/>
      <c r="K30" s="456"/>
      <c r="L30" s="456"/>
      <c r="M30" s="456"/>
      <c r="N30" s="456"/>
      <c r="O30" s="456"/>
      <c r="P30" s="457"/>
      <c r="Q30" s="458"/>
    </row>
    <row r="31" spans="1:17" ht="14.4" customHeight="1" x14ac:dyDescent="0.3">
      <c r="A31" s="454" t="s">
        <v>383</v>
      </c>
      <c r="B31" s="455" t="s">
        <v>340</v>
      </c>
      <c r="C31" s="455" t="s">
        <v>341</v>
      </c>
      <c r="D31" s="455" t="s">
        <v>352</v>
      </c>
      <c r="E31" s="455" t="s">
        <v>353</v>
      </c>
      <c r="F31" s="456">
        <v>1</v>
      </c>
      <c r="G31" s="456">
        <v>350</v>
      </c>
      <c r="H31" s="456">
        <v>0.94086021505376349</v>
      </c>
      <c r="I31" s="456">
        <v>350</v>
      </c>
      <c r="J31" s="456">
        <v>1</v>
      </c>
      <c r="K31" s="456">
        <v>372</v>
      </c>
      <c r="L31" s="456">
        <v>1</v>
      </c>
      <c r="M31" s="456">
        <v>372</v>
      </c>
      <c r="N31" s="456"/>
      <c r="O31" s="456"/>
      <c r="P31" s="457"/>
      <c r="Q31" s="458"/>
    </row>
    <row r="32" spans="1:17" ht="14.4" customHeight="1" x14ac:dyDescent="0.3">
      <c r="A32" s="454" t="s">
        <v>383</v>
      </c>
      <c r="B32" s="455" t="s">
        <v>340</v>
      </c>
      <c r="C32" s="455" t="s">
        <v>341</v>
      </c>
      <c r="D32" s="455" t="s">
        <v>356</v>
      </c>
      <c r="E32" s="455" t="s">
        <v>357</v>
      </c>
      <c r="F32" s="456">
        <v>1</v>
      </c>
      <c r="G32" s="456">
        <v>265</v>
      </c>
      <c r="H32" s="456"/>
      <c r="I32" s="456">
        <v>265</v>
      </c>
      <c r="J32" s="456"/>
      <c r="K32" s="456"/>
      <c r="L32" s="456"/>
      <c r="M32" s="456"/>
      <c r="N32" s="456"/>
      <c r="O32" s="456"/>
      <c r="P32" s="457"/>
      <c r="Q32" s="458"/>
    </row>
    <row r="33" spans="1:17" ht="14.4" customHeight="1" x14ac:dyDescent="0.3">
      <c r="A33" s="454" t="s">
        <v>384</v>
      </c>
      <c r="B33" s="455" t="s">
        <v>340</v>
      </c>
      <c r="C33" s="455" t="s">
        <v>341</v>
      </c>
      <c r="D33" s="455" t="s">
        <v>344</v>
      </c>
      <c r="E33" s="455" t="s">
        <v>345</v>
      </c>
      <c r="F33" s="456">
        <v>4</v>
      </c>
      <c r="G33" s="456">
        <v>532</v>
      </c>
      <c r="H33" s="456">
        <v>3.773049645390071</v>
      </c>
      <c r="I33" s="456">
        <v>133</v>
      </c>
      <c r="J33" s="456">
        <v>1</v>
      </c>
      <c r="K33" s="456">
        <v>141</v>
      </c>
      <c r="L33" s="456">
        <v>1</v>
      </c>
      <c r="M33" s="456">
        <v>141</v>
      </c>
      <c r="N33" s="456">
        <v>2</v>
      </c>
      <c r="O33" s="456">
        <v>282</v>
      </c>
      <c r="P33" s="457">
        <v>2</v>
      </c>
      <c r="Q33" s="458">
        <v>141</v>
      </c>
    </row>
    <row r="34" spans="1:17" ht="14.4" customHeight="1" x14ac:dyDescent="0.3">
      <c r="A34" s="454" t="s">
        <v>384</v>
      </c>
      <c r="B34" s="455" t="s">
        <v>340</v>
      </c>
      <c r="C34" s="455" t="s">
        <v>341</v>
      </c>
      <c r="D34" s="455" t="s">
        <v>348</v>
      </c>
      <c r="E34" s="455" t="s">
        <v>349</v>
      </c>
      <c r="F34" s="456">
        <v>386</v>
      </c>
      <c r="G34" s="456">
        <v>199948</v>
      </c>
      <c r="H34" s="456">
        <v>0.75014444035926253</v>
      </c>
      <c r="I34" s="456">
        <v>518</v>
      </c>
      <c r="J34" s="456">
        <v>482</v>
      </c>
      <c r="K34" s="456">
        <v>266546</v>
      </c>
      <c r="L34" s="456">
        <v>1</v>
      </c>
      <c r="M34" s="456">
        <v>553</v>
      </c>
      <c r="N34" s="456">
        <v>160</v>
      </c>
      <c r="O34" s="456">
        <v>88640</v>
      </c>
      <c r="P34" s="457">
        <v>0.33255047909178903</v>
      </c>
      <c r="Q34" s="458">
        <v>554</v>
      </c>
    </row>
    <row r="35" spans="1:17" ht="14.4" customHeight="1" x14ac:dyDescent="0.3">
      <c r="A35" s="454" t="s">
        <v>384</v>
      </c>
      <c r="B35" s="455" t="s">
        <v>340</v>
      </c>
      <c r="C35" s="455" t="s">
        <v>341</v>
      </c>
      <c r="D35" s="455" t="s">
        <v>350</v>
      </c>
      <c r="E35" s="455" t="s">
        <v>351</v>
      </c>
      <c r="F35" s="456">
        <v>4</v>
      </c>
      <c r="G35" s="456">
        <v>100</v>
      </c>
      <c r="H35" s="456">
        <v>3.0003000300030003</v>
      </c>
      <c r="I35" s="456">
        <v>25</v>
      </c>
      <c r="J35" s="456">
        <v>1</v>
      </c>
      <c r="K35" s="456">
        <v>33.33</v>
      </c>
      <c r="L35" s="456">
        <v>1</v>
      </c>
      <c r="M35" s="456">
        <v>33.33</v>
      </c>
      <c r="N35" s="456">
        <v>1</v>
      </c>
      <c r="O35" s="456">
        <v>33.33</v>
      </c>
      <c r="P35" s="457">
        <v>1</v>
      </c>
      <c r="Q35" s="458">
        <v>33.33</v>
      </c>
    </row>
    <row r="36" spans="1:17" ht="14.4" customHeight="1" x14ac:dyDescent="0.3">
      <c r="A36" s="454" t="s">
        <v>384</v>
      </c>
      <c r="B36" s="455" t="s">
        <v>340</v>
      </c>
      <c r="C36" s="455" t="s">
        <v>341</v>
      </c>
      <c r="D36" s="455" t="s">
        <v>352</v>
      </c>
      <c r="E36" s="455" t="s">
        <v>353</v>
      </c>
      <c r="F36" s="456">
        <v>4</v>
      </c>
      <c r="G36" s="456">
        <v>1400</v>
      </c>
      <c r="H36" s="456">
        <v>0.94086021505376349</v>
      </c>
      <c r="I36" s="456">
        <v>350</v>
      </c>
      <c r="J36" s="456">
        <v>4</v>
      </c>
      <c r="K36" s="456">
        <v>1488</v>
      </c>
      <c r="L36" s="456">
        <v>1</v>
      </c>
      <c r="M36" s="456">
        <v>372</v>
      </c>
      <c r="N36" s="456">
        <v>8</v>
      </c>
      <c r="O36" s="456">
        <v>2984</v>
      </c>
      <c r="P36" s="457">
        <v>2.0053763440860215</v>
      </c>
      <c r="Q36" s="458">
        <v>373</v>
      </c>
    </row>
    <row r="37" spans="1:17" ht="14.4" customHeight="1" x14ac:dyDescent="0.3">
      <c r="A37" s="454" t="s">
        <v>384</v>
      </c>
      <c r="B37" s="455" t="s">
        <v>340</v>
      </c>
      <c r="C37" s="455" t="s">
        <v>341</v>
      </c>
      <c r="D37" s="455" t="s">
        <v>356</v>
      </c>
      <c r="E37" s="455" t="s">
        <v>357</v>
      </c>
      <c r="F37" s="456">
        <v>4</v>
      </c>
      <c r="G37" s="456">
        <v>1060</v>
      </c>
      <c r="H37" s="456">
        <v>0.93971631205673756</v>
      </c>
      <c r="I37" s="456">
        <v>265</v>
      </c>
      <c r="J37" s="456">
        <v>4</v>
      </c>
      <c r="K37" s="456">
        <v>1128</v>
      </c>
      <c r="L37" s="456">
        <v>1</v>
      </c>
      <c r="M37" s="456">
        <v>282</v>
      </c>
      <c r="N37" s="456"/>
      <c r="O37" s="456"/>
      <c r="P37" s="457"/>
      <c r="Q37" s="458"/>
    </row>
    <row r="38" spans="1:17" ht="14.4" customHeight="1" x14ac:dyDescent="0.3">
      <c r="A38" s="454" t="s">
        <v>385</v>
      </c>
      <c r="B38" s="455" t="s">
        <v>340</v>
      </c>
      <c r="C38" s="455" t="s">
        <v>341</v>
      </c>
      <c r="D38" s="455" t="s">
        <v>344</v>
      </c>
      <c r="E38" s="455" t="s">
        <v>345</v>
      </c>
      <c r="F38" s="456">
        <v>2</v>
      </c>
      <c r="G38" s="456">
        <v>266</v>
      </c>
      <c r="H38" s="456">
        <v>0.31442080378250592</v>
      </c>
      <c r="I38" s="456">
        <v>133</v>
      </c>
      <c r="J38" s="456">
        <v>6</v>
      </c>
      <c r="K38" s="456">
        <v>846</v>
      </c>
      <c r="L38" s="456">
        <v>1</v>
      </c>
      <c r="M38" s="456">
        <v>141</v>
      </c>
      <c r="N38" s="456">
        <v>2</v>
      </c>
      <c r="O38" s="456">
        <v>282</v>
      </c>
      <c r="P38" s="457">
        <v>0.33333333333333331</v>
      </c>
      <c r="Q38" s="458">
        <v>141</v>
      </c>
    </row>
    <row r="39" spans="1:17" ht="14.4" customHeight="1" x14ac:dyDescent="0.3">
      <c r="A39" s="454" t="s">
        <v>385</v>
      </c>
      <c r="B39" s="455" t="s">
        <v>340</v>
      </c>
      <c r="C39" s="455" t="s">
        <v>341</v>
      </c>
      <c r="D39" s="455" t="s">
        <v>348</v>
      </c>
      <c r="E39" s="455" t="s">
        <v>349</v>
      </c>
      <c r="F39" s="456">
        <v>311</v>
      </c>
      <c r="G39" s="456">
        <v>161098</v>
      </c>
      <c r="H39" s="456">
        <v>0.65759922279052485</v>
      </c>
      <c r="I39" s="456">
        <v>518</v>
      </c>
      <c r="J39" s="456">
        <v>443</v>
      </c>
      <c r="K39" s="456">
        <v>244979</v>
      </c>
      <c r="L39" s="456">
        <v>1</v>
      </c>
      <c r="M39" s="456">
        <v>553</v>
      </c>
      <c r="N39" s="456">
        <v>74</v>
      </c>
      <c r="O39" s="456">
        <v>40996</v>
      </c>
      <c r="P39" s="457">
        <v>0.16734495609827782</v>
      </c>
      <c r="Q39" s="458">
        <v>554</v>
      </c>
    </row>
    <row r="40" spans="1:17" ht="14.4" customHeight="1" x14ac:dyDescent="0.3">
      <c r="A40" s="454" t="s">
        <v>385</v>
      </c>
      <c r="B40" s="455" t="s">
        <v>340</v>
      </c>
      <c r="C40" s="455" t="s">
        <v>341</v>
      </c>
      <c r="D40" s="455" t="s">
        <v>350</v>
      </c>
      <c r="E40" s="455" t="s">
        <v>351</v>
      </c>
      <c r="F40" s="456">
        <v>10</v>
      </c>
      <c r="G40" s="456">
        <v>66.66</v>
      </c>
      <c r="H40" s="456">
        <v>0.33329999999999999</v>
      </c>
      <c r="I40" s="456">
        <v>6.6659999999999995</v>
      </c>
      <c r="J40" s="456">
        <v>6</v>
      </c>
      <c r="K40" s="456">
        <v>200</v>
      </c>
      <c r="L40" s="456">
        <v>1</v>
      </c>
      <c r="M40" s="456">
        <v>33.333333333333336</v>
      </c>
      <c r="N40" s="456"/>
      <c r="O40" s="456"/>
      <c r="P40" s="457"/>
      <c r="Q40" s="458"/>
    </row>
    <row r="41" spans="1:17" ht="14.4" customHeight="1" x14ac:dyDescent="0.3">
      <c r="A41" s="454" t="s">
        <v>385</v>
      </c>
      <c r="B41" s="455" t="s">
        <v>340</v>
      </c>
      <c r="C41" s="455" t="s">
        <v>341</v>
      </c>
      <c r="D41" s="455" t="s">
        <v>352</v>
      </c>
      <c r="E41" s="455" t="s">
        <v>353</v>
      </c>
      <c r="F41" s="456">
        <v>6</v>
      </c>
      <c r="G41" s="456">
        <v>2100</v>
      </c>
      <c r="H41" s="456">
        <v>0.94086021505376349</v>
      </c>
      <c r="I41" s="456">
        <v>350</v>
      </c>
      <c r="J41" s="456">
        <v>6</v>
      </c>
      <c r="K41" s="456">
        <v>2232</v>
      </c>
      <c r="L41" s="456">
        <v>1</v>
      </c>
      <c r="M41" s="456">
        <v>372</v>
      </c>
      <c r="N41" s="456">
        <v>3</v>
      </c>
      <c r="O41" s="456">
        <v>1119</v>
      </c>
      <c r="P41" s="457">
        <v>0.50134408602150538</v>
      </c>
      <c r="Q41" s="458">
        <v>373</v>
      </c>
    </row>
    <row r="42" spans="1:17" ht="14.4" customHeight="1" x14ac:dyDescent="0.3">
      <c r="A42" s="454" t="s">
        <v>385</v>
      </c>
      <c r="B42" s="455" t="s">
        <v>340</v>
      </c>
      <c r="C42" s="455" t="s">
        <v>341</v>
      </c>
      <c r="D42" s="455" t="s">
        <v>356</v>
      </c>
      <c r="E42" s="455" t="s">
        <v>357</v>
      </c>
      <c r="F42" s="456">
        <v>2</v>
      </c>
      <c r="G42" s="456">
        <v>530</v>
      </c>
      <c r="H42" s="456">
        <v>0.46985815602836878</v>
      </c>
      <c r="I42" s="456">
        <v>265</v>
      </c>
      <c r="J42" s="456">
        <v>4</v>
      </c>
      <c r="K42" s="456">
        <v>1128</v>
      </c>
      <c r="L42" s="456">
        <v>1</v>
      </c>
      <c r="M42" s="456">
        <v>282</v>
      </c>
      <c r="N42" s="456"/>
      <c r="O42" s="456"/>
      <c r="P42" s="457"/>
      <c r="Q42" s="458"/>
    </row>
    <row r="43" spans="1:17" ht="14.4" customHeight="1" x14ac:dyDescent="0.3">
      <c r="A43" s="454" t="s">
        <v>386</v>
      </c>
      <c r="B43" s="455" t="s">
        <v>340</v>
      </c>
      <c r="C43" s="455" t="s">
        <v>341</v>
      </c>
      <c r="D43" s="455" t="s">
        <v>348</v>
      </c>
      <c r="E43" s="455" t="s">
        <v>349</v>
      </c>
      <c r="F43" s="456"/>
      <c r="G43" s="456"/>
      <c r="H43" s="456"/>
      <c r="I43" s="456"/>
      <c r="J43" s="456">
        <v>6</v>
      </c>
      <c r="K43" s="456">
        <v>3318</v>
      </c>
      <c r="L43" s="456">
        <v>1</v>
      </c>
      <c r="M43" s="456">
        <v>553</v>
      </c>
      <c r="N43" s="456"/>
      <c r="O43" s="456"/>
      <c r="P43" s="457"/>
      <c r="Q43" s="458"/>
    </row>
    <row r="44" spans="1:17" ht="14.4" customHeight="1" x14ac:dyDescent="0.3">
      <c r="A44" s="454" t="s">
        <v>386</v>
      </c>
      <c r="B44" s="455" t="s">
        <v>340</v>
      </c>
      <c r="C44" s="455" t="s">
        <v>341</v>
      </c>
      <c r="D44" s="455" t="s">
        <v>352</v>
      </c>
      <c r="E44" s="455" t="s">
        <v>353</v>
      </c>
      <c r="F44" s="456"/>
      <c r="G44" s="456"/>
      <c r="H44" s="456"/>
      <c r="I44" s="456"/>
      <c r="J44" s="456">
        <v>1</v>
      </c>
      <c r="K44" s="456">
        <v>372</v>
      </c>
      <c r="L44" s="456">
        <v>1</v>
      </c>
      <c r="M44" s="456">
        <v>372</v>
      </c>
      <c r="N44" s="456"/>
      <c r="O44" s="456"/>
      <c r="P44" s="457"/>
      <c r="Q44" s="458"/>
    </row>
    <row r="45" spans="1:17" ht="14.4" customHeight="1" x14ac:dyDescent="0.3">
      <c r="A45" s="454" t="s">
        <v>387</v>
      </c>
      <c r="B45" s="455" t="s">
        <v>340</v>
      </c>
      <c r="C45" s="455" t="s">
        <v>341</v>
      </c>
      <c r="D45" s="455" t="s">
        <v>348</v>
      </c>
      <c r="E45" s="455" t="s">
        <v>349</v>
      </c>
      <c r="F45" s="456">
        <v>9</v>
      </c>
      <c r="G45" s="456">
        <v>4662</v>
      </c>
      <c r="H45" s="456"/>
      <c r="I45" s="456">
        <v>518</v>
      </c>
      <c r="J45" s="456"/>
      <c r="K45" s="456"/>
      <c r="L45" s="456"/>
      <c r="M45" s="456"/>
      <c r="N45" s="456"/>
      <c r="O45" s="456"/>
      <c r="P45" s="457"/>
      <c r="Q45" s="458"/>
    </row>
    <row r="46" spans="1:17" ht="14.4" customHeight="1" x14ac:dyDescent="0.3">
      <c r="A46" s="454" t="s">
        <v>387</v>
      </c>
      <c r="B46" s="455" t="s">
        <v>340</v>
      </c>
      <c r="C46" s="455" t="s">
        <v>341</v>
      </c>
      <c r="D46" s="455" t="s">
        <v>350</v>
      </c>
      <c r="E46" s="455" t="s">
        <v>351</v>
      </c>
      <c r="F46" s="456">
        <v>1</v>
      </c>
      <c r="G46" s="456">
        <v>33.33</v>
      </c>
      <c r="H46" s="456"/>
      <c r="I46" s="456">
        <v>33.33</v>
      </c>
      <c r="J46" s="456"/>
      <c r="K46" s="456"/>
      <c r="L46" s="456"/>
      <c r="M46" s="456"/>
      <c r="N46" s="456"/>
      <c r="O46" s="456"/>
      <c r="P46" s="457"/>
      <c r="Q46" s="458"/>
    </row>
    <row r="47" spans="1:17" ht="14.4" customHeight="1" x14ac:dyDescent="0.3">
      <c r="A47" s="454" t="s">
        <v>387</v>
      </c>
      <c r="B47" s="455" t="s">
        <v>340</v>
      </c>
      <c r="C47" s="455" t="s">
        <v>341</v>
      </c>
      <c r="D47" s="455" t="s">
        <v>352</v>
      </c>
      <c r="E47" s="455" t="s">
        <v>353</v>
      </c>
      <c r="F47" s="456">
        <v>2</v>
      </c>
      <c r="G47" s="456">
        <v>700</v>
      </c>
      <c r="H47" s="456"/>
      <c r="I47" s="456">
        <v>350</v>
      </c>
      <c r="J47" s="456"/>
      <c r="K47" s="456"/>
      <c r="L47" s="456"/>
      <c r="M47" s="456"/>
      <c r="N47" s="456"/>
      <c r="O47" s="456"/>
      <c r="P47" s="457"/>
      <c r="Q47" s="458"/>
    </row>
    <row r="48" spans="1:17" ht="14.4" customHeight="1" thickBot="1" x14ac:dyDescent="0.35">
      <c r="A48" s="459" t="s">
        <v>388</v>
      </c>
      <c r="B48" s="460" t="s">
        <v>340</v>
      </c>
      <c r="C48" s="460" t="s">
        <v>341</v>
      </c>
      <c r="D48" s="460" t="s">
        <v>348</v>
      </c>
      <c r="E48" s="460" t="s">
        <v>349</v>
      </c>
      <c r="F48" s="409">
        <v>1</v>
      </c>
      <c r="G48" s="409">
        <v>518</v>
      </c>
      <c r="H48" s="409"/>
      <c r="I48" s="409">
        <v>518</v>
      </c>
      <c r="J48" s="409"/>
      <c r="K48" s="409"/>
      <c r="L48" s="409"/>
      <c r="M48" s="409"/>
      <c r="N48" s="409"/>
      <c r="O48" s="409"/>
      <c r="P48" s="410"/>
      <c r="Q48" s="419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9" bestFit="1" customWidth="1"/>
    <col min="2" max="2" width="11.6640625" style="119" hidden="1" customWidth="1"/>
    <col min="3" max="4" width="11" style="121" customWidth="1"/>
    <col min="5" max="5" width="11" style="122" customWidth="1"/>
    <col min="6" max="16384" width="8.88671875" style="119"/>
  </cols>
  <sheetData>
    <row r="1" spans="1:5" ht="18.600000000000001" thickBot="1" x14ac:dyDescent="0.4">
      <c r="A1" s="302" t="s">
        <v>94</v>
      </c>
      <c r="B1" s="302"/>
      <c r="C1" s="303"/>
      <c r="D1" s="303"/>
      <c r="E1" s="303"/>
    </row>
    <row r="2" spans="1:5" ht="14.4" customHeight="1" thickBot="1" x14ac:dyDescent="0.35">
      <c r="A2" s="196" t="s">
        <v>206</v>
      </c>
      <c r="B2" s="120"/>
    </row>
    <row r="3" spans="1:5" ht="14.4" customHeight="1" thickBot="1" x14ac:dyDescent="0.35">
      <c r="A3" s="123"/>
      <c r="C3" s="124" t="s">
        <v>84</v>
      </c>
      <c r="D3" s="125" t="s">
        <v>50</v>
      </c>
      <c r="E3" s="126" t="s">
        <v>52</v>
      </c>
    </row>
    <row r="4" spans="1:5" ht="14.4" customHeight="1" thickBot="1" x14ac:dyDescent="0.35">
      <c r="A4" s="127" t="str">
        <f>HYPERLINK("#HI!A1","NÁKLADY CELKEM (v tisících Kč)")</f>
        <v>NÁKLADY CELKEM (v tisících Kč)</v>
      </c>
      <c r="B4" s="128"/>
      <c r="C4" s="129">
        <f ca="1">IF(ISERROR(VLOOKUP("Náklady celkem",INDIRECT("HI!$A:$G"),6,0)),0,VLOOKUP("Náklady celkem",INDIRECT("HI!$A:$G"),6,0))</f>
        <v>2080.1076137552263</v>
      </c>
      <c r="D4" s="129">
        <f ca="1">IF(ISERROR(VLOOKUP("Náklady celkem",INDIRECT("HI!$A:$G"),5,0)),0,VLOOKUP("Náklady celkem",INDIRECT("HI!$A:$G"),5,0))</f>
        <v>2315.7075099999997</v>
      </c>
      <c r="E4" s="130">
        <f ca="1">IF(C4=0,0,D4/C4)</f>
        <v>1.113263320939172</v>
      </c>
    </row>
    <row r="5" spans="1:5" ht="14.4" customHeight="1" x14ac:dyDescent="0.3">
      <c r="A5" s="131" t="s">
        <v>108</v>
      </c>
      <c r="B5" s="132"/>
      <c r="C5" s="133"/>
      <c r="D5" s="133"/>
      <c r="E5" s="134"/>
    </row>
    <row r="6" spans="1:5" ht="14.4" customHeight="1" x14ac:dyDescent="0.3">
      <c r="A6" s="135" t="s">
        <v>113</v>
      </c>
      <c r="B6" s="136"/>
      <c r="C6" s="137"/>
      <c r="D6" s="137"/>
      <c r="E6" s="134"/>
    </row>
    <row r="7" spans="1:5" ht="14.4" customHeight="1" x14ac:dyDescent="0.3">
      <c r="A7" s="25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6" t="s">
        <v>88</v>
      </c>
      <c r="C7" s="137">
        <f>IF(ISERROR(HI!F5),"",HI!F5)</f>
        <v>0</v>
      </c>
      <c r="D7" s="137">
        <f>IF(ISERROR(HI!E5),"",HI!E5)</f>
        <v>0</v>
      </c>
      <c r="E7" s="134">
        <f t="shared" ref="E7:E12" si="0">IF(C7=0,0,D7/C7)</f>
        <v>0</v>
      </c>
    </row>
    <row r="8" spans="1:5" ht="14.4" customHeight="1" x14ac:dyDescent="0.3">
      <c r="A8" s="259" t="str">
        <f>HYPERLINK("#'LŽ Statim'!A1","Podíl statimových žádanek (max. 30%)")</f>
        <v>Podíl statimových žádanek (max. 30%)</v>
      </c>
      <c r="B8" s="257" t="s">
        <v>167</v>
      </c>
      <c r="C8" s="258">
        <v>0.3</v>
      </c>
      <c r="D8" s="258">
        <f>IF('LŽ Statim'!G3="",0,'LŽ Statim'!G3)</f>
        <v>0</v>
      </c>
      <c r="E8" s="134">
        <f>IF(C8=0,0,D8/C8)</f>
        <v>0</v>
      </c>
    </row>
    <row r="9" spans="1:5" ht="14.4" customHeight="1" x14ac:dyDescent="0.3">
      <c r="A9" s="139" t="s">
        <v>109</v>
      </c>
      <c r="B9" s="136"/>
      <c r="C9" s="137"/>
      <c r="D9" s="137"/>
      <c r="E9" s="134"/>
    </row>
    <row r="10" spans="1:5" ht="14.4" customHeight="1" x14ac:dyDescent="0.3">
      <c r="A10" s="139" t="s">
        <v>110</v>
      </c>
      <c r="B10" s="136"/>
      <c r="C10" s="137"/>
      <c r="D10" s="137"/>
      <c r="E10" s="134"/>
    </row>
    <row r="11" spans="1:5" ht="14.4" customHeight="1" x14ac:dyDescent="0.3">
      <c r="A11" s="140" t="s">
        <v>114</v>
      </c>
      <c r="B11" s="136"/>
      <c r="C11" s="133"/>
      <c r="D11" s="133"/>
      <c r="E11" s="134"/>
    </row>
    <row r="12" spans="1:5" ht="14.4" customHeight="1" x14ac:dyDescent="0.3">
      <c r="A12" s="14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6" t="s">
        <v>88</v>
      </c>
      <c r="C12" s="137">
        <f>IF(ISERROR(HI!F6),"",HI!F6)</f>
        <v>1.517598819732666E-2</v>
      </c>
      <c r="D12" s="137">
        <f>IF(ISERROR(HI!E6),"",HI!E6)</f>
        <v>0</v>
      </c>
      <c r="E12" s="134">
        <f t="shared" si="0"/>
        <v>0</v>
      </c>
    </row>
    <row r="13" spans="1:5" ht="14.4" customHeight="1" thickBot="1" x14ac:dyDescent="0.35">
      <c r="A13" s="142" t="str">
        <f>HYPERLINK("#HI!A1","Osobní náklady")</f>
        <v>Osobní náklady</v>
      </c>
      <c r="B13" s="136"/>
      <c r="C13" s="133">
        <f ca="1">IF(ISERROR(VLOOKUP("Osobní náklady (Kč) *",INDIRECT("HI!$A:$G"),6,0)),0,VLOOKUP("Osobní náklady (Kč) *",INDIRECT("HI!$A:$G"),6,0))</f>
        <v>1955.9165793457032</v>
      </c>
      <c r="D13" s="133">
        <f ca="1">IF(ISERROR(VLOOKUP("Osobní náklady (Kč) *",INDIRECT("HI!$A:$G"),5,0)),0,VLOOKUP("Osobní náklady (Kč) *",INDIRECT("HI!$A:$G"),5,0))</f>
        <v>2185.6003599999999</v>
      </c>
      <c r="E13" s="134">
        <f ca="1">IF(C13=0,0,D13/C13)</f>
        <v>1.1174302539687715</v>
      </c>
    </row>
    <row r="14" spans="1:5" ht="14.4" customHeight="1" thickBot="1" x14ac:dyDescent="0.35">
      <c r="A14" s="146"/>
      <c r="B14" s="147"/>
      <c r="C14" s="148"/>
      <c r="D14" s="148"/>
      <c r="E14" s="149"/>
    </row>
    <row r="15" spans="1:5" ht="14.4" customHeight="1" thickBot="1" x14ac:dyDescent="0.35">
      <c r="A15" s="150" t="str">
        <f>HYPERLINK("#HI!A1","VÝNOSY CELKEM (v tisících)")</f>
        <v>VÝNOSY CELKEM (v tisících)</v>
      </c>
      <c r="B15" s="151"/>
      <c r="C15" s="152">
        <f ca="1">IF(ISERROR(VLOOKUP("Výnosy celkem",INDIRECT("HI!$A:$G"),6,0)),0,VLOOKUP("Výnosy celkem",INDIRECT("HI!$A:$G"),6,0))</f>
        <v>452.72733999999997</v>
      </c>
      <c r="D15" s="152">
        <f ca="1">IF(ISERROR(VLOOKUP("Výnosy celkem",INDIRECT("HI!$A:$G"),5,0)),0,VLOOKUP("Výnosy celkem",INDIRECT("HI!$A:$G"),5,0))</f>
        <v>457.83233999999999</v>
      </c>
      <c r="E15" s="153">
        <f t="shared" ref="E15:E20" ca="1" si="1">IF(C15=0,0,D15/C15)</f>
        <v>1.0112761027421053</v>
      </c>
    </row>
    <row r="16" spans="1:5" ht="14.4" customHeight="1" x14ac:dyDescent="0.3">
      <c r="A16" s="154" t="str">
        <f>HYPERLINK("#HI!A1","Ambulance (body za výkony + Kč za ZUM a ZULP)")</f>
        <v>Ambulance (body za výkony + Kč za ZUM a ZULP)</v>
      </c>
      <c r="B16" s="132"/>
      <c r="C16" s="133">
        <f ca="1">IF(ISERROR(VLOOKUP("Ambulance *",INDIRECT("HI!$A:$G"),6,0)),0,VLOOKUP("Ambulance *",INDIRECT("HI!$A:$G"),6,0))</f>
        <v>452.72733999999997</v>
      </c>
      <c r="D16" s="133">
        <f ca="1">IF(ISERROR(VLOOKUP("Ambulance *",INDIRECT("HI!$A:$G"),5,0)),0,VLOOKUP("Ambulance *",INDIRECT("HI!$A:$G"),5,0))</f>
        <v>457.83233999999999</v>
      </c>
      <c r="E16" s="134">
        <f t="shared" ca="1" si="1"/>
        <v>1.0112761027421053</v>
      </c>
    </row>
    <row r="17" spans="1:5" ht="14.4" customHeight="1" x14ac:dyDescent="0.3">
      <c r="A17" s="267" t="str">
        <f>HYPERLINK("#'ZV Vykáz.-A'!A1","Zdravotní výkony vykázané u ambulantních pacientů (min. 100 % 2016)")</f>
        <v>Zdravotní výkony vykázané u ambulantních pacientů (min. 100 % 2016)</v>
      </c>
      <c r="B17" s="268" t="s">
        <v>96</v>
      </c>
      <c r="C17" s="138">
        <v>1</v>
      </c>
      <c r="D17" s="138">
        <f>IF(ISERROR(VLOOKUP("Celkem:",'ZV Vykáz.-A'!$A:$AB,10,0)),"",VLOOKUP("Celkem:",'ZV Vykáz.-A'!$A:$AB,10,0))</f>
        <v>1.0112761027421051</v>
      </c>
      <c r="E17" s="134">
        <f t="shared" si="1"/>
        <v>1.0112761027421051</v>
      </c>
    </row>
    <row r="18" spans="1:5" ht="14.4" customHeight="1" x14ac:dyDescent="0.3">
      <c r="A18" s="266" t="str">
        <f>HYPERLINK("#'ZV Vykáz.-A'!A1","Specializovaná ambulantní péče")</f>
        <v>Specializovaná ambulantní péče</v>
      </c>
      <c r="B18" s="268" t="s">
        <v>96</v>
      </c>
      <c r="C18" s="138">
        <v>1</v>
      </c>
      <c r="D18" s="258">
        <f>IF(ISERROR(VLOOKUP("Specializovaná ambulantní péče",'ZV Vykáz.-A'!$A:$AB,10,0)),"",VLOOKUP("Specializovaná ambulantní péče",'ZV Vykáz.-A'!$A:$AB,10,0))</f>
        <v>1.0112761027421051</v>
      </c>
      <c r="E18" s="134">
        <f t="shared" si="1"/>
        <v>1.0112761027421051</v>
      </c>
    </row>
    <row r="19" spans="1:5" ht="14.4" customHeight="1" x14ac:dyDescent="0.3">
      <c r="A19" s="266" t="str">
        <f>HYPERLINK("#'ZV Vykáz.-A'!A1","Ambulantní péče ve vyjmenovaných odbornostech (§9)")</f>
        <v>Ambulantní péče ve vyjmenovaných odbornostech (§9)</v>
      </c>
      <c r="B19" s="268" t="s">
        <v>96</v>
      </c>
      <c r="C19" s="138">
        <v>1</v>
      </c>
      <c r="D19" s="258" t="str">
        <f>IF(ISERROR(VLOOKUP("Ambulantní péče ve vyjmenovaných odbornostech (§9) *",'ZV Vykáz.-A'!$A:$AB,10,0)),"",VLOOKUP("Ambulantní péče ve vyjmenovaných odbornostech (§9) *",'ZV Vykáz.-A'!$A:$AB,10,0))</f>
        <v/>
      </c>
      <c r="E19" s="134">
        <f>IF(OR(C19=0,D19=""),0,IF(C19="","",D19/C19))</f>
        <v>0</v>
      </c>
    </row>
    <row r="20" spans="1:5" ht="14.4" customHeight="1" x14ac:dyDescent="0.3">
      <c r="A20" s="155" t="str">
        <f>HYPERLINK("#'ZV Vykáz.-H'!A1","Zdravotní výkony vykázané u hospitalizovaných pacientů (max. 85 %)")</f>
        <v>Zdravotní výkony vykázané u hospitalizovaných pacientů (max. 85 %)</v>
      </c>
      <c r="B20" s="268" t="s">
        <v>98</v>
      </c>
      <c r="C20" s="138">
        <v>0.85</v>
      </c>
      <c r="D20" s="138">
        <f>IF(ISERROR(VLOOKUP("Celkem:",'ZV Vykáz.-H'!$A:$S,7,0)),"",VLOOKUP("Celkem:",'ZV Vykáz.-H'!$A:$S,7,0))</f>
        <v>0.3803002852620137</v>
      </c>
      <c r="E20" s="134">
        <f t="shared" si="1"/>
        <v>0.4474121003082514</v>
      </c>
    </row>
    <row r="21" spans="1:5" ht="14.4" customHeight="1" x14ac:dyDescent="0.3">
      <c r="A21" s="156" t="str">
        <f>HYPERLINK("#HI!A1","Hospitalizace (casemix * 30000)")</f>
        <v>Hospitalizace (casemix * 30000)</v>
      </c>
      <c r="B21" s="136"/>
      <c r="C21" s="133">
        <f ca="1">IF(ISERROR(VLOOKUP("Hospitalizace *",INDIRECT("HI!$A:$G"),6,0)),0,VLOOKUP("Hospitalizace *",INDIRECT("HI!$A:$G"),6,0))</f>
        <v>0</v>
      </c>
      <c r="D21" s="133">
        <f ca="1">IF(ISERROR(VLOOKUP("Hospitalizace *",INDIRECT("HI!$A:$G"),5,0)),0,VLOOKUP("Hospitalizace *",INDIRECT("HI!$A:$G"),5,0))</f>
        <v>0</v>
      </c>
      <c r="E21" s="134">
        <f ca="1">IF(C21=0,0,D21/C21)</f>
        <v>0</v>
      </c>
    </row>
    <row r="22" spans="1:5" ht="14.4" customHeight="1" thickBot="1" x14ac:dyDescent="0.35">
      <c r="A22" s="157" t="s">
        <v>111</v>
      </c>
      <c r="B22" s="143"/>
      <c r="C22" s="144"/>
      <c r="D22" s="144"/>
      <c r="E22" s="145"/>
    </row>
    <row r="23" spans="1:5" ht="14.4" customHeight="1" thickBot="1" x14ac:dyDescent="0.35">
      <c r="A23" s="158"/>
      <c r="B23" s="159"/>
      <c r="C23" s="160"/>
      <c r="D23" s="160"/>
      <c r="E23" s="161"/>
    </row>
    <row r="24" spans="1:5" ht="14.4" customHeight="1" thickBot="1" x14ac:dyDescent="0.35">
      <c r="A24" s="162" t="s">
        <v>112</v>
      </c>
      <c r="B24" s="163"/>
      <c r="C24" s="164"/>
      <c r="D24" s="164"/>
      <c r="E24" s="165"/>
    </row>
  </sheetData>
  <mergeCells count="1">
    <mergeCell ref="A1:E1"/>
  </mergeCells>
  <conditionalFormatting sqref="E5">
    <cfRule type="cellIs" dxfId="58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7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5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54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52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51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50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1" bestFit="1" customWidth="1"/>
    <col min="2" max="2" width="9.5546875" style="101" hidden="1" customWidth="1" outlineLevel="1"/>
    <col min="3" max="3" width="9.5546875" style="101" customWidth="1" collapsed="1"/>
    <col min="4" max="4" width="2.21875" style="101" customWidth="1"/>
    <col min="5" max="8" width="9.5546875" style="101" customWidth="1"/>
    <col min="9" max="10" width="9.77734375" style="101" hidden="1" customWidth="1" outlineLevel="1"/>
    <col min="11" max="11" width="8.88671875" style="101" collapsed="1"/>
    <col min="12" max="16384" width="8.88671875" style="101"/>
  </cols>
  <sheetData>
    <row r="1" spans="1:10" ht="18.600000000000001" customHeight="1" thickBot="1" x14ac:dyDescent="0.4">
      <c r="A1" s="313" t="s">
        <v>103</v>
      </c>
      <c r="B1" s="313"/>
      <c r="C1" s="313"/>
      <c r="D1" s="313"/>
      <c r="E1" s="313"/>
      <c r="F1" s="313"/>
      <c r="G1" s="313"/>
      <c r="H1" s="313"/>
      <c r="I1" s="313"/>
      <c r="J1" s="313"/>
    </row>
    <row r="2" spans="1:10" ht="14.4" customHeight="1" thickBot="1" x14ac:dyDescent="0.35">
      <c r="A2" s="196" t="s">
        <v>206</v>
      </c>
      <c r="B2" s="83"/>
      <c r="C2" s="83"/>
      <c r="D2" s="83"/>
      <c r="E2" s="83"/>
      <c r="F2" s="83"/>
    </row>
    <row r="3" spans="1:10" ht="14.4" customHeight="1" x14ac:dyDescent="0.3">
      <c r="A3" s="304"/>
      <c r="B3" s="79">
        <v>2015</v>
      </c>
      <c r="C3" s="40">
        <v>2016</v>
      </c>
      <c r="D3" s="7"/>
      <c r="E3" s="308">
        <v>2017</v>
      </c>
      <c r="F3" s="309"/>
      <c r="G3" s="309"/>
      <c r="H3" s="310"/>
      <c r="I3" s="311">
        <v>2017</v>
      </c>
      <c r="J3" s="312"/>
    </row>
    <row r="4" spans="1:10" ht="14.4" customHeight="1" thickBot="1" x14ac:dyDescent="0.35">
      <c r="A4" s="305"/>
      <c r="B4" s="306" t="s">
        <v>50</v>
      </c>
      <c r="C4" s="307"/>
      <c r="D4" s="7"/>
      <c r="E4" s="100" t="s">
        <v>50</v>
      </c>
      <c r="F4" s="81" t="s">
        <v>51</v>
      </c>
      <c r="G4" s="81" t="s">
        <v>45</v>
      </c>
      <c r="H4" s="82" t="s">
        <v>52</v>
      </c>
      <c r="I4" s="271" t="s">
        <v>197</v>
      </c>
      <c r="J4" s="272" t="s">
        <v>198</v>
      </c>
    </row>
    <row r="5" spans="1:10" ht="14.4" customHeight="1" x14ac:dyDescent="0.3">
      <c r="A5" s="84" t="str">
        <f>HYPERLINK("#'Léky Žádanky'!A1","Léky (Kč)")</f>
        <v>Léky (Kč)</v>
      </c>
      <c r="B5" s="27">
        <v>0.33858000000000005</v>
      </c>
      <c r="C5" s="29">
        <v>0</v>
      </c>
      <c r="D5" s="8"/>
      <c r="E5" s="89">
        <v>0</v>
      </c>
      <c r="F5" s="28">
        <v>0</v>
      </c>
      <c r="G5" s="88">
        <f>E5-F5</f>
        <v>0</v>
      </c>
      <c r="H5" s="94" t="str">
        <f>IF(F5&lt;0.00000001,"",E5/F5)</f>
        <v/>
      </c>
    </row>
    <row r="6" spans="1:10" ht="14.4" customHeight="1" x14ac:dyDescent="0.3">
      <c r="A6" s="84" t="str">
        <f>HYPERLINK("#'Materiál Žádanky'!A1","Materiál - SZM (Kč)")</f>
        <v>Materiál - SZM (Kč)</v>
      </c>
      <c r="B6" s="10">
        <v>1.01122</v>
      </c>
      <c r="C6" s="31">
        <v>0.16800000000000001</v>
      </c>
      <c r="D6" s="8"/>
      <c r="E6" s="90">
        <v>0</v>
      </c>
      <c r="F6" s="30">
        <v>1.517598819732666E-2</v>
      </c>
      <c r="G6" s="91">
        <f>E6-F6</f>
        <v>-1.517598819732666E-2</v>
      </c>
      <c r="H6" s="95">
        <f>IF(F6&lt;0.00000001,"",E6/F6)</f>
        <v>0</v>
      </c>
    </row>
    <row r="7" spans="1:10" ht="14.4" customHeight="1" x14ac:dyDescent="0.3">
      <c r="A7" s="84" t="str">
        <f>HYPERLINK("#'Osobní náklady'!A1","Osobní náklady (Kč) *")</f>
        <v>Osobní náklady (Kč) *</v>
      </c>
      <c r="B7" s="10">
        <v>1931.9978000000001</v>
      </c>
      <c r="C7" s="31">
        <v>1883.2159400000003</v>
      </c>
      <c r="D7" s="8"/>
      <c r="E7" s="90">
        <v>2185.6003599999999</v>
      </c>
      <c r="F7" s="30">
        <v>1955.9165793457032</v>
      </c>
      <c r="G7" s="91">
        <f>E7-F7</f>
        <v>229.6837806542967</v>
      </c>
      <c r="H7" s="95">
        <f>IF(F7&lt;0.00000001,"",E7/F7)</f>
        <v>1.1174302539687715</v>
      </c>
    </row>
    <row r="8" spans="1:10" ht="14.4" customHeight="1" thickBot="1" x14ac:dyDescent="0.35">
      <c r="A8" s="1" t="s">
        <v>53</v>
      </c>
      <c r="B8" s="11">
        <v>128.48339000000027</v>
      </c>
      <c r="C8" s="33">
        <v>126.95077999999978</v>
      </c>
      <c r="D8" s="8"/>
      <c r="E8" s="92">
        <v>130.10714999999982</v>
      </c>
      <c r="F8" s="32">
        <v>124.1758584213258</v>
      </c>
      <c r="G8" s="93">
        <f>E8-F8</f>
        <v>5.9312915786740206</v>
      </c>
      <c r="H8" s="96">
        <f>IF(F8&lt;0.00000001,"",E8/F8)</f>
        <v>1.0477652552926131</v>
      </c>
    </row>
    <row r="9" spans="1:10" ht="14.4" customHeight="1" thickBot="1" x14ac:dyDescent="0.35">
      <c r="A9" s="2" t="s">
        <v>54</v>
      </c>
      <c r="B9" s="3">
        <v>2061.8309900000004</v>
      </c>
      <c r="C9" s="35">
        <v>2010.3347199999998</v>
      </c>
      <c r="D9" s="8"/>
      <c r="E9" s="3">
        <v>2315.7075099999997</v>
      </c>
      <c r="F9" s="34">
        <v>2080.1076137552263</v>
      </c>
      <c r="G9" s="34">
        <f>E9-F9</f>
        <v>235.59989624477339</v>
      </c>
      <c r="H9" s="97">
        <f>IF(F9&lt;0.00000001,"",E9/F9)</f>
        <v>1.113263320939172</v>
      </c>
    </row>
    <row r="10" spans="1:10" ht="14.4" customHeight="1" thickBot="1" x14ac:dyDescent="0.35">
      <c r="A10" s="12"/>
      <c r="B10" s="12"/>
      <c r="C10" s="80"/>
      <c r="D10" s="8"/>
      <c r="E10" s="12"/>
      <c r="F10" s="13"/>
    </row>
    <row r="11" spans="1:10" ht="14.4" customHeight="1" x14ac:dyDescent="0.3">
      <c r="A11" s="104" t="str">
        <f>HYPERLINK("#'ZV Vykáz.-A'!A1","Ambulance *")</f>
        <v>Ambulance *</v>
      </c>
      <c r="B11" s="9">
        <f>IF(ISERROR(VLOOKUP("Celkem:",'ZV Vykáz.-A'!A:H,2,0)),0,VLOOKUP("Celkem:",'ZV Vykáz.-A'!A:H,2,0)/1000)</f>
        <v>395.76666000000006</v>
      </c>
      <c r="C11" s="29">
        <f>IF(ISERROR(VLOOKUP("Celkem:",'ZV Vykáz.-A'!A:H,5,0)),0,VLOOKUP("Celkem:",'ZV Vykáz.-A'!A:H,5,0)/1000)</f>
        <v>452.72733999999997</v>
      </c>
      <c r="D11" s="8"/>
      <c r="E11" s="89">
        <f>IF(ISERROR(VLOOKUP("Celkem:",'ZV Vykáz.-A'!A:H,8,0)),0,VLOOKUP("Celkem:",'ZV Vykáz.-A'!A:H,8,0)/1000)</f>
        <v>457.83233999999999</v>
      </c>
      <c r="F11" s="28">
        <f>C11</f>
        <v>452.72733999999997</v>
      </c>
      <c r="G11" s="88">
        <f>E11-F11</f>
        <v>5.1050000000000182</v>
      </c>
      <c r="H11" s="94">
        <f>IF(F11&lt;0.00000001,"",E11/F11)</f>
        <v>1.0112761027421053</v>
      </c>
      <c r="I11" s="88">
        <f>E11-B11</f>
        <v>62.065679999999929</v>
      </c>
      <c r="J11" s="94">
        <f>IF(B11&lt;0.00000001,"",E11/B11)</f>
        <v>1.1568239224597643</v>
      </c>
    </row>
    <row r="12" spans="1:10" ht="14.4" customHeight="1" thickBot="1" x14ac:dyDescent="0.35">
      <c r="A12" s="105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C12</f>
        <v>0</v>
      </c>
      <c r="G12" s="93">
        <f>E12-F12</f>
        <v>0</v>
      </c>
      <c r="H12" s="96" t="str">
        <f>IF(F12&lt;0.00000001,"",E12/F12)</f>
        <v/>
      </c>
      <c r="I12" s="93">
        <f>E12-B12</f>
        <v>0</v>
      </c>
      <c r="J12" s="96" t="str">
        <f>IF(B12&lt;0.00000001,"",E12/B12)</f>
        <v/>
      </c>
    </row>
    <row r="13" spans="1:10" ht="14.4" customHeight="1" thickBot="1" x14ac:dyDescent="0.35">
      <c r="A13" s="4" t="s">
        <v>57</v>
      </c>
      <c r="B13" s="5">
        <f>SUM(B11:B12)</f>
        <v>395.76666000000006</v>
      </c>
      <c r="C13" s="37">
        <f>SUM(C11:C12)</f>
        <v>452.72733999999997</v>
      </c>
      <c r="D13" s="8"/>
      <c r="E13" s="5">
        <f>SUM(E11:E12)</f>
        <v>457.83233999999999</v>
      </c>
      <c r="F13" s="36">
        <f>SUM(F11:F12)</f>
        <v>452.72733999999997</v>
      </c>
      <c r="G13" s="36">
        <f>E13-F13</f>
        <v>5.1050000000000182</v>
      </c>
      <c r="H13" s="98">
        <f>IF(F13&lt;0.00000001,"",E13/F13)</f>
        <v>1.0112761027421053</v>
      </c>
      <c r="I13" s="36">
        <f>SUM(I11:I12)</f>
        <v>62.065679999999929</v>
      </c>
      <c r="J13" s="98">
        <f>IF(B13&lt;0.00000001,"",E13/B13)</f>
        <v>1.1568239224597643</v>
      </c>
    </row>
    <row r="14" spans="1:10" ht="14.4" customHeight="1" thickBot="1" x14ac:dyDescent="0.35">
      <c r="A14" s="12"/>
      <c r="B14" s="12"/>
      <c r="C14" s="80"/>
      <c r="D14" s="8"/>
      <c r="E14" s="12"/>
      <c r="F14" s="13"/>
    </row>
    <row r="15" spans="1:10" ht="14.4" customHeight="1" thickBot="1" x14ac:dyDescent="0.35">
      <c r="A15" s="106" t="str">
        <f>HYPERLINK("#'HI Graf'!A1","Hospodářský index (Výnosy / Náklady) *")</f>
        <v>Hospodářský index (Výnosy / Náklady) *</v>
      </c>
      <c r="B15" s="6">
        <f>IF(B9=0,"",B13/B9)</f>
        <v>0.19194912770226621</v>
      </c>
      <c r="C15" s="39">
        <f>IF(C9=0,"",C13/C9)</f>
        <v>0.22519998062810156</v>
      </c>
      <c r="D15" s="8"/>
      <c r="E15" s="6">
        <f>IF(E9=0,"",E13/E9)</f>
        <v>0.19770732617263914</v>
      </c>
      <c r="F15" s="38">
        <f>IF(F9=0,"",F13/F9)</f>
        <v>0.21764611455976046</v>
      </c>
      <c r="G15" s="38">
        <f>IF(ISERROR(F15-E15),"",E15-F15)</f>
        <v>-1.993878838712132E-2</v>
      </c>
      <c r="H15" s="99">
        <f>IF(ISERROR(F15-E15),"",IF(F15&lt;0.00000001,"",E15/F15))</f>
        <v>0.90838895319839674</v>
      </c>
    </row>
    <row r="17" spans="1:8" ht="14.4" customHeight="1" x14ac:dyDescent="0.3">
      <c r="A17" s="85" t="s">
        <v>115</v>
      </c>
    </row>
    <row r="18" spans="1:8" ht="14.4" customHeight="1" x14ac:dyDescent="0.3">
      <c r="A18" s="235" t="s">
        <v>145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144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86" t="s">
        <v>168</v>
      </c>
    </row>
    <row r="21" spans="1:8" ht="14.4" customHeight="1" x14ac:dyDescent="0.3">
      <c r="A21" s="86" t="s">
        <v>116</v>
      </c>
    </row>
    <row r="22" spans="1:8" ht="14.4" customHeight="1" x14ac:dyDescent="0.3">
      <c r="A22" s="87" t="s">
        <v>196</v>
      </c>
    </row>
    <row r="23" spans="1:8" ht="14.4" customHeight="1" x14ac:dyDescent="0.3">
      <c r="A23" s="87" t="s">
        <v>117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9" priority="8" operator="greaterThan">
      <formula>0</formula>
    </cfRule>
  </conditionalFormatting>
  <conditionalFormatting sqref="G11:G13 G15">
    <cfRule type="cellIs" dxfId="48" priority="7" operator="lessThan">
      <formula>0</formula>
    </cfRule>
  </conditionalFormatting>
  <conditionalFormatting sqref="H5:H9">
    <cfRule type="cellIs" dxfId="47" priority="6" operator="greaterThan">
      <formula>1</formula>
    </cfRule>
  </conditionalFormatting>
  <conditionalFormatting sqref="H11:H13 H15">
    <cfRule type="cellIs" dxfId="46" priority="5" operator="lessThan">
      <formula>1</formula>
    </cfRule>
  </conditionalFormatting>
  <conditionalFormatting sqref="I11:I13">
    <cfRule type="cellIs" dxfId="45" priority="4" operator="lessThan">
      <formula>0</formula>
    </cfRule>
  </conditionalFormatting>
  <conditionalFormatting sqref="J11:J13">
    <cfRule type="cellIs" dxfId="44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1"/>
    <col min="2" max="13" width="8.88671875" style="101" customWidth="1"/>
    <col min="14" max="16384" width="8.88671875" style="101"/>
  </cols>
  <sheetData>
    <row r="1" spans="1:13" ht="18.600000000000001" customHeight="1" thickBot="1" x14ac:dyDescent="0.4">
      <c r="A1" s="302" t="s">
        <v>81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3" ht="14.4" customHeight="1" x14ac:dyDescent="0.3">
      <c r="A2" s="196" t="s">
        <v>206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4.4" customHeight="1" x14ac:dyDescent="0.3">
      <c r="A3" s="167"/>
      <c r="B3" s="168" t="s">
        <v>59</v>
      </c>
      <c r="C3" s="169" t="s">
        <v>60</v>
      </c>
      <c r="D3" s="169" t="s">
        <v>61</v>
      </c>
      <c r="E3" s="168" t="s">
        <v>62</v>
      </c>
      <c r="F3" s="169" t="s">
        <v>63</v>
      </c>
      <c r="G3" s="169" t="s">
        <v>64</v>
      </c>
      <c r="H3" s="169" t="s">
        <v>65</v>
      </c>
      <c r="I3" s="169" t="s">
        <v>66</v>
      </c>
      <c r="J3" s="169" t="s">
        <v>67</v>
      </c>
      <c r="K3" s="169" t="s">
        <v>68</v>
      </c>
      <c r="L3" s="169" t="s">
        <v>69</v>
      </c>
      <c r="M3" s="169" t="s">
        <v>70</v>
      </c>
    </row>
    <row r="4" spans="1:13" ht="14.4" customHeight="1" x14ac:dyDescent="0.3">
      <c r="A4" s="167" t="s">
        <v>58</v>
      </c>
      <c r="B4" s="170">
        <f>(B10+B8)/B6</f>
        <v>0.25808028262340055</v>
      </c>
      <c r="C4" s="170">
        <f t="shared" ref="C4:M4" si="0">(C10+C8)/C6</f>
        <v>0.24835848647789729</v>
      </c>
      <c r="D4" s="170">
        <f t="shared" si="0"/>
        <v>0.24685044873479267</v>
      </c>
      <c r="E4" s="170">
        <f t="shared" si="0"/>
        <v>0.2405352201841322</v>
      </c>
      <c r="F4" s="170">
        <f t="shared" si="0"/>
        <v>0.25070186791659937</v>
      </c>
      <c r="G4" s="170">
        <f t="shared" si="0"/>
        <v>0.23607089857636862</v>
      </c>
      <c r="H4" s="170">
        <f t="shared" si="0"/>
        <v>0.19770730889930041</v>
      </c>
      <c r="I4" s="170">
        <f t="shared" si="0"/>
        <v>0.19770730889930041</v>
      </c>
      <c r="J4" s="170">
        <f t="shared" si="0"/>
        <v>0.19770730889930041</v>
      </c>
      <c r="K4" s="170">
        <f t="shared" si="0"/>
        <v>0.19770730889930041</v>
      </c>
      <c r="L4" s="170">
        <f t="shared" si="0"/>
        <v>0.19770730889930041</v>
      </c>
      <c r="M4" s="170">
        <f t="shared" si="0"/>
        <v>0.19770730889930041</v>
      </c>
    </row>
    <row r="5" spans="1:13" ht="14.4" customHeight="1" x14ac:dyDescent="0.3">
      <c r="A5" s="171" t="s">
        <v>30</v>
      </c>
      <c r="B5" s="170">
        <f>IF(ISERROR(VLOOKUP($A5,'Man Tab'!$A:$Q,COLUMN()+2,0)),0,VLOOKUP($A5,'Man Tab'!$A:$Q,COLUMN()+2,0))</f>
        <v>324.41192000000001</v>
      </c>
      <c r="C5" s="170">
        <f>IF(ISERROR(VLOOKUP($A5,'Man Tab'!$A:$Q,COLUMN()+2,0)),0,VLOOKUP($A5,'Man Tab'!$A:$Q,COLUMN()+2,0))</f>
        <v>314.48169000000001</v>
      </c>
      <c r="D5" s="170">
        <f>IF(ISERROR(VLOOKUP($A5,'Man Tab'!$A:$Q,COLUMN()+2,0)),0,VLOOKUP($A5,'Man Tab'!$A:$Q,COLUMN()+2,0))</f>
        <v>315.70587000000103</v>
      </c>
      <c r="E5" s="170">
        <f>IF(ISERROR(VLOOKUP($A5,'Man Tab'!$A:$Q,COLUMN()+2,0)),0,VLOOKUP($A5,'Man Tab'!$A:$Q,COLUMN()+2,0))</f>
        <v>313.15240999999997</v>
      </c>
      <c r="F5" s="170">
        <f>IF(ISERROR(VLOOKUP($A5,'Man Tab'!$A:$Q,COLUMN()+2,0)),0,VLOOKUP($A5,'Man Tab'!$A:$Q,COLUMN()+2,0))</f>
        <v>316.73426999999998</v>
      </c>
      <c r="G5" s="170">
        <f>IF(ISERROR(VLOOKUP($A5,'Man Tab'!$A:$Q,COLUMN()+2,0)),0,VLOOKUP($A5,'Man Tab'!$A:$Q,COLUMN()+2,0))</f>
        <v>310.93581999999998</v>
      </c>
      <c r="H5" s="170">
        <f>IF(ISERROR(VLOOKUP($A5,'Man Tab'!$A:$Q,COLUMN()+2,0)),0,VLOOKUP($A5,'Man Tab'!$A:$Q,COLUMN()+2,0))</f>
        <v>420.28552999999999</v>
      </c>
      <c r="I5" s="170">
        <f>IF(ISERROR(VLOOKUP($A5,'Man Tab'!$A:$Q,COLUMN()+2,0)),0,VLOOKUP($A5,'Man Tab'!$A:$Q,COLUMN()+2,0))</f>
        <v>0</v>
      </c>
      <c r="J5" s="170">
        <f>IF(ISERROR(VLOOKUP($A5,'Man Tab'!$A:$Q,COLUMN()+2,0)),0,VLOOKUP($A5,'Man Tab'!$A:$Q,COLUMN()+2,0))</f>
        <v>0</v>
      </c>
      <c r="K5" s="170">
        <f>IF(ISERROR(VLOOKUP($A5,'Man Tab'!$A:$Q,COLUMN()+2,0)),0,VLOOKUP($A5,'Man Tab'!$A:$Q,COLUMN()+2,0))</f>
        <v>0</v>
      </c>
      <c r="L5" s="170">
        <f>IF(ISERROR(VLOOKUP($A5,'Man Tab'!$A:$Q,COLUMN()+2,0)),0,VLOOKUP($A5,'Man Tab'!$A:$Q,COLUMN()+2,0))</f>
        <v>0</v>
      </c>
      <c r="M5" s="170">
        <f>IF(ISERROR(VLOOKUP($A5,'Man Tab'!$A:$Q,COLUMN()+2,0)),0,VLOOKUP($A5,'Man Tab'!$A:$Q,COLUMN()+2,0))</f>
        <v>0</v>
      </c>
    </row>
    <row r="6" spans="1:13" ht="14.4" customHeight="1" x14ac:dyDescent="0.3">
      <c r="A6" s="171" t="s">
        <v>54</v>
      </c>
      <c r="B6" s="172">
        <f>B5</f>
        <v>324.41192000000001</v>
      </c>
      <c r="C6" s="172">
        <f t="shared" ref="C6:M6" si="1">C5+B6</f>
        <v>638.89361000000008</v>
      </c>
      <c r="D6" s="172">
        <f t="shared" si="1"/>
        <v>954.59948000000111</v>
      </c>
      <c r="E6" s="172">
        <f t="shared" si="1"/>
        <v>1267.7518900000011</v>
      </c>
      <c r="F6" s="172">
        <f t="shared" si="1"/>
        <v>1584.4861600000011</v>
      </c>
      <c r="G6" s="172">
        <f t="shared" si="1"/>
        <v>1895.421980000001</v>
      </c>
      <c r="H6" s="172">
        <f t="shared" si="1"/>
        <v>2315.7075100000011</v>
      </c>
      <c r="I6" s="172">
        <f t="shared" si="1"/>
        <v>2315.7075100000011</v>
      </c>
      <c r="J6" s="172">
        <f t="shared" si="1"/>
        <v>2315.7075100000011</v>
      </c>
      <c r="K6" s="172">
        <f t="shared" si="1"/>
        <v>2315.7075100000011</v>
      </c>
      <c r="L6" s="172">
        <f t="shared" si="1"/>
        <v>2315.7075100000011</v>
      </c>
      <c r="M6" s="172">
        <f t="shared" si="1"/>
        <v>2315.7075100000011</v>
      </c>
    </row>
    <row r="7" spans="1:13" ht="14.4" customHeight="1" x14ac:dyDescent="0.3">
      <c r="A7" s="171" t="s">
        <v>79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ht="14.4" customHeight="1" x14ac:dyDescent="0.3">
      <c r="A8" s="171" t="s">
        <v>55</v>
      </c>
      <c r="B8" s="172">
        <f>B7*30</f>
        <v>0</v>
      </c>
      <c r="C8" s="172">
        <f t="shared" ref="C8:M8" si="2">C7*30</f>
        <v>0</v>
      </c>
      <c r="D8" s="172">
        <f t="shared" si="2"/>
        <v>0</v>
      </c>
      <c r="E8" s="172">
        <f t="shared" si="2"/>
        <v>0</v>
      </c>
      <c r="F8" s="172">
        <f t="shared" si="2"/>
        <v>0</v>
      </c>
      <c r="G8" s="172">
        <f t="shared" si="2"/>
        <v>0</v>
      </c>
      <c r="H8" s="172">
        <f t="shared" si="2"/>
        <v>0</v>
      </c>
      <c r="I8" s="172">
        <f t="shared" si="2"/>
        <v>0</v>
      </c>
      <c r="J8" s="172">
        <f t="shared" si="2"/>
        <v>0</v>
      </c>
      <c r="K8" s="172">
        <f t="shared" si="2"/>
        <v>0</v>
      </c>
      <c r="L8" s="172">
        <f t="shared" si="2"/>
        <v>0</v>
      </c>
      <c r="M8" s="172">
        <f t="shared" si="2"/>
        <v>0</v>
      </c>
    </row>
    <row r="9" spans="1:13" ht="14.4" customHeight="1" x14ac:dyDescent="0.3">
      <c r="A9" s="171" t="s">
        <v>80</v>
      </c>
      <c r="B9" s="171">
        <v>83724.320000000007</v>
      </c>
      <c r="C9" s="171">
        <v>74950.33</v>
      </c>
      <c r="D9" s="171">
        <v>76968.66</v>
      </c>
      <c r="E9" s="171">
        <v>69295.67</v>
      </c>
      <c r="F9" s="171">
        <v>92294.66</v>
      </c>
      <c r="G9" s="171">
        <v>50220.33</v>
      </c>
      <c r="H9" s="171">
        <v>10378.33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</row>
    <row r="10" spans="1:13" ht="14.4" customHeight="1" x14ac:dyDescent="0.3">
      <c r="A10" s="171" t="s">
        <v>56</v>
      </c>
      <c r="B10" s="172">
        <f>B9/1000</f>
        <v>83.724320000000006</v>
      </c>
      <c r="C10" s="172">
        <f t="shared" ref="C10:M10" si="3">C9/1000+B10</f>
        <v>158.67465000000001</v>
      </c>
      <c r="D10" s="172">
        <f t="shared" si="3"/>
        <v>235.64331000000001</v>
      </c>
      <c r="E10" s="172">
        <f t="shared" si="3"/>
        <v>304.93898000000002</v>
      </c>
      <c r="F10" s="172">
        <f t="shared" si="3"/>
        <v>397.23364000000004</v>
      </c>
      <c r="G10" s="172">
        <f t="shared" si="3"/>
        <v>447.45397000000003</v>
      </c>
      <c r="H10" s="172">
        <f t="shared" si="3"/>
        <v>457.83230000000003</v>
      </c>
      <c r="I10" s="172">
        <f t="shared" si="3"/>
        <v>457.83230000000003</v>
      </c>
      <c r="J10" s="172">
        <f t="shared" si="3"/>
        <v>457.83230000000003</v>
      </c>
      <c r="K10" s="172">
        <f t="shared" si="3"/>
        <v>457.83230000000003</v>
      </c>
      <c r="L10" s="172">
        <f t="shared" si="3"/>
        <v>457.83230000000003</v>
      </c>
      <c r="M10" s="172">
        <f t="shared" si="3"/>
        <v>457.83230000000003</v>
      </c>
    </row>
    <row r="11" spans="1:13" ht="14.4" customHeight="1" x14ac:dyDescent="0.3">
      <c r="A11" s="167"/>
      <c r="B11" s="167" t="s">
        <v>71</v>
      </c>
      <c r="C11" s="167">
        <f ca="1">IF(MONTH(TODAY())=1,12,MONTH(TODAY())-1)</f>
        <v>8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3" ht="14.4" customHeight="1" x14ac:dyDescent="0.3">
      <c r="A12" s="167">
        <v>0</v>
      </c>
      <c r="B12" s="170">
        <f>IF(ISERROR(HI!F15),#REF!,HI!F15)</f>
        <v>0.21764611455976046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</row>
    <row r="13" spans="1:13" ht="14.4" customHeight="1" x14ac:dyDescent="0.3">
      <c r="A13" s="167">
        <v>1</v>
      </c>
      <c r="B13" s="170">
        <f>IF(ISERROR(HI!F15),#REF!,HI!F15)</f>
        <v>0.21764611455976046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1" bestFit="1" customWidth="1"/>
    <col min="2" max="2" width="12.77734375" style="101" bestFit="1" customWidth="1"/>
    <col min="3" max="3" width="13.6640625" style="101" bestFit="1" customWidth="1"/>
    <col min="4" max="15" width="7.77734375" style="101" bestFit="1" customWidth="1"/>
    <col min="16" max="16" width="8.88671875" style="101" customWidth="1"/>
    <col min="17" max="17" width="6.6640625" style="101" bestFit="1" customWidth="1"/>
    <col min="18" max="16384" width="8.88671875" style="101"/>
  </cols>
  <sheetData>
    <row r="1" spans="1:17" s="173" customFormat="1" ht="18.600000000000001" customHeight="1" thickBot="1" x14ac:dyDescent="0.4">
      <c r="A1" s="314" t="s">
        <v>208</v>
      </c>
      <c r="B1" s="314"/>
      <c r="C1" s="314"/>
      <c r="D1" s="314"/>
      <c r="E1" s="314"/>
      <c r="F1" s="314"/>
      <c r="G1" s="314"/>
      <c r="H1" s="302"/>
      <c r="I1" s="302"/>
      <c r="J1" s="302"/>
      <c r="K1" s="302"/>
      <c r="L1" s="302"/>
      <c r="M1" s="302"/>
      <c r="N1" s="302"/>
      <c r="O1" s="302"/>
      <c r="P1" s="302"/>
      <c r="Q1" s="302"/>
    </row>
    <row r="2" spans="1:17" s="173" customFormat="1" ht="14.4" customHeight="1" thickBot="1" x14ac:dyDescent="0.3">
      <c r="A2" s="196" t="s">
        <v>206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4.4" customHeight="1" x14ac:dyDescent="0.3">
      <c r="A3" s="59"/>
      <c r="B3" s="315" t="s">
        <v>6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109"/>
      <c r="Q3" s="111"/>
    </row>
    <row r="4" spans="1:17" ht="14.4" customHeight="1" x14ac:dyDescent="0.3">
      <c r="A4" s="60"/>
      <c r="B4" s="20">
        <v>2017</v>
      </c>
      <c r="C4" s="110" t="s">
        <v>7</v>
      </c>
      <c r="D4" s="265" t="s">
        <v>172</v>
      </c>
      <c r="E4" s="265" t="s">
        <v>173</v>
      </c>
      <c r="F4" s="265" t="s">
        <v>174</v>
      </c>
      <c r="G4" s="265" t="s">
        <v>175</v>
      </c>
      <c r="H4" s="265" t="s">
        <v>176</v>
      </c>
      <c r="I4" s="265" t="s">
        <v>177</v>
      </c>
      <c r="J4" s="265" t="s">
        <v>178</v>
      </c>
      <c r="K4" s="265" t="s">
        <v>179</v>
      </c>
      <c r="L4" s="265" t="s">
        <v>180</v>
      </c>
      <c r="M4" s="265" t="s">
        <v>181</v>
      </c>
      <c r="N4" s="265" t="s">
        <v>182</v>
      </c>
      <c r="O4" s="265" t="s">
        <v>183</v>
      </c>
      <c r="P4" s="317" t="s">
        <v>3</v>
      </c>
      <c r="Q4" s="318"/>
    </row>
    <row r="5" spans="1:17" ht="14.4" customHeight="1" thickBot="1" x14ac:dyDescent="0.35">
      <c r="A5" s="61"/>
      <c r="B5" s="21" t="s">
        <v>8</v>
      </c>
      <c r="C5" s="22" t="s">
        <v>8</v>
      </c>
      <c r="D5" s="22" t="s">
        <v>9</v>
      </c>
      <c r="E5" s="22" t="s">
        <v>9</v>
      </c>
      <c r="F5" s="22" t="s">
        <v>9</v>
      </c>
      <c r="G5" s="22" t="s">
        <v>9</v>
      </c>
      <c r="H5" s="22" t="s">
        <v>9</v>
      </c>
      <c r="I5" s="22" t="s">
        <v>9</v>
      </c>
      <c r="J5" s="22" t="s">
        <v>9</v>
      </c>
      <c r="K5" s="22" t="s">
        <v>9</v>
      </c>
      <c r="L5" s="22" t="s">
        <v>9</v>
      </c>
      <c r="M5" s="22" t="s">
        <v>9</v>
      </c>
      <c r="N5" s="22" t="s">
        <v>9</v>
      </c>
      <c r="O5" s="22" t="s">
        <v>9</v>
      </c>
      <c r="P5" s="22" t="s">
        <v>9</v>
      </c>
      <c r="Q5" s="23" t="s">
        <v>10</v>
      </c>
    </row>
    <row r="6" spans="1:17" ht="14.4" customHeight="1" x14ac:dyDescent="0.3">
      <c r="A6" s="14" t="s">
        <v>11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207</v>
      </c>
    </row>
    <row r="7" spans="1:17" ht="14.4" customHeight="1" x14ac:dyDescent="0.3">
      <c r="A7" s="15" t="s">
        <v>12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 t="s">
        <v>207</v>
      </c>
    </row>
    <row r="8" spans="1:17" ht="14.4" customHeight="1" x14ac:dyDescent="0.3">
      <c r="A8" s="15" t="s">
        <v>13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207</v>
      </c>
    </row>
    <row r="9" spans="1:17" ht="14.4" customHeight="1" x14ac:dyDescent="0.3">
      <c r="A9" s="15" t="s">
        <v>14</v>
      </c>
      <c r="B9" s="46">
        <v>2.6015981587000001E-2</v>
      </c>
      <c r="C9" s="47">
        <v>2.1679984649999999E-3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>
        <v>0</v>
      </c>
    </row>
    <row r="10" spans="1:17" ht="14.4" customHeight="1" x14ac:dyDescent="0.3">
      <c r="A10" s="15" t="s">
        <v>15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207</v>
      </c>
    </row>
    <row r="11" spans="1:17" ht="14.4" customHeight="1" x14ac:dyDescent="0.3">
      <c r="A11" s="15" t="s">
        <v>16</v>
      </c>
      <c r="B11" s="46">
        <v>11.13397429518</v>
      </c>
      <c r="C11" s="47">
        <v>0.92783119126500002</v>
      </c>
      <c r="D11" s="47">
        <v>0.22444</v>
      </c>
      <c r="E11" s="47">
        <v>1.82284</v>
      </c>
      <c r="F11" s="47">
        <v>1.244</v>
      </c>
      <c r="G11" s="47">
        <v>0</v>
      </c>
      <c r="H11" s="47">
        <v>0.53273000000000004</v>
      </c>
      <c r="I11" s="47">
        <v>2.22553</v>
      </c>
      <c r="J11" s="47">
        <v>0.14499999999999999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6.1945399999999999</v>
      </c>
      <c r="Q11" s="70">
        <v>0.95376647610599996</v>
      </c>
    </row>
    <row r="12" spans="1:17" ht="14.4" customHeight="1" x14ac:dyDescent="0.3">
      <c r="A12" s="15" t="s">
        <v>17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0" t="s">
        <v>207</v>
      </c>
    </row>
    <row r="13" spans="1:17" ht="14.4" customHeight="1" x14ac:dyDescent="0.3">
      <c r="A13" s="15" t="s">
        <v>18</v>
      </c>
      <c r="B13" s="46">
        <v>2</v>
      </c>
      <c r="C13" s="47">
        <v>0.166666666666</v>
      </c>
      <c r="D13" s="47">
        <v>0.29766999999999999</v>
      </c>
      <c r="E13" s="47">
        <v>0</v>
      </c>
      <c r="F13" s="47">
        <v>0.67639000000000005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0.97406000000000004</v>
      </c>
      <c r="Q13" s="70">
        <v>0.83490857142800001</v>
      </c>
    </row>
    <row r="14" spans="1:17" ht="14.4" customHeight="1" x14ac:dyDescent="0.3">
      <c r="A14" s="15" t="s">
        <v>19</v>
      </c>
      <c r="B14" s="46">
        <v>149.503906610581</v>
      </c>
      <c r="C14" s="47">
        <v>12.458658884215</v>
      </c>
      <c r="D14" s="47">
        <v>18.437999999999999</v>
      </c>
      <c r="E14" s="47">
        <v>14.398999999999999</v>
      </c>
      <c r="F14" s="47">
        <v>13.683999999999999</v>
      </c>
      <c r="G14" s="47">
        <v>10.694000000000001</v>
      </c>
      <c r="H14" s="47">
        <v>10.526999999999999</v>
      </c>
      <c r="I14" s="47">
        <v>8.7750000000000004</v>
      </c>
      <c r="J14" s="47">
        <v>8.0909999999999993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84.608000000000004</v>
      </c>
      <c r="Q14" s="70">
        <v>0.97015716179199996</v>
      </c>
    </row>
    <row r="15" spans="1:17" ht="14.4" customHeight="1" x14ac:dyDescent="0.3">
      <c r="A15" s="15" t="s">
        <v>20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207</v>
      </c>
    </row>
    <row r="16" spans="1:17" ht="14.4" customHeight="1" x14ac:dyDescent="0.3">
      <c r="A16" s="15" t="s">
        <v>21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207</v>
      </c>
    </row>
    <row r="17" spans="1:17" ht="14.4" customHeight="1" x14ac:dyDescent="0.3">
      <c r="A17" s="15" t="s">
        <v>22</v>
      </c>
      <c r="B17" s="46">
        <v>2.124120602439</v>
      </c>
      <c r="C17" s="47">
        <v>0.17701005020300001</v>
      </c>
      <c r="D17" s="47">
        <v>0</v>
      </c>
      <c r="E17" s="47">
        <v>0</v>
      </c>
      <c r="F17" s="47">
        <v>0.26140000000000002</v>
      </c>
      <c r="G17" s="47">
        <v>0</v>
      </c>
      <c r="H17" s="47">
        <v>0</v>
      </c>
      <c r="I17" s="47">
        <v>0.13683000000000001</v>
      </c>
      <c r="J17" s="47">
        <v>0.90991999999999995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1.3081499999999999</v>
      </c>
      <c r="Q17" s="70">
        <v>1.0557511916060001</v>
      </c>
    </row>
    <row r="18" spans="1:17" ht="14.4" customHeight="1" x14ac:dyDescent="0.3">
      <c r="A18" s="15" t="s">
        <v>23</v>
      </c>
      <c r="B18" s="46">
        <v>0</v>
      </c>
      <c r="C18" s="47">
        <v>0</v>
      </c>
      <c r="D18" s="47">
        <v>0.52</v>
      </c>
      <c r="E18" s="47">
        <v>0</v>
      </c>
      <c r="F18" s="47">
        <v>0</v>
      </c>
      <c r="G18" s="47">
        <v>1.6359999999999999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2.1560000000000001</v>
      </c>
      <c r="Q18" s="70" t="s">
        <v>207</v>
      </c>
    </row>
    <row r="19" spans="1:17" ht="14.4" customHeight="1" x14ac:dyDescent="0.3">
      <c r="A19" s="15" t="s">
        <v>24</v>
      </c>
      <c r="B19" s="46">
        <v>27.110895325348</v>
      </c>
      <c r="C19" s="47">
        <v>2.2592412771119998</v>
      </c>
      <c r="D19" s="47">
        <v>2.7864100000000001</v>
      </c>
      <c r="E19" s="47">
        <v>1.8453200000000001</v>
      </c>
      <c r="F19" s="47">
        <v>1.8263199999999999</v>
      </c>
      <c r="G19" s="47">
        <v>2.8891399999999998</v>
      </c>
      <c r="H19" s="47">
        <v>1.85578</v>
      </c>
      <c r="I19" s="47">
        <v>2.4859399999999998</v>
      </c>
      <c r="J19" s="47">
        <v>3.1084900000000002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16.7974</v>
      </c>
      <c r="Q19" s="70">
        <v>1.062139133052</v>
      </c>
    </row>
    <row r="20" spans="1:17" ht="14.4" customHeight="1" x14ac:dyDescent="0.3">
      <c r="A20" s="15" t="s">
        <v>25</v>
      </c>
      <c r="B20" s="46">
        <v>3353</v>
      </c>
      <c r="C20" s="47">
        <v>279.41666666666703</v>
      </c>
      <c r="D20" s="47">
        <v>298.8184</v>
      </c>
      <c r="E20" s="47">
        <v>294.68752999999998</v>
      </c>
      <c r="F20" s="47">
        <v>296.28676000000098</v>
      </c>
      <c r="G20" s="47">
        <v>296.20627000000002</v>
      </c>
      <c r="H20" s="47">
        <v>297.71176000000003</v>
      </c>
      <c r="I20" s="47">
        <v>295.58551999999997</v>
      </c>
      <c r="J20" s="47">
        <v>406.30412000000001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2185.6003599999999</v>
      </c>
      <c r="Q20" s="70">
        <v>1.117430204081</v>
      </c>
    </row>
    <row r="21" spans="1:17" ht="14.4" customHeight="1" x14ac:dyDescent="0.3">
      <c r="A21" s="16" t="s">
        <v>26</v>
      </c>
      <c r="B21" s="46">
        <v>21</v>
      </c>
      <c r="C21" s="47">
        <v>1.75</v>
      </c>
      <c r="D21" s="47">
        <v>1.7270000000000001</v>
      </c>
      <c r="E21" s="47">
        <v>1.7270000000000001</v>
      </c>
      <c r="F21" s="47">
        <v>1.7270000000000001</v>
      </c>
      <c r="G21" s="47">
        <v>1.7270000000000001</v>
      </c>
      <c r="H21" s="47">
        <v>1.7270000000000001</v>
      </c>
      <c r="I21" s="47">
        <v>1.7270000000000001</v>
      </c>
      <c r="J21" s="47">
        <v>1.7270000000000001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12.089</v>
      </c>
      <c r="Q21" s="70">
        <v>0.98685714285699999</v>
      </c>
    </row>
    <row r="22" spans="1:17" ht="14.4" customHeight="1" x14ac:dyDescent="0.3">
      <c r="A22" s="15" t="s">
        <v>27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4.38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4.38</v>
      </c>
      <c r="Q22" s="70" t="s">
        <v>207</v>
      </c>
    </row>
    <row r="23" spans="1:17" ht="14.4" customHeight="1" x14ac:dyDescent="0.3">
      <c r="A23" s="16" t="s">
        <v>28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207</v>
      </c>
    </row>
    <row r="24" spans="1:17" ht="14.4" customHeight="1" x14ac:dyDescent="0.3">
      <c r="A24" s="16" t="s">
        <v>29</v>
      </c>
      <c r="B24" s="46">
        <v>0</v>
      </c>
      <c r="C24" s="47">
        <v>0</v>
      </c>
      <c r="D24" s="47">
        <v>1.6</v>
      </c>
      <c r="E24" s="47">
        <v>0</v>
      </c>
      <c r="F24" s="47">
        <v>0</v>
      </c>
      <c r="G24" s="47">
        <v>5.6843418860808002E-14</v>
      </c>
      <c r="H24" s="47">
        <v>5.6843418860808002E-14</v>
      </c>
      <c r="I24" s="47">
        <v>5.6843418860808002E-14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1.6</v>
      </c>
      <c r="Q24" s="70"/>
    </row>
    <row r="25" spans="1:17" ht="14.4" customHeight="1" x14ac:dyDescent="0.3">
      <c r="A25" s="17" t="s">
        <v>30</v>
      </c>
      <c r="B25" s="49">
        <v>3565.8989128151402</v>
      </c>
      <c r="C25" s="50">
        <v>297.15824273459498</v>
      </c>
      <c r="D25" s="50">
        <v>324.41192000000001</v>
      </c>
      <c r="E25" s="50">
        <v>314.48169000000001</v>
      </c>
      <c r="F25" s="50">
        <v>315.70587000000103</v>
      </c>
      <c r="G25" s="50">
        <v>313.15240999999997</v>
      </c>
      <c r="H25" s="50">
        <v>316.73426999999998</v>
      </c>
      <c r="I25" s="50">
        <v>310.93581999999998</v>
      </c>
      <c r="J25" s="50">
        <v>420.28552999999999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2315.7075100000002</v>
      </c>
      <c r="Q25" s="71">
        <v>1.11326327524</v>
      </c>
    </row>
    <row r="26" spans="1:17" ht="14.4" customHeight="1" x14ac:dyDescent="0.3">
      <c r="A26" s="15" t="s">
        <v>31</v>
      </c>
      <c r="B26" s="46">
        <v>440.28554719296602</v>
      </c>
      <c r="C26" s="47">
        <v>36.690462266079997</v>
      </c>
      <c r="D26" s="47">
        <v>33.292839999999998</v>
      </c>
      <c r="E26" s="47">
        <v>32.205010000000001</v>
      </c>
      <c r="F26" s="47">
        <v>38.443579999999997</v>
      </c>
      <c r="G26" s="47">
        <v>36.743369999999999</v>
      </c>
      <c r="H26" s="47">
        <v>39.903179999999999</v>
      </c>
      <c r="I26" s="47">
        <v>41.738300000000002</v>
      </c>
      <c r="J26" s="47">
        <v>47.331090000000003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269.65737000000001</v>
      </c>
      <c r="Q26" s="70">
        <v>1.0499317547210001</v>
      </c>
    </row>
    <row r="27" spans="1:17" ht="14.4" customHeight="1" x14ac:dyDescent="0.3">
      <c r="A27" s="18" t="s">
        <v>32</v>
      </c>
      <c r="B27" s="49">
        <v>4006.1844600080999</v>
      </c>
      <c r="C27" s="50">
        <v>333.84870500067501</v>
      </c>
      <c r="D27" s="50">
        <v>357.70476000000002</v>
      </c>
      <c r="E27" s="50">
        <v>346.68669999999997</v>
      </c>
      <c r="F27" s="50">
        <v>354.14945000000102</v>
      </c>
      <c r="G27" s="50">
        <v>349.89578</v>
      </c>
      <c r="H27" s="50">
        <v>356.63745</v>
      </c>
      <c r="I27" s="50">
        <v>352.67412000000002</v>
      </c>
      <c r="J27" s="50">
        <v>467.61662000000001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2585.3648800000001</v>
      </c>
      <c r="Q27" s="71">
        <v>1.10630304826</v>
      </c>
    </row>
    <row r="28" spans="1:17" ht="14.4" customHeight="1" x14ac:dyDescent="0.3">
      <c r="A28" s="16" t="s">
        <v>33</v>
      </c>
      <c r="B28" s="46">
        <v>1</v>
      </c>
      <c r="C28" s="47">
        <v>8.3333333332999998E-2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0">
        <v>0</v>
      </c>
    </row>
    <row r="29" spans="1:17" ht="14.4" customHeight="1" x14ac:dyDescent="0.3">
      <c r="A29" s="16" t="s">
        <v>34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207</v>
      </c>
    </row>
    <row r="30" spans="1:17" ht="14.4" customHeight="1" x14ac:dyDescent="0.3">
      <c r="A30" s="16" t="s">
        <v>35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>
        <v>0</v>
      </c>
    </row>
    <row r="31" spans="1:17" ht="14.4" customHeight="1" thickBot="1" x14ac:dyDescent="0.35">
      <c r="A31" s="19" t="s">
        <v>36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207</v>
      </c>
    </row>
    <row r="32" spans="1:17" ht="14.4" customHeight="1" x14ac:dyDescent="0.3"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</row>
    <row r="33" spans="1:17" ht="14.4" customHeight="1" x14ac:dyDescent="0.3">
      <c r="A33" s="85" t="s">
        <v>115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17" ht="14.4" customHeight="1" x14ac:dyDescent="0.3">
      <c r="A34" s="107" t="s">
        <v>184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ht="14.4" customHeight="1" x14ac:dyDescent="0.3">
      <c r="A35" s="108" t="s">
        <v>37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1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1" customWidth="1"/>
    <col min="2" max="11" width="10" style="101" customWidth="1"/>
    <col min="12" max="16384" width="8.88671875" style="101"/>
  </cols>
  <sheetData>
    <row r="1" spans="1:11" s="55" customFormat="1" ht="18.600000000000001" customHeight="1" thickBot="1" x14ac:dyDescent="0.4">
      <c r="A1" s="314" t="s">
        <v>38</v>
      </c>
      <c r="B1" s="314"/>
      <c r="C1" s="314"/>
      <c r="D1" s="314"/>
      <c r="E1" s="314"/>
      <c r="F1" s="314"/>
      <c r="G1" s="314"/>
      <c r="H1" s="319"/>
      <c r="I1" s="319"/>
      <c r="J1" s="319"/>
      <c r="K1" s="319"/>
    </row>
    <row r="2" spans="1:11" s="55" customFormat="1" ht="14.4" customHeight="1" thickBot="1" x14ac:dyDescent="0.35">
      <c r="A2" s="196" t="s">
        <v>206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9"/>
      <c r="B3" s="315" t="s">
        <v>39</v>
      </c>
      <c r="C3" s="316"/>
      <c r="D3" s="316"/>
      <c r="E3" s="316"/>
      <c r="F3" s="322" t="s">
        <v>40</v>
      </c>
      <c r="G3" s="316"/>
      <c r="H3" s="316"/>
      <c r="I3" s="316"/>
      <c r="J3" s="316"/>
      <c r="K3" s="323"/>
    </row>
    <row r="4" spans="1:11" ht="14.4" customHeight="1" x14ac:dyDescent="0.3">
      <c r="A4" s="60"/>
      <c r="B4" s="320"/>
      <c r="C4" s="321"/>
      <c r="D4" s="321"/>
      <c r="E4" s="321"/>
      <c r="F4" s="324" t="s">
        <v>185</v>
      </c>
      <c r="G4" s="326" t="s">
        <v>41</v>
      </c>
      <c r="H4" s="112" t="s">
        <v>107</v>
      </c>
      <c r="I4" s="324" t="s">
        <v>42</v>
      </c>
      <c r="J4" s="326" t="s">
        <v>192</v>
      </c>
      <c r="K4" s="327" t="s">
        <v>186</v>
      </c>
    </row>
    <row r="5" spans="1:11" ht="42" thickBot="1" x14ac:dyDescent="0.35">
      <c r="A5" s="61"/>
      <c r="B5" s="24" t="s">
        <v>188</v>
      </c>
      <c r="C5" s="25" t="s">
        <v>189</v>
      </c>
      <c r="D5" s="26" t="s">
        <v>190</v>
      </c>
      <c r="E5" s="26" t="s">
        <v>191</v>
      </c>
      <c r="F5" s="325"/>
      <c r="G5" s="325"/>
      <c r="H5" s="25" t="s">
        <v>187</v>
      </c>
      <c r="I5" s="325"/>
      <c r="J5" s="325"/>
      <c r="K5" s="328"/>
    </row>
    <row r="6" spans="1:11" ht="14.4" customHeight="1" thickBot="1" x14ac:dyDescent="0.35">
      <c r="A6" s="384" t="s">
        <v>209</v>
      </c>
      <c r="B6" s="366">
        <v>3463.4170893518199</v>
      </c>
      <c r="C6" s="366">
        <v>3594.6075000000001</v>
      </c>
      <c r="D6" s="367">
        <v>131.190410648181</v>
      </c>
      <c r="E6" s="368">
        <v>1.0378788945320001</v>
      </c>
      <c r="F6" s="366">
        <v>3565.8989128151402</v>
      </c>
      <c r="G6" s="367">
        <v>2080.1076991421601</v>
      </c>
      <c r="H6" s="369">
        <v>420.28552999999999</v>
      </c>
      <c r="I6" s="366">
        <v>2315.7075100000002</v>
      </c>
      <c r="J6" s="367">
        <v>235.59981085783599</v>
      </c>
      <c r="K6" s="370">
        <v>0.64940357722300002</v>
      </c>
    </row>
    <row r="7" spans="1:11" ht="14.4" customHeight="1" thickBot="1" x14ac:dyDescent="0.35">
      <c r="A7" s="385" t="s">
        <v>210</v>
      </c>
      <c r="B7" s="366">
        <v>152.785294993881</v>
      </c>
      <c r="C7" s="366">
        <v>154.99132</v>
      </c>
      <c r="D7" s="367">
        <v>2.2060250061179998</v>
      </c>
      <c r="E7" s="368">
        <v>1.0144387259659999</v>
      </c>
      <c r="F7" s="366">
        <v>162.66389688734901</v>
      </c>
      <c r="G7" s="367">
        <v>94.887273184286002</v>
      </c>
      <c r="H7" s="369">
        <v>8.2360000000000007</v>
      </c>
      <c r="I7" s="366">
        <v>91.776600000000002</v>
      </c>
      <c r="J7" s="367">
        <v>-3.110673184286</v>
      </c>
      <c r="K7" s="370">
        <v>0.564210016827</v>
      </c>
    </row>
    <row r="8" spans="1:11" ht="14.4" customHeight="1" thickBot="1" x14ac:dyDescent="0.35">
      <c r="A8" s="386" t="s">
        <v>211</v>
      </c>
      <c r="B8" s="366">
        <v>10.615760610106999</v>
      </c>
      <c r="C8" s="366">
        <v>10.50732</v>
      </c>
      <c r="D8" s="367">
        <v>-0.108440610107</v>
      </c>
      <c r="E8" s="368">
        <v>0.98978494202199996</v>
      </c>
      <c r="F8" s="366">
        <v>13.159990276766999</v>
      </c>
      <c r="G8" s="367">
        <v>7.6766609947809998</v>
      </c>
      <c r="H8" s="369">
        <v>0.14499999999999999</v>
      </c>
      <c r="I8" s="366">
        <v>7.1685999999999996</v>
      </c>
      <c r="J8" s="367">
        <v>-0.50806099478099997</v>
      </c>
      <c r="K8" s="370">
        <v>0.54472684623900003</v>
      </c>
    </row>
    <row r="9" spans="1:11" ht="14.4" customHeight="1" thickBot="1" x14ac:dyDescent="0.35">
      <c r="A9" s="387" t="s">
        <v>212</v>
      </c>
      <c r="B9" s="371">
        <v>0.338580030566</v>
      </c>
      <c r="C9" s="371">
        <v>0</v>
      </c>
      <c r="D9" s="372">
        <v>-0.338580030566</v>
      </c>
      <c r="E9" s="373">
        <v>0</v>
      </c>
      <c r="F9" s="371">
        <v>0</v>
      </c>
      <c r="G9" s="372">
        <v>0</v>
      </c>
      <c r="H9" s="374">
        <v>0</v>
      </c>
      <c r="I9" s="371">
        <v>0</v>
      </c>
      <c r="J9" s="372">
        <v>0</v>
      </c>
      <c r="K9" s="375" t="s">
        <v>207</v>
      </c>
    </row>
    <row r="10" spans="1:11" ht="14.4" customHeight="1" thickBot="1" x14ac:dyDescent="0.35">
      <c r="A10" s="388" t="s">
        <v>213</v>
      </c>
      <c r="B10" s="366">
        <v>0.338580030566</v>
      </c>
      <c r="C10" s="366">
        <v>0</v>
      </c>
      <c r="D10" s="367">
        <v>-0.338580030566</v>
      </c>
      <c r="E10" s="368">
        <v>0</v>
      </c>
      <c r="F10" s="366">
        <v>0</v>
      </c>
      <c r="G10" s="367">
        <v>0</v>
      </c>
      <c r="H10" s="369">
        <v>0</v>
      </c>
      <c r="I10" s="366">
        <v>0</v>
      </c>
      <c r="J10" s="367">
        <v>0</v>
      </c>
      <c r="K10" s="370">
        <v>0</v>
      </c>
    </row>
    <row r="11" spans="1:11" ht="14.4" customHeight="1" thickBot="1" x14ac:dyDescent="0.35">
      <c r="A11" s="387" t="s">
        <v>214</v>
      </c>
      <c r="B11" s="371">
        <v>0.28936002612299999</v>
      </c>
      <c r="C11" s="371">
        <v>0.16800000000000001</v>
      </c>
      <c r="D11" s="372">
        <v>-0.12136002612299999</v>
      </c>
      <c r="E11" s="373">
        <v>0.58059159812299999</v>
      </c>
      <c r="F11" s="371">
        <v>2.6015981587000001E-2</v>
      </c>
      <c r="G11" s="372">
        <v>1.5175989258999999E-2</v>
      </c>
      <c r="H11" s="374">
        <v>0</v>
      </c>
      <c r="I11" s="371">
        <v>0</v>
      </c>
      <c r="J11" s="372">
        <v>-1.5175989258999999E-2</v>
      </c>
      <c r="K11" s="376">
        <v>0</v>
      </c>
    </row>
    <row r="12" spans="1:11" ht="14.4" customHeight="1" thickBot="1" x14ac:dyDescent="0.35">
      <c r="A12" s="388" t="s">
        <v>215</v>
      </c>
      <c r="B12" s="366">
        <v>0.28936002612299999</v>
      </c>
      <c r="C12" s="366">
        <v>0</v>
      </c>
      <c r="D12" s="367">
        <v>-0.28936002612299999</v>
      </c>
      <c r="E12" s="368">
        <v>0</v>
      </c>
      <c r="F12" s="366">
        <v>0</v>
      </c>
      <c r="G12" s="367">
        <v>0</v>
      </c>
      <c r="H12" s="369">
        <v>0</v>
      </c>
      <c r="I12" s="366">
        <v>0</v>
      </c>
      <c r="J12" s="367">
        <v>0</v>
      </c>
      <c r="K12" s="370">
        <v>0</v>
      </c>
    </row>
    <row r="13" spans="1:11" ht="14.4" customHeight="1" thickBot="1" x14ac:dyDescent="0.35">
      <c r="A13" s="388" t="s">
        <v>216</v>
      </c>
      <c r="B13" s="366">
        <v>0</v>
      </c>
      <c r="C13" s="366">
        <v>2.5999999999999999E-2</v>
      </c>
      <c r="D13" s="367">
        <v>2.5999999999999999E-2</v>
      </c>
      <c r="E13" s="377" t="s">
        <v>207</v>
      </c>
      <c r="F13" s="366">
        <v>2.6015981587000001E-2</v>
      </c>
      <c r="G13" s="367">
        <v>1.5175989258999999E-2</v>
      </c>
      <c r="H13" s="369">
        <v>0</v>
      </c>
      <c r="I13" s="366">
        <v>0</v>
      </c>
      <c r="J13" s="367">
        <v>-1.5175989258999999E-2</v>
      </c>
      <c r="K13" s="370">
        <v>0</v>
      </c>
    </row>
    <row r="14" spans="1:11" ht="14.4" customHeight="1" thickBot="1" x14ac:dyDescent="0.35">
      <c r="A14" s="388" t="s">
        <v>217</v>
      </c>
      <c r="B14" s="366">
        <v>0</v>
      </c>
      <c r="C14" s="366">
        <v>0.14199999999999999</v>
      </c>
      <c r="D14" s="367">
        <v>0.14199999999999999</v>
      </c>
      <c r="E14" s="377" t="s">
        <v>218</v>
      </c>
      <c r="F14" s="366">
        <v>0</v>
      </c>
      <c r="G14" s="367">
        <v>0</v>
      </c>
      <c r="H14" s="369">
        <v>0</v>
      </c>
      <c r="I14" s="366">
        <v>0</v>
      </c>
      <c r="J14" s="367">
        <v>0</v>
      </c>
      <c r="K14" s="378" t="s">
        <v>207</v>
      </c>
    </row>
    <row r="15" spans="1:11" ht="14.4" customHeight="1" thickBot="1" x14ac:dyDescent="0.35">
      <c r="A15" s="387" t="s">
        <v>219</v>
      </c>
      <c r="B15" s="371">
        <v>9.8668176663189993</v>
      </c>
      <c r="C15" s="371">
        <v>9.5951699999999995</v>
      </c>
      <c r="D15" s="372">
        <v>-0.271647666319</v>
      </c>
      <c r="E15" s="373">
        <v>0.97246856326800002</v>
      </c>
      <c r="F15" s="371">
        <v>11.13397429518</v>
      </c>
      <c r="G15" s="372">
        <v>6.4948183388549996</v>
      </c>
      <c r="H15" s="374">
        <v>0.14499999999999999</v>
      </c>
      <c r="I15" s="371">
        <v>6.1945399999999999</v>
      </c>
      <c r="J15" s="372">
        <v>-0.30027833885499999</v>
      </c>
      <c r="K15" s="376">
        <v>0.55636377772800005</v>
      </c>
    </row>
    <row r="16" spans="1:11" ht="14.4" customHeight="1" thickBot="1" x14ac:dyDescent="0.35">
      <c r="A16" s="388" t="s">
        <v>220</v>
      </c>
      <c r="B16" s="366">
        <v>1.208739430944</v>
      </c>
      <c r="C16" s="366">
        <v>0</v>
      </c>
      <c r="D16" s="367">
        <v>-1.208739430944</v>
      </c>
      <c r="E16" s="368">
        <v>0</v>
      </c>
      <c r="F16" s="366">
        <v>0</v>
      </c>
      <c r="G16" s="367">
        <v>0</v>
      </c>
      <c r="H16" s="369">
        <v>0</v>
      </c>
      <c r="I16" s="366">
        <v>0.11899999999999999</v>
      </c>
      <c r="J16" s="367">
        <v>0.11899999999999999</v>
      </c>
      <c r="K16" s="378" t="s">
        <v>218</v>
      </c>
    </row>
    <row r="17" spans="1:11" ht="14.4" customHeight="1" thickBot="1" x14ac:dyDescent="0.35">
      <c r="A17" s="388" t="s">
        <v>221</v>
      </c>
      <c r="B17" s="366">
        <v>0</v>
      </c>
      <c r="C17" s="366">
        <v>0</v>
      </c>
      <c r="D17" s="367">
        <v>0</v>
      </c>
      <c r="E17" s="368">
        <v>1</v>
      </c>
      <c r="F17" s="366">
        <v>0</v>
      </c>
      <c r="G17" s="367">
        <v>0</v>
      </c>
      <c r="H17" s="369">
        <v>0</v>
      </c>
      <c r="I17" s="366">
        <v>0.11962</v>
      </c>
      <c r="J17" s="367">
        <v>0.11962</v>
      </c>
      <c r="K17" s="378" t="s">
        <v>218</v>
      </c>
    </row>
    <row r="18" spans="1:11" ht="14.4" customHeight="1" thickBot="1" x14ac:dyDescent="0.35">
      <c r="A18" s="388" t="s">
        <v>222</v>
      </c>
      <c r="B18" s="366">
        <v>1.2532184636679999</v>
      </c>
      <c r="C18" s="366">
        <v>1.6807799999999999</v>
      </c>
      <c r="D18" s="367">
        <v>0.42756153633100002</v>
      </c>
      <c r="E18" s="368">
        <v>1.3411707924239999</v>
      </c>
      <c r="F18" s="366">
        <v>1.6191333473759999</v>
      </c>
      <c r="G18" s="367">
        <v>0.94449445263599996</v>
      </c>
      <c r="H18" s="369">
        <v>0</v>
      </c>
      <c r="I18" s="366">
        <v>0.89690000000000003</v>
      </c>
      <c r="J18" s="367">
        <v>-4.7594452635999998E-2</v>
      </c>
      <c r="K18" s="370">
        <v>0.55393831610800004</v>
      </c>
    </row>
    <row r="19" spans="1:11" ht="14.4" customHeight="1" thickBot="1" x14ac:dyDescent="0.35">
      <c r="A19" s="388" t="s">
        <v>223</v>
      </c>
      <c r="B19" s="366">
        <v>3.3807641541120002</v>
      </c>
      <c r="C19" s="366">
        <v>4.1232199999999999</v>
      </c>
      <c r="D19" s="367">
        <v>0.74245584588699998</v>
      </c>
      <c r="E19" s="368">
        <v>1.2196118427789999</v>
      </c>
      <c r="F19" s="366">
        <v>5</v>
      </c>
      <c r="G19" s="367">
        <v>2.9166666666659999</v>
      </c>
      <c r="H19" s="369">
        <v>0</v>
      </c>
      <c r="I19" s="366">
        <v>2.7044999999999999</v>
      </c>
      <c r="J19" s="367">
        <v>-0.21216666666600001</v>
      </c>
      <c r="K19" s="370">
        <v>0.54090000000000005</v>
      </c>
    </row>
    <row r="20" spans="1:11" ht="14.4" customHeight="1" thickBot="1" x14ac:dyDescent="0.35">
      <c r="A20" s="388" t="s">
        <v>224</v>
      </c>
      <c r="B20" s="366">
        <v>2.6932863846699999</v>
      </c>
      <c r="C20" s="366">
        <v>1.6990000000000001</v>
      </c>
      <c r="D20" s="367">
        <v>-0.99428638466999997</v>
      </c>
      <c r="E20" s="368">
        <v>0.63082782791600001</v>
      </c>
      <c r="F20" s="366">
        <v>1.8359810398809999</v>
      </c>
      <c r="G20" s="367">
        <v>1.0709889399300001</v>
      </c>
      <c r="H20" s="369">
        <v>0.14499999999999999</v>
      </c>
      <c r="I20" s="366">
        <v>0.14499999999999999</v>
      </c>
      <c r="J20" s="367">
        <v>-0.92598893992999998</v>
      </c>
      <c r="K20" s="370">
        <v>7.8976850441000002E-2</v>
      </c>
    </row>
    <row r="21" spans="1:11" ht="14.4" customHeight="1" thickBot="1" x14ac:dyDescent="0.35">
      <c r="A21" s="388" t="s">
        <v>225</v>
      </c>
      <c r="B21" s="366">
        <v>1.284028234082</v>
      </c>
      <c r="C21" s="366">
        <v>1.2801800000000001</v>
      </c>
      <c r="D21" s="367">
        <v>-3.848234082E-3</v>
      </c>
      <c r="E21" s="368">
        <v>0.99700299885900001</v>
      </c>
      <c r="F21" s="366">
        <v>1.3090744554680001</v>
      </c>
      <c r="G21" s="367">
        <v>0.76362676568999999</v>
      </c>
      <c r="H21" s="369">
        <v>0</v>
      </c>
      <c r="I21" s="366">
        <v>0.30273</v>
      </c>
      <c r="J21" s="367">
        <v>-0.46089676568999999</v>
      </c>
      <c r="K21" s="370">
        <v>0.23125498991599999</v>
      </c>
    </row>
    <row r="22" spans="1:11" ht="14.4" customHeight="1" thickBot="1" x14ac:dyDescent="0.35">
      <c r="A22" s="388" t="s">
        <v>226</v>
      </c>
      <c r="B22" s="366">
        <v>4.6780998841000003E-2</v>
      </c>
      <c r="C22" s="366">
        <v>0.81198999999999999</v>
      </c>
      <c r="D22" s="367">
        <v>0.76520900115799995</v>
      </c>
      <c r="E22" s="368">
        <v>17.357260856263</v>
      </c>
      <c r="F22" s="366">
        <v>1.3697854524540001</v>
      </c>
      <c r="G22" s="367">
        <v>0.79904151393099998</v>
      </c>
      <c r="H22" s="369">
        <v>0</v>
      </c>
      <c r="I22" s="366">
        <v>1.90679</v>
      </c>
      <c r="J22" s="367">
        <v>1.107748486068</v>
      </c>
      <c r="K22" s="370">
        <v>1.392035516645</v>
      </c>
    </row>
    <row r="23" spans="1:11" ht="14.4" customHeight="1" thickBot="1" x14ac:dyDescent="0.35">
      <c r="A23" s="387" t="s">
        <v>227</v>
      </c>
      <c r="B23" s="371">
        <v>0.12100288709699999</v>
      </c>
      <c r="C23" s="371">
        <v>0</v>
      </c>
      <c r="D23" s="372">
        <v>-0.12100288709699999</v>
      </c>
      <c r="E23" s="373">
        <v>0</v>
      </c>
      <c r="F23" s="371">
        <v>0</v>
      </c>
      <c r="G23" s="372">
        <v>0</v>
      </c>
      <c r="H23" s="374">
        <v>0</v>
      </c>
      <c r="I23" s="371">
        <v>0</v>
      </c>
      <c r="J23" s="372">
        <v>0</v>
      </c>
      <c r="K23" s="376">
        <v>0</v>
      </c>
    </row>
    <row r="24" spans="1:11" ht="14.4" customHeight="1" thickBot="1" x14ac:dyDescent="0.35">
      <c r="A24" s="388" t="s">
        <v>228</v>
      </c>
      <c r="B24" s="366">
        <v>0.12100288709699999</v>
      </c>
      <c r="C24" s="366">
        <v>0</v>
      </c>
      <c r="D24" s="367">
        <v>-0.12100288709699999</v>
      </c>
      <c r="E24" s="368">
        <v>0</v>
      </c>
      <c r="F24" s="366">
        <v>0</v>
      </c>
      <c r="G24" s="367">
        <v>0</v>
      </c>
      <c r="H24" s="369">
        <v>0</v>
      </c>
      <c r="I24" s="366">
        <v>0</v>
      </c>
      <c r="J24" s="367">
        <v>0</v>
      </c>
      <c r="K24" s="370">
        <v>0</v>
      </c>
    </row>
    <row r="25" spans="1:11" ht="14.4" customHeight="1" thickBot="1" x14ac:dyDescent="0.35">
      <c r="A25" s="387" t="s">
        <v>229</v>
      </c>
      <c r="B25" s="371">
        <v>0</v>
      </c>
      <c r="C25" s="371">
        <v>0.74414999999999998</v>
      </c>
      <c r="D25" s="372">
        <v>0.74414999999999998</v>
      </c>
      <c r="E25" s="379" t="s">
        <v>207</v>
      </c>
      <c r="F25" s="371">
        <v>2</v>
      </c>
      <c r="G25" s="372">
        <v>1.1666666666659999</v>
      </c>
      <c r="H25" s="374">
        <v>0</v>
      </c>
      <c r="I25" s="371">
        <v>0.97406000000000004</v>
      </c>
      <c r="J25" s="372">
        <v>-0.19260666666599999</v>
      </c>
      <c r="K25" s="376">
        <v>0.48703000000000002</v>
      </c>
    </row>
    <row r="26" spans="1:11" ht="14.4" customHeight="1" thickBot="1" x14ac:dyDescent="0.35">
      <c r="A26" s="388" t="s">
        <v>230</v>
      </c>
      <c r="B26" s="366">
        <v>0</v>
      </c>
      <c r="C26" s="366">
        <v>0</v>
      </c>
      <c r="D26" s="367">
        <v>0</v>
      </c>
      <c r="E26" s="368">
        <v>1</v>
      </c>
      <c r="F26" s="366">
        <v>1</v>
      </c>
      <c r="G26" s="367">
        <v>0.58333333333299997</v>
      </c>
      <c r="H26" s="369">
        <v>0</v>
      </c>
      <c r="I26" s="366">
        <v>0</v>
      </c>
      <c r="J26" s="367">
        <v>-0.58333333333299997</v>
      </c>
      <c r="K26" s="370">
        <v>0</v>
      </c>
    </row>
    <row r="27" spans="1:11" ht="14.4" customHeight="1" thickBot="1" x14ac:dyDescent="0.35">
      <c r="A27" s="388" t="s">
        <v>231</v>
      </c>
      <c r="B27" s="366">
        <v>0</v>
      </c>
      <c r="C27" s="366">
        <v>0.74414999999999998</v>
      </c>
      <c r="D27" s="367">
        <v>0.74414999999999998</v>
      </c>
      <c r="E27" s="377" t="s">
        <v>207</v>
      </c>
      <c r="F27" s="366">
        <v>1</v>
      </c>
      <c r="G27" s="367">
        <v>0.58333333333299997</v>
      </c>
      <c r="H27" s="369">
        <v>0</v>
      </c>
      <c r="I27" s="366">
        <v>0.97406000000000004</v>
      </c>
      <c r="J27" s="367">
        <v>0.39072666666599998</v>
      </c>
      <c r="K27" s="370">
        <v>0.97405999999899995</v>
      </c>
    </row>
    <row r="28" spans="1:11" ht="14.4" customHeight="1" thickBot="1" x14ac:dyDescent="0.35">
      <c r="A28" s="386" t="s">
        <v>19</v>
      </c>
      <c r="B28" s="366">
        <v>142.16953438377399</v>
      </c>
      <c r="C28" s="366">
        <v>144.48400000000001</v>
      </c>
      <c r="D28" s="367">
        <v>2.3144656162250001</v>
      </c>
      <c r="E28" s="368">
        <v>1.016279617333</v>
      </c>
      <c r="F28" s="366">
        <v>149.503906610581</v>
      </c>
      <c r="G28" s="367">
        <v>87.210612189504999</v>
      </c>
      <c r="H28" s="369">
        <v>8.0909999999999993</v>
      </c>
      <c r="I28" s="366">
        <v>84.608000000000004</v>
      </c>
      <c r="J28" s="367">
        <v>-2.6026121895049998</v>
      </c>
      <c r="K28" s="370">
        <v>0.56592501104500004</v>
      </c>
    </row>
    <row r="29" spans="1:11" ht="14.4" customHeight="1" thickBot="1" x14ac:dyDescent="0.35">
      <c r="A29" s="387" t="s">
        <v>232</v>
      </c>
      <c r="B29" s="371">
        <v>142.16953438377399</v>
      </c>
      <c r="C29" s="371">
        <v>144.48400000000001</v>
      </c>
      <c r="D29" s="372">
        <v>2.3144656162250001</v>
      </c>
      <c r="E29" s="373">
        <v>1.016279617333</v>
      </c>
      <c r="F29" s="371">
        <v>149.503906610581</v>
      </c>
      <c r="G29" s="372">
        <v>87.210612189504999</v>
      </c>
      <c r="H29" s="374">
        <v>8.0909999999999993</v>
      </c>
      <c r="I29" s="371">
        <v>84.608000000000004</v>
      </c>
      <c r="J29" s="372">
        <v>-2.6026121895049998</v>
      </c>
      <c r="K29" s="376">
        <v>0.56592501104500004</v>
      </c>
    </row>
    <row r="30" spans="1:11" ht="14.4" customHeight="1" thickBot="1" x14ac:dyDescent="0.35">
      <c r="A30" s="388" t="s">
        <v>233</v>
      </c>
      <c r="B30" s="366">
        <v>26.417290932158998</v>
      </c>
      <c r="C30" s="366">
        <v>24.004000000000001</v>
      </c>
      <c r="D30" s="367">
        <v>-2.4132909321590001</v>
      </c>
      <c r="E30" s="368">
        <v>0.908647297016</v>
      </c>
      <c r="F30" s="366">
        <v>24.999999999999002</v>
      </c>
      <c r="G30" s="367">
        <v>14.583333333333</v>
      </c>
      <c r="H30" s="369">
        <v>2.0190000000000001</v>
      </c>
      <c r="I30" s="366">
        <v>14.489000000000001</v>
      </c>
      <c r="J30" s="367">
        <v>-9.4333333332999994E-2</v>
      </c>
      <c r="K30" s="370">
        <v>0.57955999999999996</v>
      </c>
    </row>
    <row r="31" spans="1:11" ht="14.4" customHeight="1" thickBot="1" x14ac:dyDescent="0.35">
      <c r="A31" s="388" t="s">
        <v>234</v>
      </c>
      <c r="B31" s="366">
        <v>51.881250560989997</v>
      </c>
      <c r="C31" s="366">
        <v>54.173999999999999</v>
      </c>
      <c r="D31" s="367">
        <v>2.292749439009</v>
      </c>
      <c r="E31" s="368">
        <v>1.0441922547010001</v>
      </c>
      <c r="F31" s="366">
        <v>58.503906610580998</v>
      </c>
      <c r="G31" s="367">
        <v>34.127278856171998</v>
      </c>
      <c r="H31" s="369">
        <v>3.9950000000000001</v>
      </c>
      <c r="I31" s="366">
        <v>31.791</v>
      </c>
      <c r="J31" s="367">
        <v>-2.336278856172</v>
      </c>
      <c r="K31" s="370">
        <v>0.54339960938999998</v>
      </c>
    </row>
    <row r="32" spans="1:11" ht="14.4" customHeight="1" thickBot="1" x14ac:dyDescent="0.35">
      <c r="A32" s="388" t="s">
        <v>235</v>
      </c>
      <c r="B32" s="366">
        <v>63.870992890624002</v>
      </c>
      <c r="C32" s="366">
        <v>66.305999999999997</v>
      </c>
      <c r="D32" s="367">
        <v>2.435007109376</v>
      </c>
      <c r="E32" s="368">
        <v>1.0381238336709999</v>
      </c>
      <c r="F32" s="366">
        <v>65.999999999999005</v>
      </c>
      <c r="G32" s="367">
        <v>38.499999999998998</v>
      </c>
      <c r="H32" s="369">
        <v>2.077</v>
      </c>
      <c r="I32" s="366">
        <v>38.328000000000003</v>
      </c>
      <c r="J32" s="367">
        <v>-0.17199999999900001</v>
      </c>
      <c r="K32" s="370">
        <v>0.58072727272699998</v>
      </c>
    </row>
    <row r="33" spans="1:11" ht="14.4" customHeight="1" thickBot="1" x14ac:dyDescent="0.35">
      <c r="A33" s="389" t="s">
        <v>236</v>
      </c>
      <c r="B33" s="371">
        <v>31.631453951876999</v>
      </c>
      <c r="C33" s="371">
        <v>37.853439999999999</v>
      </c>
      <c r="D33" s="372">
        <v>6.221986048122</v>
      </c>
      <c r="E33" s="373">
        <v>1.1967024992769999</v>
      </c>
      <c r="F33" s="371">
        <v>29.235015927788002</v>
      </c>
      <c r="G33" s="372">
        <v>17.053759291209001</v>
      </c>
      <c r="H33" s="374">
        <v>4.0184100000000003</v>
      </c>
      <c r="I33" s="371">
        <v>20.26155</v>
      </c>
      <c r="J33" s="372">
        <v>3.2077907087900002</v>
      </c>
      <c r="K33" s="376">
        <v>0.69305760085900003</v>
      </c>
    </row>
    <row r="34" spans="1:11" ht="14.4" customHeight="1" thickBot="1" x14ac:dyDescent="0.35">
      <c r="A34" s="386" t="s">
        <v>22</v>
      </c>
      <c r="B34" s="366">
        <v>3.5590760194079998</v>
      </c>
      <c r="C34" s="366">
        <v>3.7953399999999999</v>
      </c>
      <c r="D34" s="367">
        <v>0.23626398059100001</v>
      </c>
      <c r="E34" s="368">
        <v>1.0663835161990001</v>
      </c>
      <c r="F34" s="366">
        <v>2.124120602439</v>
      </c>
      <c r="G34" s="367">
        <v>1.2390703514229999</v>
      </c>
      <c r="H34" s="369">
        <v>0.90991999999999995</v>
      </c>
      <c r="I34" s="366">
        <v>1.3081499999999999</v>
      </c>
      <c r="J34" s="367">
        <v>6.9079648576000005E-2</v>
      </c>
      <c r="K34" s="370">
        <v>0.61585486177000004</v>
      </c>
    </row>
    <row r="35" spans="1:11" ht="14.4" customHeight="1" thickBot="1" x14ac:dyDescent="0.35">
      <c r="A35" s="390" t="s">
        <v>237</v>
      </c>
      <c r="B35" s="366">
        <v>3.5590760194079998</v>
      </c>
      <c r="C35" s="366">
        <v>3.7953399999999999</v>
      </c>
      <c r="D35" s="367">
        <v>0.23626398059100001</v>
      </c>
      <c r="E35" s="368">
        <v>1.0663835161990001</v>
      </c>
      <c r="F35" s="366">
        <v>2.124120602439</v>
      </c>
      <c r="G35" s="367">
        <v>1.2390703514229999</v>
      </c>
      <c r="H35" s="369">
        <v>0.90991999999999995</v>
      </c>
      <c r="I35" s="366">
        <v>1.3081499999999999</v>
      </c>
      <c r="J35" s="367">
        <v>6.9079648576000005E-2</v>
      </c>
      <c r="K35" s="370">
        <v>0.61585486177000004</v>
      </c>
    </row>
    <row r="36" spans="1:11" ht="14.4" customHeight="1" thickBot="1" x14ac:dyDescent="0.35">
      <c r="A36" s="388" t="s">
        <v>238</v>
      </c>
      <c r="B36" s="366">
        <v>0</v>
      </c>
      <c r="C36" s="366">
        <v>0.27366000000000001</v>
      </c>
      <c r="D36" s="367">
        <v>0.27366000000000001</v>
      </c>
      <c r="E36" s="377" t="s">
        <v>207</v>
      </c>
      <c r="F36" s="366">
        <v>0.124120602439</v>
      </c>
      <c r="G36" s="367">
        <v>7.2403684755999995E-2</v>
      </c>
      <c r="H36" s="369">
        <v>0</v>
      </c>
      <c r="I36" s="366">
        <v>0.13683000000000001</v>
      </c>
      <c r="J36" s="367">
        <v>6.4426315243000007E-2</v>
      </c>
      <c r="K36" s="370">
        <v>1.102395551666</v>
      </c>
    </row>
    <row r="37" spans="1:11" ht="14.4" customHeight="1" thickBot="1" x14ac:dyDescent="0.35">
      <c r="A37" s="388" t="s">
        <v>239</v>
      </c>
      <c r="B37" s="366">
        <v>2.2508507564700002</v>
      </c>
      <c r="C37" s="366">
        <v>0</v>
      </c>
      <c r="D37" s="367">
        <v>-2.2508507564700002</v>
      </c>
      <c r="E37" s="368">
        <v>0</v>
      </c>
      <c r="F37" s="366">
        <v>0</v>
      </c>
      <c r="G37" s="367">
        <v>0</v>
      </c>
      <c r="H37" s="369">
        <v>0</v>
      </c>
      <c r="I37" s="366">
        <v>0</v>
      </c>
      <c r="J37" s="367">
        <v>0</v>
      </c>
      <c r="K37" s="370">
        <v>7</v>
      </c>
    </row>
    <row r="38" spans="1:11" ht="14.4" customHeight="1" thickBot="1" x14ac:dyDescent="0.35">
      <c r="A38" s="388" t="s">
        <v>240</v>
      </c>
      <c r="B38" s="366">
        <v>1.308225262938</v>
      </c>
      <c r="C38" s="366">
        <v>3.5216799999999999</v>
      </c>
      <c r="D38" s="367">
        <v>2.2134547370609998</v>
      </c>
      <c r="E38" s="368">
        <v>2.6919522958069999</v>
      </c>
      <c r="F38" s="366">
        <v>1.9999999999989999</v>
      </c>
      <c r="G38" s="367">
        <v>1.1666666666659999</v>
      </c>
      <c r="H38" s="369">
        <v>0.90991999999999995</v>
      </c>
      <c r="I38" s="366">
        <v>1.1713199999999999</v>
      </c>
      <c r="J38" s="367">
        <v>4.6533333329999999E-3</v>
      </c>
      <c r="K38" s="370">
        <v>0.58565999999999996</v>
      </c>
    </row>
    <row r="39" spans="1:11" ht="14.4" customHeight="1" thickBot="1" x14ac:dyDescent="0.35">
      <c r="A39" s="391" t="s">
        <v>23</v>
      </c>
      <c r="B39" s="371">
        <v>0</v>
      </c>
      <c r="C39" s="371">
        <v>2.8980000000000001</v>
      </c>
      <c r="D39" s="372">
        <v>2.8980000000000001</v>
      </c>
      <c r="E39" s="379" t="s">
        <v>207</v>
      </c>
      <c r="F39" s="371">
        <v>0</v>
      </c>
      <c r="G39" s="372">
        <v>0</v>
      </c>
      <c r="H39" s="374">
        <v>0</v>
      </c>
      <c r="I39" s="371">
        <v>2.1560000000000001</v>
      </c>
      <c r="J39" s="372">
        <v>2.1560000000000001</v>
      </c>
      <c r="K39" s="375" t="s">
        <v>207</v>
      </c>
    </row>
    <row r="40" spans="1:11" ht="14.4" customHeight="1" thickBot="1" x14ac:dyDescent="0.35">
      <c r="A40" s="387" t="s">
        <v>241</v>
      </c>
      <c r="B40" s="371">
        <v>0</v>
      </c>
      <c r="C40" s="371">
        <v>2.8980000000000001</v>
      </c>
      <c r="D40" s="372">
        <v>2.8980000000000001</v>
      </c>
      <c r="E40" s="379" t="s">
        <v>207</v>
      </c>
      <c r="F40" s="371">
        <v>0</v>
      </c>
      <c r="G40" s="372">
        <v>0</v>
      </c>
      <c r="H40" s="374">
        <v>0</v>
      </c>
      <c r="I40" s="371">
        <v>2.1560000000000001</v>
      </c>
      <c r="J40" s="372">
        <v>2.1560000000000001</v>
      </c>
      <c r="K40" s="375" t="s">
        <v>207</v>
      </c>
    </row>
    <row r="41" spans="1:11" ht="14.4" customHeight="1" thickBot="1" x14ac:dyDescent="0.35">
      <c r="A41" s="388" t="s">
        <v>242</v>
      </c>
      <c r="B41" s="366">
        <v>0</v>
      </c>
      <c r="C41" s="366">
        <v>2.8980000000000001</v>
      </c>
      <c r="D41" s="367">
        <v>2.8980000000000001</v>
      </c>
      <c r="E41" s="377" t="s">
        <v>207</v>
      </c>
      <c r="F41" s="366">
        <v>0</v>
      </c>
      <c r="G41" s="367">
        <v>0</v>
      </c>
      <c r="H41" s="369">
        <v>0</v>
      </c>
      <c r="I41" s="366">
        <v>2.1560000000000001</v>
      </c>
      <c r="J41" s="367">
        <v>2.1560000000000001</v>
      </c>
      <c r="K41" s="378" t="s">
        <v>207</v>
      </c>
    </row>
    <row r="42" spans="1:11" ht="14.4" customHeight="1" thickBot="1" x14ac:dyDescent="0.35">
      <c r="A42" s="386" t="s">
        <v>24</v>
      </c>
      <c r="B42" s="366">
        <v>28.072377932468001</v>
      </c>
      <c r="C42" s="366">
        <v>31.1601</v>
      </c>
      <c r="D42" s="367">
        <v>3.0877220675310002</v>
      </c>
      <c r="E42" s="368">
        <v>1.109991468302</v>
      </c>
      <c r="F42" s="366">
        <v>27.110895325348</v>
      </c>
      <c r="G42" s="367">
        <v>15.814688939786</v>
      </c>
      <c r="H42" s="369">
        <v>3.1084900000000002</v>
      </c>
      <c r="I42" s="366">
        <v>16.7974</v>
      </c>
      <c r="J42" s="367">
        <v>0.98271106021300003</v>
      </c>
      <c r="K42" s="370">
        <v>0.619581160947</v>
      </c>
    </row>
    <row r="43" spans="1:11" ht="14.4" customHeight="1" thickBot="1" x14ac:dyDescent="0.35">
      <c r="A43" s="387" t="s">
        <v>243</v>
      </c>
      <c r="B43" s="371">
        <v>0.125354203198</v>
      </c>
      <c r="C43" s="371">
        <v>0</v>
      </c>
      <c r="D43" s="372">
        <v>-0.125354203198</v>
      </c>
      <c r="E43" s="373">
        <v>0</v>
      </c>
      <c r="F43" s="371">
        <v>0</v>
      </c>
      <c r="G43" s="372">
        <v>0</v>
      </c>
      <c r="H43" s="374">
        <v>0</v>
      </c>
      <c r="I43" s="371">
        <v>0</v>
      </c>
      <c r="J43" s="372">
        <v>0</v>
      </c>
      <c r="K43" s="376">
        <v>0</v>
      </c>
    </row>
    <row r="44" spans="1:11" ht="14.4" customHeight="1" thickBot="1" x14ac:dyDescent="0.35">
      <c r="A44" s="388" t="s">
        <v>244</v>
      </c>
      <c r="B44" s="366">
        <v>0.125354203198</v>
      </c>
      <c r="C44" s="366">
        <v>0</v>
      </c>
      <c r="D44" s="367">
        <v>-0.125354203198</v>
      </c>
      <c r="E44" s="368">
        <v>0</v>
      </c>
      <c r="F44" s="366">
        <v>0</v>
      </c>
      <c r="G44" s="367">
        <v>0</v>
      </c>
      <c r="H44" s="369">
        <v>0</v>
      </c>
      <c r="I44" s="366">
        <v>0</v>
      </c>
      <c r="J44" s="367">
        <v>0</v>
      </c>
      <c r="K44" s="370">
        <v>0</v>
      </c>
    </row>
    <row r="45" spans="1:11" ht="14.4" customHeight="1" thickBot="1" x14ac:dyDescent="0.35">
      <c r="A45" s="387" t="s">
        <v>245</v>
      </c>
      <c r="B45" s="371">
        <v>1.338398807645</v>
      </c>
      <c r="C45" s="371">
        <v>4.4841699999999998</v>
      </c>
      <c r="D45" s="372">
        <v>3.1457711923540002</v>
      </c>
      <c r="E45" s="373">
        <v>3.3503989800229999</v>
      </c>
      <c r="F45" s="371">
        <v>5.1108953253480003</v>
      </c>
      <c r="G45" s="372">
        <v>2.981355606453</v>
      </c>
      <c r="H45" s="374">
        <v>0.65227999999999997</v>
      </c>
      <c r="I45" s="371">
        <v>2.90591</v>
      </c>
      <c r="J45" s="372">
        <v>-7.5445606452999997E-2</v>
      </c>
      <c r="K45" s="376">
        <v>0.56857161319399996</v>
      </c>
    </row>
    <row r="46" spans="1:11" ht="14.4" customHeight="1" thickBot="1" x14ac:dyDescent="0.35">
      <c r="A46" s="388" t="s">
        <v>246</v>
      </c>
      <c r="B46" s="366">
        <v>6.3936850732000006E-2</v>
      </c>
      <c r="C46" s="366">
        <v>8.3599999999999994E-2</v>
      </c>
      <c r="D46" s="367">
        <v>1.9663149267E-2</v>
      </c>
      <c r="E46" s="368">
        <v>1.307540159427</v>
      </c>
      <c r="F46" s="366">
        <v>9.2530361953000004E-2</v>
      </c>
      <c r="G46" s="367">
        <v>5.3976044472000002E-2</v>
      </c>
      <c r="H46" s="369">
        <v>2.6599999999999999E-2</v>
      </c>
      <c r="I46" s="366">
        <v>5.8900000000000001E-2</v>
      </c>
      <c r="J46" s="367">
        <v>4.9239555269999999E-3</v>
      </c>
      <c r="K46" s="370">
        <v>0.636547817997</v>
      </c>
    </row>
    <row r="47" spans="1:11" ht="14.4" customHeight="1" thickBot="1" x14ac:dyDescent="0.35">
      <c r="A47" s="388" t="s">
        <v>247</v>
      </c>
      <c r="B47" s="366">
        <v>1.274461956913</v>
      </c>
      <c r="C47" s="366">
        <v>4.4005700000000001</v>
      </c>
      <c r="D47" s="367">
        <v>3.126108043086</v>
      </c>
      <c r="E47" s="368">
        <v>3.4528845495380001</v>
      </c>
      <c r="F47" s="366">
        <v>5.0183649633940002</v>
      </c>
      <c r="G47" s="367">
        <v>2.92737956198</v>
      </c>
      <c r="H47" s="369">
        <v>0.62568000000000001</v>
      </c>
      <c r="I47" s="366">
        <v>2.84701</v>
      </c>
      <c r="J47" s="367">
        <v>-8.0369561980000004E-2</v>
      </c>
      <c r="K47" s="370">
        <v>0.56731824424199995</v>
      </c>
    </row>
    <row r="48" spans="1:11" ht="14.4" customHeight="1" thickBot="1" x14ac:dyDescent="0.35">
      <c r="A48" s="387" t="s">
        <v>248</v>
      </c>
      <c r="B48" s="371">
        <v>3.9999936338570001</v>
      </c>
      <c r="C48" s="371">
        <v>3.78</v>
      </c>
      <c r="D48" s="372">
        <v>-0.21999363385699999</v>
      </c>
      <c r="E48" s="373">
        <v>0.94500150400299998</v>
      </c>
      <c r="F48" s="371">
        <v>4</v>
      </c>
      <c r="G48" s="372">
        <v>2.333333333333</v>
      </c>
      <c r="H48" s="374">
        <v>0.94499999999999995</v>
      </c>
      <c r="I48" s="371">
        <v>2.835</v>
      </c>
      <c r="J48" s="372">
        <v>0.50166666666600002</v>
      </c>
      <c r="K48" s="376">
        <v>0.70874999999900001</v>
      </c>
    </row>
    <row r="49" spans="1:11" ht="14.4" customHeight="1" thickBot="1" x14ac:dyDescent="0.35">
      <c r="A49" s="388" t="s">
        <v>249</v>
      </c>
      <c r="B49" s="366">
        <v>3.9999936338570001</v>
      </c>
      <c r="C49" s="366">
        <v>3.78</v>
      </c>
      <c r="D49" s="367">
        <v>-0.21999363385699999</v>
      </c>
      <c r="E49" s="368">
        <v>0.94500150400299998</v>
      </c>
      <c r="F49" s="366">
        <v>4</v>
      </c>
      <c r="G49" s="367">
        <v>2.333333333333</v>
      </c>
      <c r="H49" s="369">
        <v>0.94499999999999995</v>
      </c>
      <c r="I49" s="366">
        <v>2.835</v>
      </c>
      <c r="J49" s="367">
        <v>0.50166666666600002</v>
      </c>
      <c r="K49" s="370">
        <v>0.70874999999900001</v>
      </c>
    </row>
    <row r="50" spans="1:11" ht="14.4" customHeight="1" thickBot="1" x14ac:dyDescent="0.35">
      <c r="A50" s="387" t="s">
        <v>250</v>
      </c>
      <c r="B50" s="371">
        <v>17.608639245443001</v>
      </c>
      <c r="C50" s="371">
        <v>17.640930000000001</v>
      </c>
      <c r="D50" s="372">
        <v>3.2290754556000001E-2</v>
      </c>
      <c r="E50" s="373">
        <v>1.0018338018120001</v>
      </c>
      <c r="F50" s="371">
        <v>18</v>
      </c>
      <c r="G50" s="372">
        <v>10.5</v>
      </c>
      <c r="H50" s="374">
        <v>1.5112099999999999</v>
      </c>
      <c r="I50" s="371">
        <v>10.356490000000001</v>
      </c>
      <c r="J50" s="372">
        <v>-0.14351</v>
      </c>
      <c r="K50" s="376">
        <v>0.57536055555499999</v>
      </c>
    </row>
    <row r="51" spans="1:11" ht="14.4" customHeight="1" thickBot="1" x14ac:dyDescent="0.35">
      <c r="A51" s="388" t="s">
        <v>251</v>
      </c>
      <c r="B51" s="366">
        <v>17.608639245443001</v>
      </c>
      <c r="C51" s="366">
        <v>17.640930000000001</v>
      </c>
      <c r="D51" s="367">
        <v>3.2290754556000001E-2</v>
      </c>
      <c r="E51" s="368">
        <v>1.0018338018120001</v>
      </c>
      <c r="F51" s="366">
        <v>18</v>
      </c>
      <c r="G51" s="367">
        <v>10.5</v>
      </c>
      <c r="H51" s="369">
        <v>1.5112099999999999</v>
      </c>
      <c r="I51" s="366">
        <v>10.356490000000001</v>
      </c>
      <c r="J51" s="367">
        <v>-0.14351</v>
      </c>
      <c r="K51" s="370">
        <v>0.57536055555499999</v>
      </c>
    </row>
    <row r="52" spans="1:11" ht="14.4" customHeight="1" thickBot="1" x14ac:dyDescent="0.35">
      <c r="A52" s="387" t="s">
        <v>252</v>
      </c>
      <c r="B52" s="371">
        <v>4.9999920423219999</v>
      </c>
      <c r="C52" s="371">
        <v>5.2549999999999999</v>
      </c>
      <c r="D52" s="372">
        <v>0.25500795767700002</v>
      </c>
      <c r="E52" s="373">
        <v>1.0510016727060001</v>
      </c>
      <c r="F52" s="371">
        <v>0</v>
      </c>
      <c r="G52" s="372">
        <v>0</v>
      </c>
      <c r="H52" s="374">
        <v>0</v>
      </c>
      <c r="I52" s="371">
        <v>0.7</v>
      </c>
      <c r="J52" s="372">
        <v>0.7</v>
      </c>
      <c r="K52" s="375" t="s">
        <v>207</v>
      </c>
    </row>
    <row r="53" spans="1:11" ht="14.4" customHeight="1" thickBot="1" x14ac:dyDescent="0.35">
      <c r="A53" s="388" t="s">
        <v>253</v>
      </c>
      <c r="B53" s="366">
        <v>4.9999920423219999</v>
      </c>
      <c r="C53" s="366">
        <v>5.0549999999999997</v>
      </c>
      <c r="D53" s="367">
        <v>5.5007957677000001E-2</v>
      </c>
      <c r="E53" s="368">
        <v>1.0110016090439999</v>
      </c>
      <c r="F53" s="366">
        <v>0</v>
      </c>
      <c r="G53" s="367">
        <v>0</v>
      </c>
      <c r="H53" s="369">
        <v>0</v>
      </c>
      <c r="I53" s="366">
        <v>0</v>
      </c>
      <c r="J53" s="367">
        <v>0</v>
      </c>
      <c r="K53" s="378" t="s">
        <v>207</v>
      </c>
    </row>
    <row r="54" spans="1:11" ht="14.4" customHeight="1" thickBot="1" x14ac:dyDescent="0.35">
      <c r="A54" s="388" t="s">
        <v>254</v>
      </c>
      <c r="B54" s="366">
        <v>0</v>
      </c>
      <c r="C54" s="366">
        <v>0.2</v>
      </c>
      <c r="D54" s="367">
        <v>0.2</v>
      </c>
      <c r="E54" s="377" t="s">
        <v>218</v>
      </c>
      <c r="F54" s="366">
        <v>0</v>
      </c>
      <c r="G54" s="367">
        <v>0</v>
      </c>
      <c r="H54" s="369">
        <v>0</v>
      </c>
      <c r="I54" s="366">
        <v>0.7</v>
      </c>
      <c r="J54" s="367">
        <v>0.7</v>
      </c>
      <c r="K54" s="378" t="s">
        <v>218</v>
      </c>
    </row>
    <row r="55" spans="1:11" ht="14.4" customHeight="1" thickBot="1" x14ac:dyDescent="0.35">
      <c r="A55" s="385" t="s">
        <v>25</v>
      </c>
      <c r="B55" s="366">
        <v>3259.0002942208698</v>
      </c>
      <c r="C55" s="366">
        <v>3377.3927399999998</v>
      </c>
      <c r="D55" s="367">
        <v>118.392445779133</v>
      </c>
      <c r="E55" s="368">
        <v>1.0363278413899999</v>
      </c>
      <c r="F55" s="366">
        <v>3353</v>
      </c>
      <c r="G55" s="367">
        <v>1955.9166666666699</v>
      </c>
      <c r="H55" s="369">
        <v>406.30412000000001</v>
      </c>
      <c r="I55" s="366">
        <v>2185.6003599999999</v>
      </c>
      <c r="J55" s="367">
        <v>229.683693333333</v>
      </c>
      <c r="K55" s="370">
        <v>0.65183428571400004</v>
      </c>
    </row>
    <row r="56" spans="1:11" ht="14.4" customHeight="1" thickBot="1" x14ac:dyDescent="0.35">
      <c r="A56" s="391" t="s">
        <v>255</v>
      </c>
      <c r="B56" s="371">
        <v>2407.0002173027401</v>
      </c>
      <c r="C56" s="371">
        <v>2495.9659999999999</v>
      </c>
      <c r="D56" s="372">
        <v>88.965782697259996</v>
      </c>
      <c r="E56" s="373">
        <v>1.0369612690750001</v>
      </c>
      <c r="F56" s="371">
        <v>2468</v>
      </c>
      <c r="G56" s="372">
        <v>1439.6666666666699</v>
      </c>
      <c r="H56" s="374">
        <v>298.75299999999999</v>
      </c>
      <c r="I56" s="371">
        <v>1607.0650000000001</v>
      </c>
      <c r="J56" s="372">
        <v>167.398333333332</v>
      </c>
      <c r="K56" s="376">
        <v>0.65116085899499998</v>
      </c>
    </row>
    <row r="57" spans="1:11" ht="14.4" customHeight="1" thickBot="1" x14ac:dyDescent="0.35">
      <c r="A57" s="387" t="s">
        <v>256</v>
      </c>
      <c r="B57" s="371">
        <v>2400.00021667078</v>
      </c>
      <c r="C57" s="371">
        <v>2482.2719999999999</v>
      </c>
      <c r="D57" s="372">
        <v>82.271783329217001</v>
      </c>
      <c r="E57" s="373">
        <v>1.0342799066249999</v>
      </c>
      <c r="F57" s="371">
        <v>2461</v>
      </c>
      <c r="G57" s="372">
        <v>1435.5833333333301</v>
      </c>
      <c r="H57" s="374">
        <v>298.75299999999999</v>
      </c>
      <c r="I57" s="371">
        <v>1607.0650000000001</v>
      </c>
      <c r="J57" s="372">
        <v>171.481666666666</v>
      </c>
      <c r="K57" s="376">
        <v>0.65301300284399999</v>
      </c>
    </row>
    <row r="58" spans="1:11" ht="14.4" customHeight="1" thickBot="1" x14ac:dyDescent="0.35">
      <c r="A58" s="388" t="s">
        <v>257</v>
      </c>
      <c r="B58" s="366">
        <v>2400.00021667078</v>
      </c>
      <c r="C58" s="366">
        <v>2482.2719999999999</v>
      </c>
      <c r="D58" s="367">
        <v>82.271783329217001</v>
      </c>
      <c r="E58" s="368">
        <v>1.0342799066249999</v>
      </c>
      <c r="F58" s="366">
        <v>2461</v>
      </c>
      <c r="G58" s="367">
        <v>1435.5833333333301</v>
      </c>
      <c r="H58" s="369">
        <v>298.75299999999999</v>
      </c>
      <c r="I58" s="366">
        <v>1607.0650000000001</v>
      </c>
      <c r="J58" s="367">
        <v>171.481666666666</v>
      </c>
      <c r="K58" s="370">
        <v>0.65301300284399999</v>
      </c>
    </row>
    <row r="59" spans="1:11" ht="14.4" customHeight="1" thickBot="1" x14ac:dyDescent="0.35">
      <c r="A59" s="387" t="s">
        <v>258</v>
      </c>
      <c r="B59" s="371">
        <v>7.0000006319560004</v>
      </c>
      <c r="C59" s="371">
        <v>13.694000000000001</v>
      </c>
      <c r="D59" s="372">
        <v>6.6939993680430003</v>
      </c>
      <c r="E59" s="373">
        <v>1.956285537673</v>
      </c>
      <c r="F59" s="371">
        <v>7</v>
      </c>
      <c r="G59" s="372">
        <v>4.083333333333</v>
      </c>
      <c r="H59" s="374">
        <v>0</v>
      </c>
      <c r="I59" s="371">
        <v>0</v>
      </c>
      <c r="J59" s="372">
        <v>-4.083333333333</v>
      </c>
      <c r="K59" s="376">
        <v>0</v>
      </c>
    </row>
    <row r="60" spans="1:11" ht="14.4" customHeight="1" thickBot="1" x14ac:dyDescent="0.35">
      <c r="A60" s="388" t="s">
        <v>259</v>
      </c>
      <c r="B60" s="366">
        <v>7.0000006319560004</v>
      </c>
      <c r="C60" s="366">
        <v>13.694000000000001</v>
      </c>
      <c r="D60" s="367">
        <v>6.6939993680430003</v>
      </c>
      <c r="E60" s="368">
        <v>1.956285537673</v>
      </c>
      <c r="F60" s="366">
        <v>7</v>
      </c>
      <c r="G60" s="367">
        <v>4.083333333333</v>
      </c>
      <c r="H60" s="369">
        <v>0</v>
      </c>
      <c r="I60" s="366">
        <v>0</v>
      </c>
      <c r="J60" s="367">
        <v>-4.083333333333</v>
      </c>
      <c r="K60" s="370">
        <v>0</v>
      </c>
    </row>
    <row r="61" spans="1:11" ht="14.4" customHeight="1" thickBot="1" x14ac:dyDescent="0.35">
      <c r="A61" s="386" t="s">
        <v>260</v>
      </c>
      <c r="B61" s="366">
        <v>816.00007366806699</v>
      </c>
      <c r="C61" s="366">
        <v>843.98272999999995</v>
      </c>
      <c r="D61" s="367">
        <v>27.982656331933001</v>
      </c>
      <c r="E61" s="368">
        <v>1.034292467899</v>
      </c>
      <c r="F61" s="366">
        <v>835.99999999999898</v>
      </c>
      <c r="G61" s="367">
        <v>487.666666666666</v>
      </c>
      <c r="H61" s="369">
        <v>101.57664</v>
      </c>
      <c r="I61" s="366">
        <v>546.39639999999997</v>
      </c>
      <c r="J61" s="367">
        <v>58.729733333334003</v>
      </c>
      <c r="K61" s="370">
        <v>0.65358421052600002</v>
      </c>
    </row>
    <row r="62" spans="1:11" ht="14.4" customHeight="1" thickBot="1" x14ac:dyDescent="0.35">
      <c r="A62" s="387" t="s">
        <v>261</v>
      </c>
      <c r="B62" s="371">
        <v>216.000019500371</v>
      </c>
      <c r="C62" s="371">
        <v>223.41471999999999</v>
      </c>
      <c r="D62" s="372">
        <v>7.4147004996290002</v>
      </c>
      <c r="E62" s="373">
        <v>1.034327314028</v>
      </c>
      <c r="F62" s="371">
        <v>220.99999999999901</v>
      </c>
      <c r="G62" s="372">
        <v>128.916666666666</v>
      </c>
      <c r="H62" s="374">
        <v>26.888390000000001</v>
      </c>
      <c r="I62" s="371">
        <v>144.63014999999999</v>
      </c>
      <c r="J62" s="372">
        <v>15.713483333333</v>
      </c>
      <c r="K62" s="376">
        <v>0.65443506787299999</v>
      </c>
    </row>
    <row r="63" spans="1:11" ht="14.4" customHeight="1" thickBot="1" x14ac:dyDescent="0.35">
      <c r="A63" s="388" t="s">
        <v>262</v>
      </c>
      <c r="B63" s="366">
        <v>216.000019500371</v>
      </c>
      <c r="C63" s="366">
        <v>223.41471999999999</v>
      </c>
      <c r="D63" s="367">
        <v>7.4147004996290002</v>
      </c>
      <c r="E63" s="368">
        <v>1.034327314028</v>
      </c>
      <c r="F63" s="366">
        <v>220.99999999999901</v>
      </c>
      <c r="G63" s="367">
        <v>128.916666666666</v>
      </c>
      <c r="H63" s="369">
        <v>26.888390000000001</v>
      </c>
      <c r="I63" s="366">
        <v>144.63014999999999</v>
      </c>
      <c r="J63" s="367">
        <v>15.713483333333</v>
      </c>
      <c r="K63" s="370">
        <v>0.65443506787299999</v>
      </c>
    </row>
    <row r="64" spans="1:11" ht="14.4" customHeight="1" thickBot="1" x14ac:dyDescent="0.35">
      <c r="A64" s="387" t="s">
        <v>263</v>
      </c>
      <c r="B64" s="371">
        <v>600.00005416769602</v>
      </c>
      <c r="C64" s="371">
        <v>620.56800999999996</v>
      </c>
      <c r="D64" s="372">
        <v>20.567955832304001</v>
      </c>
      <c r="E64" s="373">
        <v>1.0342799232919999</v>
      </c>
      <c r="F64" s="371">
        <v>615</v>
      </c>
      <c r="G64" s="372">
        <v>358.75</v>
      </c>
      <c r="H64" s="374">
        <v>74.688249999999996</v>
      </c>
      <c r="I64" s="371">
        <v>401.76625000000001</v>
      </c>
      <c r="J64" s="372">
        <v>43.016249999999999</v>
      </c>
      <c r="K64" s="376">
        <v>0.65327845528399997</v>
      </c>
    </row>
    <row r="65" spans="1:11" ht="14.4" customHeight="1" thickBot="1" x14ac:dyDescent="0.35">
      <c r="A65" s="388" t="s">
        <v>264</v>
      </c>
      <c r="B65" s="366">
        <v>600.00005416769602</v>
      </c>
      <c r="C65" s="366">
        <v>620.56800999999996</v>
      </c>
      <c r="D65" s="367">
        <v>20.567955832304001</v>
      </c>
      <c r="E65" s="368">
        <v>1.0342799232919999</v>
      </c>
      <c r="F65" s="366">
        <v>615</v>
      </c>
      <c r="G65" s="367">
        <v>358.75</v>
      </c>
      <c r="H65" s="369">
        <v>74.688249999999996</v>
      </c>
      <c r="I65" s="366">
        <v>401.76625000000001</v>
      </c>
      <c r="J65" s="367">
        <v>43.016249999999999</v>
      </c>
      <c r="K65" s="370">
        <v>0.65327845528399997</v>
      </c>
    </row>
    <row r="66" spans="1:11" ht="14.4" customHeight="1" thickBot="1" x14ac:dyDescent="0.35">
      <c r="A66" s="386" t="s">
        <v>265</v>
      </c>
      <c r="B66" s="366">
        <v>36.000003250060999</v>
      </c>
      <c r="C66" s="366">
        <v>37.444009999999999</v>
      </c>
      <c r="D66" s="367">
        <v>1.444006749938</v>
      </c>
      <c r="E66" s="368">
        <v>1.040111294988</v>
      </c>
      <c r="F66" s="366">
        <v>49</v>
      </c>
      <c r="G66" s="367">
        <v>28.583333333333002</v>
      </c>
      <c r="H66" s="369">
        <v>5.9744799999999998</v>
      </c>
      <c r="I66" s="366">
        <v>32.138959999999997</v>
      </c>
      <c r="J66" s="367">
        <v>3.5556266666659999</v>
      </c>
      <c r="K66" s="370">
        <v>0.65589714285699996</v>
      </c>
    </row>
    <row r="67" spans="1:11" ht="14.4" customHeight="1" thickBot="1" x14ac:dyDescent="0.35">
      <c r="A67" s="387" t="s">
        <v>266</v>
      </c>
      <c r="B67" s="371">
        <v>36.000003250060999</v>
      </c>
      <c r="C67" s="371">
        <v>37.444009999999999</v>
      </c>
      <c r="D67" s="372">
        <v>1.444006749938</v>
      </c>
      <c r="E67" s="373">
        <v>1.040111294988</v>
      </c>
      <c r="F67" s="371">
        <v>49</v>
      </c>
      <c r="G67" s="372">
        <v>28.583333333333002</v>
      </c>
      <c r="H67" s="374">
        <v>5.9744799999999998</v>
      </c>
      <c r="I67" s="371">
        <v>32.138959999999997</v>
      </c>
      <c r="J67" s="372">
        <v>3.5556266666659999</v>
      </c>
      <c r="K67" s="376">
        <v>0.65589714285699996</v>
      </c>
    </row>
    <row r="68" spans="1:11" ht="14.4" customHeight="1" thickBot="1" x14ac:dyDescent="0.35">
      <c r="A68" s="388" t="s">
        <v>267</v>
      </c>
      <c r="B68" s="366">
        <v>36.000003250060999</v>
      </c>
      <c r="C68" s="366">
        <v>37.444009999999999</v>
      </c>
      <c r="D68" s="367">
        <v>1.444006749938</v>
      </c>
      <c r="E68" s="368">
        <v>1.040111294988</v>
      </c>
      <c r="F68" s="366">
        <v>49</v>
      </c>
      <c r="G68" s="367">
        <v>28.583333333333002</v>
      </c>
      <c r="H68" s="369">
        <v>5.9744799999999998</v>
      </c>
      <c r="I68" s="366">
        <v>32.138959999999997</v>
      </c>
      <c r="J68" s="367">
        <v>3.5556266666659999</v>
      </c>
      <c r="K68" s="370">
        <v>0.65589714285699996</v>
      </c>
    </row>
    <row r="69" spans="1:11" ht="14.4" customHeight="1" thickBot="1" x14ac:dyDescent="0.35">
      <c r="A69" s="385" t="s">
        <v>268</v>
      </c>
      <c r="B69" s="366">
        <v>0</v>
      </c>
      <c r="C69" s="366">
        <v>4.5</v>
      </c>
      <c r="D69" s="367">
        <v>4.5</v>
      </c>
      <c r="E69" s="377" t="s">
        <v>207</v>
      </c>
      <c r="F69" s="366">
        <v>0</v>
      </c>
      <c r="G69" s="367">
        <v>0</v>
      </c>
      <c r="H69" s="369">
        <v>0</v>
      </c>
      <c r="I69" s="366">
        <v>1.6</v>
      </c>
      <c r="J69" s="367">
        <v>1.6</v>
      </c>
      <c r="K69" s="378" t="s">
        <v>207</v>
      </c>
    </row>
    <row r="70" spans="1:11" ht="14.4" customHeight="1" thickBot="1" x14ac:dyDescent="0.35">
      <c r="A70" s="386" t="s">
        <v>269</v>
      </c>
      <c r="B70" s="366">
        <v>0</v>
      </c>
      <c r="C70" s="366">
        <v>4.5</v>
      </c>
      <c r="D70" s="367">
        <v>4.5</v>
      </c>
      <c r="E70" s="377" t="s">
        <v>207</v>
      </c>
      <c r="F70" s="366">
        <v>0</v>
      </c>
      <c r="G70" s="367">
        <v>0</v>
      </c>
      <c r="H70" s="369">
        <v>0</v>
      </c>
      <c r="I70" s="366">
        <v>1.6</v>
      </c>
      <c r="J70" s="367">
        <v>1.6</v>
      </c>
      <c r="K70" s="378" t="s">
        <v>207</v>
      </c>
    </row>
    <row r="71" spans="1:11" ht="14.4" customHeight="1" thickBot="1" x14ac:dyDescent="0.35">
      <c r="A71" s="390" t="s">
        <v>270</v>
      </c>
      <c r="B71" s="366">
        <v>0</v>
      </c>
      <c r="C71" s="366">
        <v>4.5</v>
      </c>
      <c r="D71" s="367">
        <v>4.5</v>
      </c>
      <c r="E71" s="377" t="s">
        <v>218</v>
      </c>
      <c r="F71" s="366">
        <v>0</v>
      </c>
      <c r="G71" s="367">
        <v>0</v>
      </c>
      <c r="H71" s="369">
        <v>0</v>
      </c>
      <c r="I71" s="366">
        <v>1.6</v>
      </c>
      <c r="J71" s="367">
        <v>1.6</v>
      </c>
      <c r="K71" s="378" t="s">
        <v>207</v>
      </c>
    </row>
    <row r="72" spans="1:11" ht="14.4" customHeight="1" thickBot="1" x14ac:dyDescent="0.35">
      <c r="A72" s="388" t="s">
        <v>271</v>
      </c>
      <c r="B72" s="366">
        <v>0</v>
      </c>
      <c r="C72" s="366">
        <v>4.5</v>
      </c>
      <c r="D72" s="367">
        <v>4.5</v>
      </c>
      <c r="E72" s="377" t="s">
        <v>218</v>
      </c>
      <c r="F72" s="366">
        <v>0</v>
      </c>
      <c r="G72" s="367">
        <v>0</v>
      </c>
      <c r="H72" s="369">
        <v>0</v>
      </c>
      <c r="I72" s="366">
        <v>1.6</v>
      </c>
      <c r="J72" s="367">
        <v>1.6</v>
      </c>
      <c r="K72" s="378" t="s">
        <v>207</v>
      </c>
    </row>
    <row r="73" spans="1:11" ht="14.4" customHeight="1" thickBot="1" x14ac:dyDescent="0.35">
      <c r="A73" s="385" t="s">
        <v>272</v>
      </c>
      <c r="B73" s="366">
        <v>20.000046185193</v>
      </c>
      <c r="C73" s="366">
        <v>19.87</v>
      </c>
      <c r="D73" s="367">
        <v>-0.13004618519300001</v>
      </c>
      <c r="E73" s="368">
        <v>0.99349770575499996</v>
      </c>
      <c r="F73" s="366">
        <v>21</v>
      </c>
      <c r="G73" s="367">
        <v>12.25</v>
      </c>
      <c r="H73" s="369">
        <v>1.7270000000000001</v>
      </c>
      <c r="I73" s="366">
        <v>16.469000000000001</v>
      </c>
      <c r="J73" s="367">
        <v>4.2189999999990002</v>
      </c>
      <c r="K73" s="370">
        <v>0.78423809523800003</v>
      </c>
    </row>
    <row r="74" spans="1:11" ht="14.4" customHeight="1" thickBot="1" x14ac:dyDescent="0.35">
      <c r="A74" s="386" t="s">
        <v>273</v>
      </c>
      <c r="B74" s="366">
        <v>20.000046185193</v>
      </c>
      <c r="C74" s="366">
        <v>19.87</v>
      </c>
      <c r="D74" s="367">
        <v>-0.13004618519300001</v>
      </c>
      <c r="E74" s="368">
        <v>0.99349770575499996</v>
      </c>
      <c r="F74" s="366">
        <v>21</v>
      </c>
      <c r="G74" s="367">
        <v>12.25</v>
      </c>
      <c r="H74" s="369">
        <v>1.7270000000000001</v>
      </c>
      <c r="I74" s="366">
        <v>12.089</v>
      </c>
      <c r="J74" s="367">
        <v>-0.161</v>
      </c>
      <c r="K74" s="370">
        <v>0.57566666666599997</v>
      </c>
    </row>
    <row r="75" spans="1:11" ht="14.4" customHeight="1" thickBot="1" x14ac:dyDescent="0.35">
      <c r="A75" s="387" t="s">
        <v>274</v>
      </c>
      <c r="B75" s="371">
        <v>20.000046185193</v>
      </c>
      <c r="C75" s="371">
        <v>19.87</v>
      </c>
      <c r="D75" s="372">
        <v>-0.13004618519300001</v>
      </c>
      <c r="E75" s="373">
        <v>0.99349770575499996</v>
      </c>
      <c r="F75" s="371">
        <v>21</v>
      </c>
      <c r="G75" s="372">
        <v>12.25</v>
      </c>
      <c r="H75" s="374">
        <v>1.7270000000000001</v>
      </c>
      <c r="I75" s="371">
        <v>12.089</v>
      </c>
      <c r="J75" s="372">
        <v>-0.161</v>
      </c>
      <c r="K75" s="376">
        <v>0.57566666666599997</v>
      </c>
    </row>
    <row r="76" spans="1:11" ht="14.4" customHeight="1" thickBot="1" x14ac:dyDescent="0.35">
      <c r="A76" s="388" t="s">
        <v>275</v>
      </c>
      <c r="B76" s="366">
        <v>17.000039257413999</v>
      </c>
      <c r="C76" s="366">
        <v>17.265999999999998</v>
      </c>
      <c r="D76" s="367">
        <v>0.26596074258500002</v>
      </c>
      <c r="E76" s="368">
        <v>1.015644713436</v>
      </c>
      <c r="F76" s="366">
        <v>18</v>
      </c>
      <c r="G76" s="367">
        <v>10.5</v>
      </c>
      <c r="H76" s="369">
        <v>1.51</v>
      </c>
      <c r="I76" s="366">
        <v>10.57</v>
      </c>
      <c r="J76" s="367">
        <v>6.9999999999000001E-2</v>
      </c>
      <c r="K76" s="370">
        <v>0.58722222222200005</v>
      </c>
    </row>
    <row r="77" spans="1:11" ht="14.4" customHeight="1" thickBot="1" x14ac:dyDescent="0.35">
      <c r="A77" s="388" t="s">
        <v>276</v>
      </c>
      <c r="B77" s="366">
        <v>3.0000069277780002</v>
      </c>
      <c r="C77" s="366">
        <v>2.6040000000000001</v>
      </c>
      <c r="D77" s="367">
        <v>-0.39600692777800001</v>
      </c>
      <c r="E77" s="368">
        <v>0.86799799556699997</v>
      </c>
      <c r="F77" s="366">
        <v>3</v>
      </c>
      <c r="G77" s="367">
        <v>1.75</v>
      </c>
      <c r="H77" s="369">
        <v>0.217</v>
      </c>
      <c r="I77" s="366">
        <v>1.5189999999999999</v>
      </c>
      <c r="J77" s="367">
        <v>-0.23100000000000001</v>
      </c>
      <c r="K77" s="370">
        <v>0.50633333333300001</v>
      </c>
    </row>
    <row r="78" spans="1:11" ht="14.4" customHeight="1" thickBot="1" x14ac:dyDescent="0.35">
      <c r="A78" s="386" t="s">
        <v>277</v>
      </c>
      <c r="B78" s="366">
        <v>0</v>
      </c>
      <c r="C78" s="366">
        <v>0</v>
      </c>
      <c r="D78" s="367">
        <v>0</v>
      </c>
      <c r="E78" s="377" t="s">
        <v>207</v>
      </c>
      <c r="F78" s="366">
        <v>0</v>
      </c>
      <c r="G78" s="367">
        <v>0</v>
      </c>
      <c r="H78" s="369">
        <v>0</v>
      </c>
      <c r="I78" s="366">
        <v>4.38</v>
      </c>
      <c r="J78" s="367">
        <v>4.38</v>
      </c>
      <c r="K78" s="378" t="s">
        <v>218</v>
      </c>
    </row>
    <row r="79" spans="1:11" ht="14.4" customHeight="1" thickBot="1" x14ac:dyDescent="0.35">
      <c r="A79" s="387" t="s">
        <v>278</v>
      </c>
      <c r="B79" s="371">
        <v>0</v>
      </c>
      <c r="C79" s="371">
        <v>0</v>
      </c>
      <c r="D79" s="372">
        <v>0</v>
      </c>
      <c r="E79" s="373">
        <v>1</v>
      </c>
      <c r="F79" s="371">
        <v>0</v>
      </c>
      <c r="G79" s="372">
        <v>0</v>
      </c>
      <c r="H79" s="374">
        <v>0</v>
      </c>
      <c r="I79" s="371">
        <v>4.38</v>
      </c>
      <c r="J79" s="372">
        <v>4.38</v>
      </c>
      <c r="K79" s="375" t="s">
        <v>218</v>
      </c>
    </row>
    <row r="80" spans="1:11" ht="14.4" customHeight="1" thickBot="1" x14ac:dyDescent="0.35">
      <c r="A80" s="388" t="s">
        <v>279</v>
      </c>
      <c r="B80" s="366">
        <v>0</v>
      </c>
      <c r="C80" s="366">
        <v>0</v>
      </c>
      <c r="D80" s="367">
        <v>0</v>
      </c>
      <c r="E80" s="368">
        <v>1</v>
      </c>
      <c r="F80" s="366">
        <v>0</v>
      </c>
      <c r="G80" s="367">
        <v>0</v>
      </c>
      <c r="H80" s="369">
        <v>0</v>
      </c>
      <c r="I80" s="366">
        <v>4.38</v>
      </c>
      <c r="J80" s="367">
        <v>4.38</v>
      </c>
      <c r="K80" s="378" t="s">
        <v>218</v>
      </c>
    </row>
    <row r="81" spans="1:11" ht="14.4" customHeight="1" thickBot="1" x14ac:dyDescent="0.35">
      <c r="A81" s="384" t="s">
        <v>280</v>
      </c>
      <c r="B81" s="366">
        <v>2339.7759372309401</v>
      </c>
      <c r="C81" s="366">
        <v>2117.8037199999999</v>
      </c>
      <c r="D81" s="367">
        <v>-221.97221723093801</v>
      </c>
      <c r="E81" s="368">
        <v>0.905130994084</v>
      </c>
      <c r="F81" s="366">
        <v>2518.9065441647999</v>
      </c>
      <c r="G81" s="367">
        <v>1469.3621507628</v>
      </c>
      <c r="H81" s="369">
        <v>189.17959999999999</v>
      </c>
      <c r="I81" s="366">
        <v>1238.9590599999999</v>
      </c>
      <c r="J81" s="367">
        <v>-230.403090762803</v>
      </c>
      <c r="K81" s="370">
        <v>0.49186384578999998</v>
      </c>
    </row>
    <row r="82" spans="1:11" ht="14.4" customHeight="1" thickBot="1" x14ac:dyDescent="0.35">
      <c r="A82" s="385" t="s">
        <v>281</v>
      </c>
      <c r="B82" s="366">
        <v>2333.9616925863502</v>
      </c>
      <c r="C82" s="366">
        <v>2112.3078700000001</v>
      </c>
      <c r="D82" s="367">
        <v>-221.65382258635</v>
      </c>
      <c r="E82" s="368">
        <v>0.90503107943399996</v>
      </c>
      <c r="F82" s="366">
        <v>2513.8388968996701</v>
      </c>
      <c r="G82" s="367">
        <v>1466.40602319148</v>
      </c>
      <c r="H82" s="369">
        <v>189.17959999999999</v>
      </c>
      <c r="I82" s="366">
        <v>1238.9590599999999</v>
      </c>
      <c r="J82" s="367">
        <v>-227.44696319147599</v>
      </c>
      <c r="K82" s="370">
        <v>0.49285539400599998</v>
      </c>
    </row>
    <row r="83" spans="1:11" ht="14.4" customHeight="1" thickBot="1" x14ac:dyDescent="0.35">
      <c r="A83" s="386" t="s">
        <v>282</v>
      </c>
      <c r="B83" s="366">
        <v>2333.9616925863502</v>
      </c>
      <c r="C83" s="366">
        <v>2112.3078700000001</v>
      </c>
      <c r="D83" s="367">
        <v>-221.65382258635</v>
      </c>
      <c r="E83" s="368">
        <v>0.90503107943399996</v>
      </c>
      <c r="F83" s="366">
        <v>2513.8388968996701</v>
      </c>
      <c r="G83" s="367">
        <v>1466.40602319148</v>
      </c>
      <c r="H83" s="369">
        <v>189.17959999999999</v>
      </c>
      <c r="I83" s="366">
        <v>1238.9590599999999</v>
      </c>
      <c r="J83" s="367">
        <v>-227.44696319147599</v>
      </c>
      <c r="K83" s="370">
        <v>0.49285539400599998</v>
      </c>
    </row>
    <row r="84" spans="1:11" ht="14.4" customHeight="1" thickBot="1" x14ac:dyDescent="0.35">
      <c r="A84" s="387" t="s">
        <v>283</v>
      </c>
      <c r="B84" s="371">
        <v>0.96145865957300003</v>
      </c>
      <c r="C84" s="371">
        <v>0.76524000000000003</v>
      </c>
      <c r="D84" s="372">
        <v>-0.196218659573</v>
      </c>
      <c r="E84" s="373">
        <v>0.79591565625899996</v>
      </c>
      <c r="F84" s="371">
        <v>1</v>
      </c>
      <c r="G84" s="372">
        <v>0.58333333333299997</v>
      </c>
      <c r="H84" s="374">
        <v>0</v>
      </c>
      <c r="I84" s="371">
        <v>0</v>
      </c>
      <c r="J84" s="372">
        <v>-0.58333333333299997</v>
      </c>
      <c r="K84" s="376">
        <v>0</v>
      </c>
    </row>
    <row r="85" spans="1:11" ht="14.4" customHeight="1" thickBot="1" x14ac:dyDescent="0.35">
      <c r="A85" s="388" t="s">
        <v>284</v>
      </c>
      <c r="B85" s="366">
        <v>0.96145865957300003</v>
      </c>
      <c r="C85" s="366">
        <v>0.76524000000000003</v>
      </c>
      <c r="D85" s="367">
        <v>-0.196218659573</v>
      </c>
      <c r="E85" s="368">
        <v>0.79591565625899996</v>
      </c>
      <c r="F85" s="366">
        <v>1</v>
      </c>
      <c r="G85" s="367">
        <v>0.58333333333299997</v>
      </c>
      <c r="H85" s="369">
        <v>0</v>
      </c>
      <c r="I85" s="366">
        <v>0</v>
      </c>
      <c r="J85" s="367">
        <v>-0.58333333333299997</v>
      </c>
      <c r="K85" s="370">
        <v>0</v>
      </c>
    </row>
    <row r="86" spans="1:11" ht="14.4" customHeight="1" thickBot="1" x14ac:dyDescent="0.35">
      <c r="A86" s="387" t="s">
        <v>285</v>
      </c>
      <c r="B86" s="371">
        <v>7.0000007018800003</v>
      </c>
      <c r="C86" s="371">
        <v>9.1344600000000007</v>
      </c>
      <c r="D86" s="372">
        <v>2.1344592981189998</v>
      </c>
      <c r="E86" s="373">
        <v>1.3049227263000001</v>
      </c>
      <c r="F86" s="371">
        <v>11.838896899672999</v>
      </c>
      <c r="G86" s="372">
        <v>6.9060231914759997</v>
      </c>
      <c r="H86" s="374">
        <v>3.72288</v>
      </c>
      <c r="I86" s="371">
        <v>3.72288</v>
      </c>
      <c r="J86" s="372">
        <v>-3.1831431914759998</v>
      </c>
      <c r="K86" s="376">
        <v>0.31446172996900001</v>
      </c>
    </row>
    <row r="87" spans="1:11" ht="14.4" customHeight="1" thickBot="1" x14ac:dyDescent="0.35">
      <c r="A87" s="388" t="s">
        <v>286</v>
      </c>
      <c r="B87" s="366">
        <v>7.0000007018800003</v>
      </c>
      <c r="C87" s="366">
        <v>9.1344600000000007</v>
      </c>
      <c r="D87" s="367">
        <v>2.1344592981189998</v>
      </c>
      <c r="E87" s="368">
        <v>1.3049227263000001</v>
      </c>
      <c r="F87" s="366">
        <v>11.838896899672999</v>
      </c>
      <c r="G87" s="367">
        <v>6.9060231914759997</v>
      </c>
      <c r="H87" s="369">
        <v>3.72288</v>
      </c>
      <c r="I87" s="366">
        <v>3.72288</v>
      </c>
      <c r="J87" s="367">
        <v>-3.1831431914759998</v>
      </c>
      <c r="K87" s="370">
        <v>0.31446172996900001</v>
      </c>
    </row>
    <row r="88" spans="1:11" ht="14.4" customHeight="1" thickBot="1" x14ac:dyDescent="0.35">
      <c r="A88" s="387" t="s">
        <v>287</v>
      </c>
      <c r="B88" s="371">
        <v>0</v>
      </c>
      <c r="C88" s="371">
        <v>0</v>
      </c>
      <c r="D88" s="372">
        <v>0</v>
      </c>
      <c r="E88" s="379" t="s">
        <v>207</v>
      </c>
      <c r="F88" s="371">
        <v>0</v>
      </c>
      <c r="G88" s="372">
        <v>0</v>
      </c>
      <c r="H88" s="374">
        <v>0.92700000000000005</v>
      </c>
      <c r="I88" s="371">
        <v>0.92700000000000005</v>
      </c>
      <c r="J88" s="372">
        <v>0.92700000000000005</v>
      </c>
      <c r="K88" s="375" t="s">
        <v>218</v>
      </c>
    </row>
    <row r="89" spans="1:11" ht="14.4" customHeight="1" thickBot="1" x14ac:dyDescent="0.35">
      <c r="A89" s="388" t="s">
        <v>288</v>
      </c>
      <c r="B89" s="366">
        <v>0</v>
      </c>
      <c r="C89" s="366">
        <v>0</v>
      </c>
      <c r="D89" s="367">
        <v>0</v>
      </c>
      <c r="E89" s="368">
        <v>1</v>
      </c>
      <c r="F89" s="366">
        <v>0</v>
      </c>
      <c r="G89" s="367">
        <v>0</v>
      </c>
      <c r="H89" s="369">
        <v>0.92700000000000005</v>
      </c>
      <c r="I89" s="366">
        <v>0.92700000000000005</v>
      </c>
      <c r="J89" s="367">
        <v>0.92700000000000005</v>
      </c>
      <c r="K89" s="378" t="s">
        <v>218</v>
      </c>
    </row>
    <row r="90" spans="1:11" ht="14.4" customHeight="1" thickBot="1" x14ac:dyDescent="0.35">
      <c r="A90" s="387" t="s">
        <v>289</v>
      </c>
      <c r="B90" s="371">
        <v>2326.0002332249001</v>
      </c>
      <c r="C90" s="371">
        <v>1945.33905</v>
      </c>
      <c r="D90" s="372">
        <v>-380.661183224897</v>
      </c>
      <c r="E90" s="373">
        <v>0.83634516549500004</v>
      </c>
      <c r="F90" s="371">
        <v>2501</v>
      </c>
      <c r="G90" s="372">
        <v>1458.9166666666699</v>
      </c>
      <c r="H90" s="374">
        <v>184.52972</v>
      </c>
      <c r="I90" s="371">
        <v>1173.65461</v>
      </c>
      <c r="J90" s="372">
        <v>-285.26205666666601</v>
      </c>
      <c r="K90" s="376">
        <v>0.46927413434600002</v>
      </c>
    </row>
    <row r="91" spans="1:11" ht="14.4" customHeight="1" thickBot="1" x14ac:dyDescent="0.35">
      <c r="A91" s="388" t="s">
        <v>290</v>
      </c>
      <c r="B91" s="366">
        <v>1000.00010026866</v>
      </c>
      <c r="C91" s="366">
        <v>777.89266999999995</v>
      </c>
      <c r="D91" s="367">
        <v>-222.107430268657</v>
      </c>
      <c r="E91" s="368">
        <v>0.77789259200100003</v>
      </c>
      <c r="F91" s="366">
        <v>1057</v>
      </c>
      <c r="G91" s="367">
        <v>616.58333333333303</v>
      </c>
      <c r="H91" s="369">
        <v>63.382060000000003</v>
      </c>
      <c r="I91" s="366">
        <v>415.46136999999999</v>
      </c>
      <c r="J91" s="367">
        <v>-201.12196333333301</v>
      </c>
      <c r="K91" s="370">
        <v>0.39305711447399999</v>
      </c>
    </row>
    <row r="92" spans="1:11" ht="14.4" customHeight="1" thickBot="1" x14ac:dyDescent="0.35">
      <c r="A92" s="388" t="s">
        <v>291</v>
      </c>
      <c r="B92" s="366">
        <v>1326.0001329562399</v>
      </c>
      <c r="C92" s="366">
        <v>1167.4463800000001</v>
      </c>
      <c r="D92" s="367">
        <v>-158.55375295624</v>
      </c>
      <c r="E92" s="368">
        <v>0.88042704595900001</v>
      </c>
      <c r="F92" s="366">
        <v>1444</v>
      </c>
      <c r="G92" s="367">
        <v>842.33333333333303</v>
      </c>
      <c r="H92" s="369">
        <v>121.14766</v>
      </c>
      <c r="I92" s="366">
        <v>758.19323999999995</v>
      </c>
      <c r="J92" s="367">
        <v>-84.140093333332999</v>
      </c>
      <c r="K92" s="370">
        <v>0.52506457063699996</v>
      </c>
    </row>
    <row r="93" spans="1:11" ht="14.4" customHeight="1" thickBot="1" x14ac:dyDescent="0.35">
      <c r="A93" s="387" t="s">
        <v>292</v>
      </c>
      <c r="B93" s="371">
        <v>0</v>
      </c>
      <c r="C93" s="371">
        <v>157.06912</v>
      </c>
      <c r="D93" s="372">
        <v>157.06912</v>
      </c>
      <c r="E93" s="379" t="s">
        <v>207</v>
      </c>
      <c r="F93" s="371">
        <v>0</v>
      </c>
      <c r="G93" s="372">
        <v>0</v>
      </c>
      <c r="H93" s="374">
        <v>0</v>
      </c>
      <c r="I93" s="371">
        <v>60.65457</v>
      </c>
      <c r="J93" s="372">
        <v>60.65457</v>
      </c>
      <c r="K93" s="375" t="s">
        <v>207</v>
      </c>
    </row>
    <row r="94" spans="1:11" ht="14.4" customHeight="1" thickBot="1" x14ac:dyDescent="0.35">
      <c r="A94" s="388" t="s">
        <v>293</v>
      </c>
      <c r="B94" s="366">
        <v>0</v>
      </c>
      <c r="C94" s="366">
        <v>15.700760000000001</v>
      </c>
      <c r="D94" s="367">
        <v>15.700760000000001</v>
      </c>
      <c r="E94" s="377" t="s">
        <v>207</v>
      </c>
      <c r="F94" s="366">
        <v>0</v>
      </c>
      <c r="G94" s="367">
        <v>0</v>
      </c>
      <c r="H94" s="369">
        <v>0</v>
      </c>
      <c r="I94" s="366">
        <v>43.506160000000001</v>
      </c>
      <c r="J94" s="367">
        <v>43.506160000000001</v>
      </c>
      <c r="K94" s="378" t="s">
        <v>207</v>
      </c>
    </row>
    <row r="95" spans="1:11" ht="14.4" customHeight="1" thickBot="1" x14ac:dyDescent="0.35">
      <c r="A95" s="388" t="s">
        <v>294</v>
      </c>
      <c r="B95" s="366">
        <v>0</v>
      </c>
      <c r="C95" s="366">
        <v>141.36836</v>
      </c>
      <c r="D95" s="367">
        <v>141.36836</v>
      </c>
      <c r="E95" s="377" t="s">
        <v>207</v>
      </c>
      <c r="F95" s="366">
        <v>0</v>
      </c>
      <c r="G95" s="367">
        <v>0</v>
      </c>
      <c r="H95" s="369">
        <v>0</v>
      </c>
      <c r="I95" s="366">
        <v>17.148409999999998</v>
      </c>
      <c r="J95" s="367">
        <v>17.148409999999998</v>
      </c>
      <c r="K95" s="378" t="s">
        <v>207</v>
      </c>
    </row>
    <row r="96" spans="1:11" ht="14.4" customHeight="1" thickBot="1" x14ac:dyDescent="0.35">
      <c r="A96" s="385" t="s">
        <v>295</v>
      </c>
      <c r="B96" s="366">
        <v>5.8142446445880003</v>
      </c>
      <c r="C96" s="366">
        <v>5.4958499999999999</v>
      </c>
      <c r="D96" s="367">
        <v>-0.31839464458799999</v>
      </c>
      <c r="E96" s="368">
        <v>0.94523886350599995</v>
      </c>
      <c r="F96" s="366">
        <v>5.0676472651309998</v>
      </c>
      <c r="G96" s="367">
        <v>2.9561275713259998</v>
      </c>
      <c r="H96" s="369">
        <v>0</v>
      </c>
      <c r="I96" s="366">
        <v>0</v>
      </c>
      <c r="J96" s="367">
        <v>-2.9561275713259998</v>
      </c>
      <c r="K96" s="370">
        <v>0</v>
      </c>
    </row>
    <row r="97" spans="1:11" ht="14.4" customHeight="1" thickBot="1" x14ac:dyDescent="0.35">
      <c r="A97" s="391" t="s">
        <v>296</v>
      </c>
      <c r="B97" s="371">
        <v>5.8142446445880003</v>
      </c>
      <c r="C97" s="371">
        <v>5.4958499999999999</v>
      </c>
      <c r="D97" s="372">
        <v>-0.31839464458799999</v>
      </c>
      <c r="E97" s="373">
        <v>0.94523886350599995</v>
      </c>
      <c r="F97" s="371">
        <v>5.0676472651309998</v>
      </c>
      <c r="G97" s="372">
        <v>2.9561275713259998</v>
      </c>
      <c r="H97" s="374">
        <v>0</v>
      </c>
      <c r="I97" s="371">
        <v>0</v>
      </c>
      <c r="J97" s="372">
        <v>-2.9561275713259998</v>
      </c>
      <c r="K97" s="376">
        <v>0</v>
      </c>
    </row>
    <row r="98" spans="1:11" ht="14.4" customHeight="1" thickBot="1" x14ac:dyDescent="0.35">
      <c r="A98" s="387" t="s">
        <v>297</v>
      </c>
      <c r="B98" s="371">
        <v>0</v>
      </c>
      <c r="C98" s="371">
        <v>-9.0000000000000006E-5</v>
      </c>
      <c r="D98" s="372">
        <v>-9.0000000000000006E-5</v>
      </c>
      <c r="E98" s="379" t="s">
        <v>207</v>
      </c>
      <c r="F98" s="371">
        <v>0</v>
      </c>
      <c r="G98" s="372">
        <v>0</v>
      </c>
      <c r="H98" s="374">
        <v>0</v>
      </c>
      <c r="I98" s="371">
        <v>0</v>
      </c>
      <c r="J98" s="372">
        <v>0</v>
      </c>
      <c r="K98" s="375" t="s">
        <v>207</v>
      </c>
    </row>
    <row r="99" spans="1:11" ht="14.4" customHeight="1" thickBot="1" x14ac:dyDescent="0.35">
      <c r="A99" s="388" t="s">
        <v>298</v>
      </c>
      <c r="B99" s="366">
        <v>0</v>
      </c>
      <c r="C99" s="366">
        <v>-9.0000000000000006E-5</v>
      </c>
      <c r="D99" s="367">
        <v>-9.0000000000000006E-5</v>
      </c>
      <c r="E99" s="377" t="s">
        <v>207</v>
      </c>
      <c r="F99" s="366">
        <v>0</v>
      </c>
      <c r="G99" s="367">
        <v>0</v>
      </c>
      <c r="H99" s="369">
        <v>0</v>
      </c>
      <c r="I99" s="366">
        <v>0</v>
      </c>
      <c r="J99" s="367">
        <v>0</v>
      </c>
      <c r="K99" s="378" t="s">
        <v>207</v>
      </c>
    </row>
    <row r="100" spans="1:11" ht="14.4" customHeight="1" thickBot="1" x14ac:dyDescent="0.35">
      <c r="A100" s="387" t="s">
        <v>299</v>
      </c>
      <c r="B100" s="371">
        <v>5.8142446445880003</v>
      </c>
      <c r="C100" s="371">
        <v>5.49594</v>
      </c>
      <c r="D100" s="372">
        <v>-0.31830464458800001</v>
      </c>
      <c r="E100" s="373">
        <v>0.94525434273099995</v>
      </c>
      <c r="F100" s="371">
        <v>5.0676472651309998</v>
      </c>
      <c r="G100" s="372">
        <v>2.9561275713259998</v>
      </c>
      <c r="H100" s="374">
        <v>0</v>
      </c>
      <c r="I100" s="371">
        <v>0</v>
      </c>
      <c r="J100" s="372">
        <v>-2.9561275713259998</v>
      </c>
      <c r="K100" s="376">
        <v>0</v>
      </c>
    </row>
    <row r="101" spans="1:11" ht="14.4" customHeight="1" thickBot="1" x14ac:dyDescent="0.35">
      <c r="A101" s="388" t="s">
        <v>300</v>
      </c>
      <c r="B101" s="366">
        <v>5.8142446445880003</v>
      </c>
      <c r="C101" s="366">
        <v>5.49594</v>
      </c>
      <c r="D101" s="367">
        <v>-0.31830464458800001</v>
      </c>
      <c r="E101" s="368">
        <v>0.94525434273099995</v>
      </c>
      <c r="F101" s="366">
        <v>5.0676472651309998</v>
      </c>
      <c r="G101" s="367">
        <v>2.9561275713259998</v>
      </c>
      <c r="H101" s="369">
        <v>0</v>
      </c>
      <c r="I101" s="366">
        <v>0</v>
      </c>
      <c r="J101" s="367">
        <v>-2.9561275713259998</v>
      </c>
      <c r="K101" s="370">
        <v>0</v>
      </c>
    </row>
    <row r="102" spans="1:11" ht="14.4" customHeight="1" thickBot="1" x14ac:dyDescent="0.35">
      <c r="A102" s="384" t="s">
        <v>301</v>
      </c>
      <c r="B102" s="366">
        <v>472.64610348198801</v>
      </c>
      <c r="C102" s="366">
        <v>467.05306999999999</v>
      </c>
      <c r="D102" s="367">
        <v>-5.5930334819879999</v>
      </c>
      <c r="E102" s="368">
        <v>0.98816655116600005</v>
      </c>
      <c r="F102" s="366">
        <v>440.28554719296602</v>
      </c>
      <c r="G102" s="367">
        <v>256.83323586256301</v>
      </c>
      <c r="H102" s="369">
        <v>47.331090000000003</v>
      </c>
      <c r="I102" s="366">
        <v>269.65737000000001</v>
      </c>
      <c r="J102" s="367">
        <v>12.824134137435999</v>
      </c>
      <c r="K102" s="370">
        <v>0.612460190254</v>
      </c>
    </row>
    <row r="103" spans="1:11" ht="14.4" customHeight="1" thickBot="1" x14ac:dyDescent="0.35">
      <c r="A103" s="389" t="s">
        <v>302</v>
      </c>
      <c r="B103" s="371">
        <v>472.64610348198801</v>
      </c>
      <c r="C103" s="371">
        <v>467.05306999999999</v>
      </c>
      <c r="D103" s="372">
        <v>-5.5930334819879999</v>
      </c>
      <c r="E103" s="373">
        <v>0.98816655116600005</v>
      </c>
      <c r="F103" s="371">
        <v>440.28554719296602</v>
      </c>
      <c r="G103" s="372">
        <v>256.83323586256301</v>
      </c>
      <c r="H103" s="374">
        <v>47.331090000000003</v>
      </c>
      <c r="I103" s="371">
        <v>269.65737000000001</v>
      </c>
      <c r="J103" s="372">
        <v>12.824134137435999</v>
      </c>
      <c r="K103" s="376">
        <v>0.612460190254</v>
      </c>
    </row>
    <row r="104" spans="1:11" ht="14.4" customHeight="1" thickBot="1" x14ac:dyDescent="0.35">
      <c r="A104" s="391" t="s">
        <v>31</v>
      </c>
      <c r="B104" s="371">
        <v>472.64610348198801</v>
      </c>
      <c r="C104" s="371">
        <v>467.05306999999999</v>
      </c>
      <c r="D104" s="372">
        <v>-5.5930334819879999</v>
      </c>
      <c r="E104" s="373">
        <v>0.98816655116600005</v>
      </c>
      <c r="F104" s="371">
        <v>440.28554719296602</v>
      </c>
      <c r="G104" s="372">
        <v>256.83323586256301</v>
      </c>
      <c r="H104" s="374">
        <v>47.331090000000003</v>
      </c>
      <c r="I104" s="371">
        <v>269.65737000000001</v>
      </c>
      <c r="J104" s="372">
        <v>12.824134137435999</v>
      </c>
      <c r="K104" s="376">
        <v>0.612460190254</v>
      </c>
    </row>
    <row r="105" spans="1:11" ht="14.4" customHeight="1" thickBot="1" x14ac:dyDescent="0.35">
      <c r="A105" s="387" t="s">
        <v>303</v>
      </c>
      <c r="B105" s="371">
        <v>6.7729266926160001</v>
      </c>
      <c r="C105" s="371">
        <v>6.2640000000000002</v>
      </c>
      <c r="D105" s="372">
        <v>-0.50892669261599999</v>
      </c>
      <c r="E105" s="373">
        <v>0.92485867399499999</v>
      </c>
      <c r="F105" s="371">
        <v>6.7666194913769999</v>
      </c>
      <c r="G105" s="372">
        <v>3.9471947033029999</v>
      </c>
      <c r="H105" s="374">
        <v>0.60799999999999998</v>
      </c>
      <c r="I105" s="371">
        <v>4.2560000000000002</v>
      </c>
      <c r="J105" s="372">
        <v>0.30880529669599999</v>
      </c>
      <c r="K105" s="376">
        <v>0.62896990224100002</v>
      </c>
    </row>
    <row r="106" spans="1:11" ht="14.4" customHeight="1" thickBot="1" x14ac:dyDescent="0.35">
      <c r="A106" s="388" t="s">
        <v>304</v>
      </c>
      <c r="B106" s="366">
        <v>6.7729266926160001</v>
      </c>
      <c r="C106" s="366">
        <v>6.2640000000000002</v>
      </c>
      <c r="D106" s="367">
        <v>-0.50892669261599999</v>
      </c>
      <c r="E106" s="368">
        <v>0.92485867399499999</v>
      </c>
      <c r="F106" s="366">
        <v>6.7666194913769999</v>
      </c>
      <c r="G106" s="367">
        <v>3.9471947033029999</v>
      </c>
      <c r="H106" s="369">
        <v>0.60799999999999998</v>
      </c>
      <c r="I106" s="366">
        <v>4.2560000000000002</v>
      </c>
      <c r="J106" s="367">
        <v>0.30880529669599999</v>
      </c>
      <c r="K106" s="370">
        <v>0.62896990224100002</v>
      </c>
    </row>
    <row r="107" spans="1:11" ht="14.4" customHeight="1" thickBot="1" x14ac:dyDescent="0.35">
      <c r="A107" s="387" t="s">
        <v>305</v>
      </c>
      <c r="B107" s="371">
        <v>0</v>
      </c>
      <c r="C107" s="371">
        <v>0.36749999999999999</v>
      </c>
      <c r="D107" s="372">
        <v>0.36749999999999999</v>
      </c>
      <c r="E107" s="379" t="s">
        <v>218</v>
      </c>
      <c r="F107" s="371">
        <v>0.39345567570899997</v>
      </c>
      <c r="G107" s="372">
        <v>0.22951581083</v>
      </c>
      <c r="H107" s="374">
        <v>0</v>
      </c>
      <c r="I107" s="371">
        <v>7.3499999999999996E-2</v>
      </c>
      <c r="J107" s="372">
        <v>-0.15601581082999999</v>
      </c>
      <c r="K107" s="376">
        <v>0.18680630255799999</v>
      </c>
    </row>
    <row r="108" spans="1:11" ht="14.4" customHeight="1" thickBot="1" x14ac:dyDescent="0.35">
      <c r="A108" s="388" t="s">
        <v>306</v>
      </c>
      <c r="B108" s="366">
        <v>0</v>
      </c>
      <c r="C108" s="366">
        <v>0.36749999999999999</v>
      </c>
      <c r="D108" s="367">
        <v>0.36749999999999999</v>
      </c>
      <c r="E108" s="377" t="s">
        <v>218</v>
      </c>
      <c r="F108" s="366">
        <v>0.39345567570899997</v>
      </c>
      <c r="G108" s="367">
        <v>0.22951581083</v>
      </c>
      <c r="H108" s="369">
        <v>0</v>
      </c>
      <c r="I108" s="366">
        <v>7.3499999999999996E-2</v>
      </c>
      <c r="J108" s="367">
        <v>-0.15601581082999999</v>
      </c>
      <c r="K108" s="370">
        <v>0.18680630255799999</v>
      </c>
    </row>
    <row r="109" spans="1:11" ht="14.4" customHeight="1" thickBot="1" x14ac:dyDescent="0.35">
      <c r="A109" s="387" t="s">
        <v>307</v>
      </c>
      <c r="B109" s="371">
        <v>1.7545519285610001</v>
      </c>
      <c r="C109" s="371">
        <v>1.7290000000000001</v>
      </c>
      <c r="D109" s="372">
        <v>-2.5551928561000001E-2</v>
      </c>
      <c r="E109" s="373">
        <v>0.98543677838999999</v>
      </c>
      <c r="F109" s="371">
        <v>1.691866545791</v>
      </c>
      <c r="G109" s="372">
        <v>0.98692215171099995</v>
      </c>
      <c r="H109" s="374">
        <v>0.193</v>
      </c>
      <c r="I109" s="371">
        <v>1.3663000000000001</v>
      </c>
      <c r="J109" s="372">
        <v>0.37937784828799997</v>
      </c>
      <c r="K109" s="376">
        <v>0.80756960612399997</v>
      </c>
    </row>
    <row r="110" spans="1:11" ht="14.4" customHeight="1" thickBot="1" x14ac:dyDescent="0.35">
      <c r="A110" s="388" t="s">
        <v>308</v>
      </c>
      <c r="B110" s="366">
        <v>1.7545519285610001</v>
      </c>
      <c r="C110" s="366">
        <v>1.7290000000000001</v>
      </c>
      <c r="D110" s="367">
        <v>-2.5551928561000001E-2</v>
      </c>
      <c r="E110" s="368">
        <v>0.98543677838999999</v>
      </c>
      <c r="F110" s="366">
        <v>1.691866545791</v>
      </c>
      <c r="G110" s="367">
        <v>0.98692215171099995</v>
      </c>
      <c r="H110" s="369">
        <v>0.193</v>
      </c>
      <c r="I110" s="366">
        <v>1.3663000000000001</v>
      </c>
      <c r="J110" s="367">
        <v>0.37937784828799997</v>
      </c>
      <c r="K110" s="370">
        <v>0.80756960612399997</v>
      </c>
    </row>
    <row r="111" spans="1:11" ht="14.4" customHeight="1" thickBot="1" x14ac:dyDescent="0.35">
      <c r="A111" s="387" t="s">
        <v>309</v>
      </c>
      <c r="B111" s="371">
        <v>117.687631564019</v>
      </c>
      <c r="C111" s="371">
        <v>112.60208</v>
      </c>
      <c r="D111" s="372">
        <v>-5.0855515640190001</v>
      </c>
      <c r="E111" s="373">
        <v>0.95678771425300002</v>
      </c>
      <c r="F111" s="371">
        <v>91.343141290572007</v>
      </c>
      <c r="G111" s="372">
        <v>53.283499086166998</v>
      </c>
      <c r="H111" s="374">
        <v>6.0660499999999997</v>
      </c>
      <c r="I111" s="371">
        <v>42.858620000000002</v>
      </c>
      <c r="J111" s="372">
        <v>-10.424879086167</v>
      </c>
      <c r="K111" s="376">
        <v>0.46920457731600002</v>
      </c>
    </row>
    <row r="112" spans="1:11" ht="14.4" customHeight="1" thickBot="1" x14ac:dyDescent="0.35">
      <c r="A112" s="388" t="s">
        <v>310</v>
      </c>
      <c r="B112" s="366">
        <v>117.687631564019</v>
      </c>
      <c r="C112" s="366">
        <v>112.60208</v>
      </c>
      <c r="D112" s="367">
        <v>-5.0855515640190001</v>
      </c>
      <c r="E112" s="368">
        <v>0.95678771425300002</v>
      </c>
      <c r="F112" s="366">
        <v>91.343141290572007</v>
      </c>
      <c r="G112" s="367">
        <v>53.283499086166998</v>
      </c>
      <c r="H112" s="369">
        <v>6.0660499999999997</v>
      </c>
      <c r="I112" s="366">
        <v>42.858620000000002</v>
      </c>
      <c r="J112" s="367">
        <v>-10.424879086167</v>
      </c>
      <c r="K112" s="370">
        <v>0.46920457731600002</v>
      </c>
    </row>
    <row r="113" spans="1:11" ht="14.4" customHeight="1" thickBot="1" x14ac:dyDescent="0.35">
      <c r="A113" s="387" t="s">
        <v>311</v>
      </c>
      <c r="B113" s="371">
        <v>346.43099329679097</v>
      </c>
      <c r="C113" s="371">
        <v>346.09048999999999</v>
      </c>
      <c r="D113" s="372">
        <v>-0.34050329679000002</v>
      </c>
      <c r="E113" s="373">
        <v>0.99901711075599997</v>
      </c>
      <c r="F113" s="371">
        <v>340.09046418951499</v>
      </c>
      <c r="G113" s="372">
        <v>198.38610411055001</v>
      </c>
      <c r="H113" s="374">
        <v>40.464039999999997</v>
      </c>
      <c r="I113" s="371">
        <v>221.10294999999999</v>
      </c>
      <c r="J113" s="372">
        <v>22.716845889449001</v>
      </c>
      <c r="K113" s="376">
        <v>0.65012981333300002</v>
      </c>
    </row>
    <row r="114" spans="1:11" ht="14.4" customHeight="1" thickBot="1" x14ac:dyDescent="0.35">
      <c r="A114" s="388" t="s">
        <v>312</v>
      </c>
      <c r="B114" s="366">
        <v>346.43099329679097</v>
      </c>
      <c r="C114" s="366">
        <v>346.09048999999999</v>
      </c>
      <c r="D114" s="367">
        <v>-0.34050329679000002</v>
      </c>
      <c r="E114" s="368">
        <v>0.99901711075599997</v>
      </c>
      <c r="F114" s="366">
        <v>340.09046418951499</v>
      </c>
      <c r="G114" s="367">
        <v>198.38610411055001</v>
      </c>
      <c r="H114" s="369">
        <v>40.464039999999997</v>
      </c>
      <c r="I114" s="366">
        <v>221.10294999999999</v>
      </c>
      <c r="J114" s="367">
        <v>22.716845889449001</v>
      </c>
      <c r="K114" s="370">
        <v>0.65012981333300002</v>
      </c>
    </row>
    <row r="115" spans="1:11" ht="14.4" customHeight="1" thickBot="1" x14ac:dyDescent="0.35">
      <c r="A115" s="392"/>
      <c r="B115" s="366">
        <v>-1596.2872556028699</v>
      </c>
      <c r="C115" s="366">
        <v>-1943.8568499999999</v>
      </c>
      <c r="D115" s="367">
        <v>-347.56959439713103</v>
      </c>
      <c r="E115" s="368">
        <v>1.2177362458900001</v>
      </c>
      <c r="F115" s="366">
        <v>-1487.2779158433</v>
      </c>
      <c r="G115" s="367">
        <v>-867.57878424192404</v>
      </c>
      <c r="H115" s="369">
        <v>-278.43702000000002</v>
      </c>
      <c r="I115" s="366">
        <v>-1346.4058199999999</v>
      </c>
      <c r="J115" s="367">
        <v>-478.82703575807602</v>
      </c>
      <c r="K115" s="370">
        <v>0.90528192858699996</v>
      </c>
    </row>
    <row r="116" spans="1:11" ht="14.4" customHeight="1" thickBot="1" x14ac:dyDescent="0.35">
      <c r="A116" s="393" t="s">
        <v>43</v>
      </c>
      <c r="B116" s="380">
        <v>-1596.2872556028699</v>
      </c>
      <c r="C116" s="380">
        <v>-1943.8568499999999</v>
      </c>
      <c r="D116" s="381">
        <v>-347.56959439713199</v>
      </c>
      <c r="E116" s="382">
        <v>-1.1209144516139999</v>
      </c>
      <c r="F116" s="380">
        <v>-1487.2779158433</v>
      </c>
      <c r="G116" s="381">
        <v>-867.57878424192495</v>
      </c>
      <c r="H116" s="380">
        <v>-278.43702000000002</v>
      </c>
      <c r="I116" s="380">
        <v>-1346.4058199999999</v>
      </c>
      <c r="J116" s="381">
        <v>-478.82703575807602</v>
      </c>
      <c r="K116" s="383">
        <v>0.90528192858699996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7" customWidth="1"/>
    <col min="2" max="2" width="61.109375" style="177" customWidth="1"/>
    <col min="3" max="3" width="9.5546875" style="101" hidden="1" customWidth="1" outlineLevel="1"/>
    <col min="4" max="4" width="9.5546875" style="178" customWidth="1" collapsed="1"/>
    <col min="5" max="5" width="2.21875" style="178" customWidth="1"/>
    <col min="6" max="6" width="9.5546875" style="179" customWidth="1"/>
    <col min="7" max="7" width="9.5546875" style="176" customWidth="1"/>
    <col min="8" max="9" width="9.5546875" style="101" customWidth="1"/>
    <col min="10" max="10" width="0" style="101" hidden="1" customWidth="1"/>
    <col min="11" max="16384" width="8.88671875" style="101"/>
  </cols>
  <sheetData>
    <row r="1" spans="1:10" ht="18.600000000000001" customHeight="1" thickBot="1" x14ac:dyDescent="0.4">
      <c r="A1" s="332" t="s">
        <v>104</v>
      </c>
      <c r="B1" s="333"/>
      <c r="C1" s="333"/>
      <c r="D1" s="333"/>
      <c r="E1" s="333"/>
      <c r="F1" s="333"/>
      <c r="G1" s="303"/>
      <c r="H1" s="334"/>
      <c r="I1" s="334"/>
    </row>
    <row r="2" spans="1:10" ht="14.4" customHeight="1" thickBot="1" x14ac:dyDescent="0.35">
      <c r="A2" s="196" t="s">
        <v>206</v>
      </c>
      <c r="B2" s="175"/>
      <c r="C2" s="175"/>
      <c r="D2" s="175"/>
      <c r="E2" s="175"/>
      <c r="F2" s="175"/>
    </row>
    <row r="3" spans="1:10" ht="14.4" customHeight="1" thickBot="1" x14ac:dyDescent="0.35">
      <c r="A3" s="196"/>
      <c r="B3" s="275"/>
      <c r="C3" s="274">
        <v>2015</v>
      </c>
      <c r="D3" s="241">
        <v>2016</v>
      </c>
      <c r="E3" s="7"/>
      <c r="F3" s="311">
        <v>2017</v>
      </c>
      <c r="G3" s="329"/>
      <c r="H3" s="329"/>
      <c r="I3" s="312"/>
    </row>
    <row r="4" spans="1:10" ht="14.4" customHeight="1" thickBot="1" x14ac:dyDescent="0.35">
      <c r="A4" s="245" t="s">
        <v>0</v>
      </c>
      <c r="B4" s="246" t="s">
        <v>156</v>
      </c>
      <c r="C4" s="330" t="s">
        <v>50</v>
      </c>
      <c r="D4" s="331"/>
      <c r="E4" s="247"/>
      <c r="F4" s="242" t="s">
        <v>50</v>
      </c>
      <c r="G4" s="243" t="s">
        <v>51</v>
      </c>
      <c r="H4" s="243" t="s">
        <v>45</v>
      </c>
      <c r="I4" s="244" t="s">
        <v>52</v>
      </c>
    </row>
    <row r="5" spans="1:10" ht="14.4" customHeight="1" x14ac:dyDescent="0.3">
      <c r="A5" s="394" t="s">
        <v>313</v>
      </c>
      <c r="B5" s="395" t="s">
        <v>314</v>
      </c>
      <c r="C5" s="396" t="s">
        <v>315</v>
      </c>
      <c r="D5" s="396" t="s">
        <v>315</v>
      </c>
      <c r="E5" s="396"/>
      <c r="F5" s="396" t="s">
        <v>315</v>
      </c>
      <c r="G5" s="396" t="s">
        <v>315</v>
      </c>
      <c r="H5" s="396" t="s">
        <v>315</v>
      </c>
      <c r="I5" s="397" t="s">
        <v>315</v>
      </c>
      <c r="J5" s="398" t="s">
        <v>46</v>
      </c>
    </row>
    <row r="6" spans="1:10" ht="14.4" customHeight="1" x14ac:dyDescent="0.3">
      <c r="A6" s="394" t="s">
        <v>313</v>
      </c>
      <c r="B6" s="395" t="s">
        <v>316</v>
      </c>
      <c r="C6" s="396">
        <v>0.33858000000000005</v>
      </c>
      <c r="D6" s="396">
        <v>0</v>
      </c>
      <c r="E6" s="396"/>
      <c r="F6" s="396">
        <v>0</v>
      </c>
      <c r="G6" s="396">
        <v>0</v>
      </c>
      <c r="H6" s="396">
        <v>0</v>
      </c>
      <c r="I6" s="397" t="s">
        <v>315</v>
      </c>
      <c r="J6" s="398" t="s">
        <v>1</v>
      </c>
    </row>
    <row r="7" spans="1:10" ht="14.4" customHeight="1" x14ac:dyDescent="0.3">
      <c r="A7" s="394" t="s">
        <v>313</v>
      </c>
      <c r="B7" s="395" t="s">
        <v>317</v>
      </c>
      <c r="C7" s="396">
        <v>0.33858000000000005</v>
      </c>
      <c r="D7" s="396">
        <v>0</v>
      </c>
      <c r="E7" s="396"/>
      <c r="F7" s="396">
        <v>0</v>
      </c>
      <c r="G7" s="396">
        <v>0</v>
      </c>
      <c r="H7" s="396">
        <v>0</v>
      </c>
      <c r="I7" s="397" t="s">
        <v>315</v>
      </c>
      <c r="J7" s="398" t="s">
        <v>318</v>
      </c>
    </row>
    <row r="9" spans="1:10" ht="14.4" customHeight="1" x14ac:dyDescent="0.3">
      <c r="A9" s="394" t="s">
        <v>313</v>
      </c>
      <c r="B9" s="395" t="s">
        <v>314</v>
      </c>
      <c r="C9" s="396" t="s">
        <v>315</v>
      </c>
      <c r="D9" s="396" t="s">
        <v>315</v>
      </c>
      <c r="E9" s="396"/>
      <c r="F9" s="396" t="s">
        <v>315</v>
      </c>
      <c r="G9" s="396" t="s">
        <v>315</v>
      </c>
      <c r="H9" s="396" t="s">
        <v>315</v>
      </c>
      <c r="I9" s="397" t="s">
        <v>315</v>
      </c>
      <c r="J9" s="398" t="s">
        <v>46</v>
      </c>
    </row>
    <row r="10" spans="1:10" ht="14.4" customHeight="1" x14ac:dyDescent="0.3">
      <c r="A10" s="394" t="s">
        <v>319</v>
      </c>
      <c r="B10" s="395" t="s">
        <v>320</v>
      </c>
      <c r="C10" s="396" t="s">
        <v>315</v>
      </c>
      <c r="D10" s="396" t="s">
        <v>315</v>
      </c>
      <c r="E10" s="396"/>
      <c r="F10" s="396" t="s">
        <v>315</v>
      </c>
      <c r="G10" s="396" t="s">
        <v>315</v>
      </c>
      <c r="H10" s="396" t="s">
        <v>315</v>
      </c>
      <c r="I10" s="397" t="s">
        <v>315</v>
      </c>
      <c r="J10" s="398" t="s">
        <v>0</v>
      </c>
    </row>
    <row r="11" spans="1:10" ht="14.4" customHeight="1" x14ac:dyDescent="0.3">
      <c r="A11" s="394" t="s">
        <v>319</v>
      </c>
      <c r="B11" s="395" t="s">
        <v>316</v>
      </c>
      <c r="C11" s="396">
        <v>0.33858000000000005</v>
      </c>
      <c r="D11" s="396">
        <v>0</v>
      </c>
      <c r="E11" s="396"/>
      <c r="F11" s="396">
        <v>0</v>
      </c>
      <c r="G11" s="396">
        <v>0</v>
      </c>
      <c r="H11" s="396">
        <v>0</v>
      </c>
      <c r="I11" s="397" t="s">
        <v>315</v>
      </c>
      <c r="J11" s="398" t="s">
        <v>1</v>
      </c>
    </row>
    <row r="12" spans="1:10" ht="14.4" customHeight="1" x14ac:dyDescent="0.3">
      <c r="A12" s="394" t="s">
        <v>319</v>
      </c>
      <c r="B12" s="395" t="s">
        <v>321</v>
      </c>
      <c r="C12" s="396">
        <v>0.33858000000000005</v>
      </c>
      <c r="D12" s="396">
        <v>0</v>
      </c>
      <c r="E12" s="396"/>
      <c r="F12" s="396">
        <v>0</v>
      </c>
      <c r="G12" s="396">
        <v>0</v>
      </c>
      <c r="H12" s="396">
        <v>0</v>
      </c>
      <c r="I12" s="397" t="s">
        <v>315</v>
      </c>
      <c r="J12" s="398" t="s">
        <v>322</v>
      </c>
    </row>
    <row r="13" spans="1:10" ht="14.4" customHeight="1" x14ac:dyDescent="0.3">
      <c r="A13" s="394" t="s">
        <v>315</v>
      </c>
      <c r="B13" s="395" t="s">
        <v>315</v>
      </c>
      <c r="C13" s="396" t="s">
        <v>315</v>
      </c>
      <c r="D13" s="396" t="s">
        <v>315</v>
      </c>
      <c r="E13" s="396"/>
      <c r="F13" s="396" t="s">
        <v>315</v>
      </c>
      <c r="G13" s="396" t="s">
        <v>315</v>
      </c>
      <c r="H13" s="396" t="s">
        <v>315</v>
      </c>
      <c r="I13" s="397" t="s">
        <v>315</v>
      </c>
      <c r="J13" s="398" t="s">
        <v>323</v>
      </c>
    </row>
    <row r="14" spans="1:10" ht="14.4" customHeight="1" x14ac:dyDescent="0.3">
      <c r="A14" s="394" t="s">
        <v>313</v>
      </c>
      <c r="B14" s="395" t="s">
        <v>317</v>
      </c>
      <c r="C14" s="396">
        <v>0.33858000000000005</v>
      </c>
      <c r="D14" s="396">
        <v>0</v>
      </c>
      <c r="E14" s="396"/>
      <c r="F14" s="396">
        <v>0</v>
      </c>
      <c r="G14" s="396">
        <v>0</v>
      </c>
      <c r="H14" s="396">
        <v>0</v>
      </c>
      <c r="I14" s="397" t="s">
        <v>315</v>
      </c>
      <c r="J14" s="398" t="s">
        <v>318</v>
      </c>
    </row>
  </sheetData>
  <mergeCells count="3">
    <mergeCell ref="F3:I3"/>
    <mergeCell ref="C4:D4"/>
    <mergeCell ref="A1:I1"/>
  </mergeCells>
  <conditionalFormatting sqref="F8 F15:F65537">
    <cfRule type="cellIs" dxfId="43" priority="18" stopIfTrue="1" operator="greaterThan">
      <formula>1</formula>
    </cfRule>
  </conditionalFormatting>
  <conditionalFormatting sqref="H5:H7">
    <cfRule type="expression" dxfId="42" priority="14">
      <formula>$H5&gt;0</formula>
    </cfRule>
  </conditionalFormatting>
  <conditionalFormatting sqref="I5:I7">
    <cfRule type="expression" dxfId="41" priority="15">
      <formula>$I5&gt;1</formula>
    </cfRule>
  </conditionalFormatting>
  <conditionalFormatting sqref="B5:B7">
    <cfRule type="expression" dxfId="40" priority="11">
      <formula>OR($J5="NS",$J5="SumaNS",$J5="Účet")</formula>
    </cfRule>
  </conditionalFormatting>
  <conditionalFormatting sqref="B5:D7 F5:I7">
    <cfRule type="expression" dxfId="39" priority="17">
      <formula>AND($J5&lt;&gt;"",$J5&lt;&gt;"mezeraKL")</formula>
    </cfRule>
  </conditionalFormatting>
  <conditionalFormatting sqref="B5:D7 F5:I7">
    <cfRule type="expression" dxfId="38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7" priority="13">
      <formula>OR($J5="SumaNS",$J5="NS")</formula>
    </cfRule>
  </conditionalFormatting>
  <conditionalFormatting sqref="A5:A7">
    <cfRule type="expression" dxfId="36" priority="9">
      <formula>AND($J5&lt;&gt;"mezeraKL",$J5&lt;&gt;"")</formula>
    </cfRule>
  </conditionalFormatting>
  <conditionalFormatting sqref="A5:A7">
    <cfRule type="expression" dxfId="35" priority="10">
      <formula>AND($J5&lt;&gt;"",$J5&lt;&gt;"mezeraKL")</formula>
    </cfRule>
  </conditionalFormatting>
  <conditionalFormatting sqref="H9:H14">
    <cfRule type="expression" dxfId="34" priority="5">
      <formula>$H9&gt;0</formula>
    </cfRule>
  </conditionalFormatting>
  <conditionalFormatting sqref="A9:A14">
    <cfRule type="expression" dxfId="33" priority="2">
      <formula>AND($J9&lt;&gt;"mezeraKL",$J9&lt;&gt;"")</formula>
    </cfRule>
  </conditionalFormatting>
  <conditionalFormatting sqref="I9:I14">
    <cfRule type="expression" dxfId="32" priority="6">
      <formula>$I9&gt;1</formula>
    </cfRule>
  </conditionalFormatting>
  <conditionalFormatting sqref="B9:B14">
    <cfRule type="expression" dxfId="31" priority="1">
      <formula>OR($J9="NS",$J9="SumaNS",$J9="Účet")</formula>
    </cfRule>
  </conditionalFormatting>
  <conditionalFormatting sqref="A9:D14 F9:I14">
    <cfRule type="expression" dxfId="30" priority="8">
      <formula>AND($J9&lt;&gt;"",$J9&lt;&gt;"mezeraKL")</formula>
    </cfRule>
  </conditionalFormatting>
  <conditionalFormatting sqref="B9:D14 F9:I14">
    <cfRule type="expression" dxfId="29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8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60" customWidth="1"/>
    <col min="2" max="2" width="5.44140625" style="176" bestFit="1" customWidth="1"/>
    <col min="3" max="3" width="6.109375" style="176" bestFit="1" customWidth="1"/>
    <col min="4" max="4" width="7.44140625" style="176" bestFit="1" customWidth="1"/>
    <col min="5" max="5" width="6.21875" style="176" bestFit="1" customWidth="1"/>
    <col min="6" max="6" width="6.33203125" style="179" bestFit="1" customWidth="1"/>
    <col min="7" max="7" width="6.109375" style="179" bestFit="1" customWidth="1"/>
    <col min="8" max="8" width="7.44140625" style="179" bestFit="1" customWidth="1"/>
    <col min="9" max="9" width="6.21875" style="179" bestFit="1" customWidth="1"/>
    <col min="10" max="10" width="5.44140625" style="176" bestFit="1" customWidth="1"/>
    <col min="11" max="11" width="6.109375" style="176" bestFit="1" customWidth="1"/>
    <col min="12" max="12" width="7.44140625" style="176" bestFit="1" customWidth="1"/>
    <col min="13" max="13" width="6.21875" style="176" bestFit="1" customWidth="1"/>
    <col min="14" max="14" width="5.33203125" style="179" bestFit="1" customWidth="1"/>
    <col min="15" max="15" width="6.109375" style="179" bestFit="1" customWidth="1"/>
    <col min="16" max="16" width="7.44140625" style="179" bestFit="1" customWidth="1"/>
    <col min="17" max="17" width="6.21875" style="179" bestFit="1" customWidth="1"/>
    <col min="18" max="16384" width="8.88671875" style="101"/>
  </cols>
  <sheetData>
    <row r="1" spans="1:17" ht="18.600000000000001" customHeight="1" thickBot="1" x14ac:dyDescent="0.4">
      <c r="A1" s="335" t="s">
        <v>157</v>
      </c>
      <c r="B1" s="335"/>
      <c r="C1" s="335"/>
      <c r="D1" s="335"/>
      <c r="E1" s="335"/>
      <c r="F1" s="303"/>
      <c r="G1" s="303"/>
      <c r="H1" s="303"/>
      <c r="I1" s="303"/>
      <c r="J1" s="334"/>
      <c r="K1" s="334"/>
      <c r="L1" s="334"/>
      <c r="M1" s="334"/>
      <c r="N1" s="334"/>
      <c r="O1" s="334"/>
      <c r="P1" s="334"/>
      <c r="Q1" s="334"/>
    </row>
    <row r="2" spans="1:17" ht="14.4" customHeight="1" thickBot="1" x14ac:dyDescent="0.35">
      <c r="A2" s="196" t="s">
        <v>206</v>
      </c>
      <c r="B2" s="180"/>
      <c r="C2" s="180"/>
      <c r="D2" s="180"/>
      <c r="E2" s="180"/>
    </row>
    <row r="3" spans="1:17" ht="14.4" customHeight="1" thickBot="1" x14ac:dyDescent="0.35">
      <c r="A3" s="249" t="s">
        <v>3</v>
      </c>
      <c r="B3" s="253">
        <f>SUM(B6:B1048576)</f>
        <v>2</v>
      </c>
      <c r="C3" s="254">
        <f>SUM(C6:C1048576)</f>
        <v>0</v>
      </c>
      <c r="D3" s="254">
        <f>SUM(D6:D1048576)</f>
        <v>0</v>
      </c>
      <c r="E3" s="255">
        <f>SUM(E6:E1048576)</f>
        <v>0</v>
      </c>
      <c r="F3" s="252">
        <f>IF(SUM($B3:$E3)=0,"",B3/SUM($B3:$E3))</f>
        <v>1</v>
      </c>
      <c r="G3" s="250">
        <f t="shared" ref="G3:I3" si="0">IF(SUM($B3:$E3)=0,"",C3/SUM($B3:$E3))</f>
        <v>0</v>
      </c>
      <c r="H3" s="250">
        <f t="shared" si="0"/>
        <v>0</v>
      </c>
      <c r="I3" s="251">
        <f t="shared" si="0"/>
        <v>0</v>
      </c>
      <c r="J3" s="254">
        <f>SUM(J6:J1048576)</f>
        <v>1</v>
      </c>
      <c r="K3" s="254">
        <f>SUM(K6:K1048576)</f>
        <v>0</v>
      </c>
      <c r="L3" s="254">
        <f>SUM(L6:L1048576)</f>
        <v>0</v>
      </c>
      <c r="M3" s="255">
        <f>SUM(M6:M1048576)</f>
        <v>0</v>
      </c>
      <c r="N3" s="252">
        <f>IF(SUM($J3:$M3)=0,"",J3/SUM($J3:$M3))</f>
        <v>1</v>
      </c>
      <c r="O3" s="250">
        <f t="shared" ref="O3:Q3" si="1">IF(SUM($J3:$M3)=0,"",K3/SUM($J3:$M3))</f>
        <v>0</v>
      </c>
      <c r="P3" s="250">
        <f t="shared" si="1"/>
        <v>0</v>
      </c>
      <c r="Q3" s="251">
        <f t="shared" si="1"/>
        <v>0</v>
      </c>
    </row>
    <row r="4" spans="1:17" ht="14.4" customHeight="1" thickBot="1" x14ac:dyDescent="0.35">
      <c r="A4" s="248"/>
      <c r="B4" s="339" t="s">
        <v>159</v>
      </c>
      <c r="C4" s="340"/>
      <c r="D4" s="340"/>
      <c r="E4" s="341"/>
      <c r="F4" s="336" t="s">
        <v>164</v>
      </c>
      <c r="G4" s="337"/>
      <c r="H4" s="337"/>
      <c r="I4" s="338"/>
      <c r="J4" s="339" t="s">
        <v>165</v>
      </c>
      <c r="K4" s="340"/>
      <c r="L4" s="340"/>
      <c r="M4" s="341"/>
      <c r="N4" s="336" t="s">
        <v>166</v>
      </c>
      <c r="O4" s="337"/>
      <c r="P4" s="337"/>
      <c r="Q4" s="338"/>
    </row>
    <row r="5" spans="1:17" ht="14.4" customHeight="1" thickBot="1" x14ac:dyDescent="0.35">
      <c r="A5" s="399" t="s">
        <v>158</v>
      </c>
      <c r="B5" s="400" t="s">
        <v>160</v>
      </c>
      <c r="C5" s="400" t="s">
        <v>161</v>
      </c>
      <c r="D5" s="400" t="s">
        <v>162</v>
      </c>
      <c r="E5" s="401" t="s">
        <v>163</v>
      </c>
      <c r="F5" s="402" t="s">
        <v>160</v>
      </c>
      <c r="G5" s="403" t="s">
        <v>161</v>
      </c>
      <c r="H5" s="403" t="s">
        <v>162</v>
      </c>
      <c r="I5" s="404" t="s">
        <v>163</v>
      </c>
      <c r="J5" s="400" t="s">
        <v>160</v>
      </c>
      <c r="K5" s="400" t="s">
        <v>161</v>
      </c>
      <c r="L5" s="400" t="s">
        <v>162</v>
      </c>
      <c r="M5" s="401" t="s">
        <v>163</v>
      </c>
      <c r="N5" s="402" t="s">
        <v>160</v>
      </c>
      <c r="O5" s="403" t="s">
        <v>161</v>
      </c>
      <c r="P5" s="403" t="s">
        <v>162</v>
      </c>
      <c r="Q5" s="404" t="s">
        <v>163</v>
      </c>
    </row>
    <row r="6" spans="1:17" ht="14.4" customHeight="1" x14ac:dyDescent="0.3">
      <c r="A6" s="412" t="s">
        <v>324</v>
      </c>
      <c r="B6" s="416"/>
      <c r="C6" s="406"/>
      <c r="D6" s="406"/>
      <c r="E6" s="418"/>
      <c r="F6" s="414"/>
      <c r="G6" s="407"/>
      <c r="H6" s="407"/>
      <c r="I6" s="420"/>
      <c r="J6" s="416"/>
      <c r="K6" s="406"/>
      <c r="L6" s="406"/>
      <c r="M6" s="418"/>
      <c r="N6" s="414"/>
      <c r="O6" s="407"/>
      <c r="P6" s="407"/>
      <c r="Q6" s="408"/>
    </row>
    <row r="7" spans="1:17" ht="14.4" customHeight="1" thickBot="1" x14ac:dyDescent="0.35">
      <c r="A7" s="413" t="s">
        <v>325</v>
      </c>
      <c r="B7" s="417">
        <v>2</v>
      </c>
      <c r="C7" s="409"/>
      <c r="D7" s="409"/>
      <c r="E7" s="419"/>
      <c r="F7" s="415">
        <v>1</v>
      </c>
      <c r="G7" s="410">
        <v>0</v>
      </c>
      <c r="H7" s="410">
        <v>0</v>
      </c>
      <c r="I7" s="421">
        <v>0</v>
      </c>
      <c r="J7" s="417">
        <v>1</v>
      </c>
      <c r="K7" s="409"/>
      <c r="L7" s="409"/>
      <c r="M7" s="419"/>
      <c r="N7" s="415">
        <v>1</v>
      </c>
      <c r="O7" s="410">
        <v>0</v>
      </c>
      <c r="P7" s="410">
        <v>0</v>
      </c>
      <c r="Q7" s="41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7" customWidth="1"/>
    <col min="2" max="2" width="61.109375" style="177" customWidth="1"/>
    <col min="3" max="3" width="9.5546875" style="101" hidden="1" customWidth="1" outlineLevel="1"/>
    <col min="4" max="4" width="9.5546875" style="178" customWidth="1" collapsed="1"/>
    <col min="5" max="5" width="2.21875" style="178" customWidth="1"/>
    <col min="6" max="6" width="9.5546875" style="179" customWidth="1"/>
    <col min="7" max="7" width="9.5546875" style="176" customWidth="1"/>
    <col min="8" max="9" width="9.5546875" style="101" customWidth="1"/>
    <col min="10" max="10" width="0" style="101" hidden="1" customWidth="1"/>
    <col min="11" max="16384" width="8.88671875" style="101"/>
  </cols>
  <sheetData>
    <row r="1" spans="1:10" ht="18.600000000000001" customHeight="1" thickBot="1" x14ac:dyDescent="0.4">
      <c r="A1" s="332" t="s">
        <v>105</v>
      </c>
      <c r="B1" s="333"/>
      <c r="C1" s="333"/>
      <c r="D1" s="333"/>
      <c r="E1" s="333"/>
      <c r="F1" s="333"/>
      <c r="G1" s="303"/>
      <c r="H1" s="334"/>
      <c r="I1" s="334"/>
    </row>
    <row r="2" spans="1:10" ht="14.4" customHeight="1" thickBot="1" x14ac:dyDescent="0.35">
      <c r="A2" s="196" t="s">
        <v>206</v>
      </c>
      <c r="B2" s="175"/>
      <c r="C2" s="175"/>
      <c r="D2" s="175"/>
      <c r="E2" s="175"/>
      <c r="F2" s="175"/>
    </row>
    <row r="3" spans="1:10" ht="14.4" customHeight="1" thickBot="1" x14ac:dyDescent="0.35">
      <c r="A3" s="196"/>
      <c r="B3" s="275"/>
      <c r="C3" s="240">
        <v>2015</v>
      </c>
      <c r="D3" s="241">
        <v>2016</v>
      </c>
      <c r="E3" s="7"/>
      <c r="F3" s="311">
        <v>2017</v>
      </c>
      <c r="G3" s="329"/>
      <c r="H3" s="329"/>
      <c r="I3" s="312"/>
    </row>
    <row r="4" spans="1:10" ht="14.4" customHeight="1" thickBot="1" x14ac:dyDescent="0.35">
      <c r="A4" s="245" t="s">
        <v>0</v>
      </c>
      <c r="B4" s="246" t="s">
        <v>156</v>
      </c>
      <c r="C4" s="330" t="s">
        <v>50</v>
      </c>
      <c r="D4" s="331"/>
      <c r="E4" s="247"/>
      <c r="F4" s="242" t="s">
        <v>50</v>
      </c>
      <c r="G4" s="243" t="s">
        <v>51</v>
      </c>
      <c r="H4" s="243" t="s">
        <v>45</v>
      </c>
      <c r="I4" s="244" t="s">
        <v>52</v>
      </c>
    </row>
    <row r="5" spans="1:10" ht="14.4" customHeight="1" x14ac:dyDescent="0.3">
      <c r="A5" s="394" t="s">
        <v>313</v>
      </c>
      <c r="B5" s="395" t="s">
        <v>314</v>
      </c>
      <c r="C5" s="396" t="s">
        <v>315</v>
      </c>
      <c r="D5" s="396" t="s">
        <v>315</v>
      </c>
      <c r="E5" s="396"/>
      <c r="F5" s="396" t="s">
        <v>315</v>
      </c>
      <c r="G5" s="396" t="s">
        <v>315</v>
      </c>
      <c r="H5" s="396" t="s">
        <v>315</v>
      </c>
      <c r="I5" s="397" t="s">
        <v>315</v>
      </c>
      <c r="J5" s="398" t="s">
        <v>46</v>
      </c>
    </row>
    <row r="6" spans="1:10" ht="14.4" customHeight="1" x14ac:dyDescent="0.3">
      <c r="A6" s="394" t="s">
        <v>313</v>
      </c>
      <c r="B6" s="395" t="s">
        <v>326</v>
      </c>
      <c r="C6" s="396">
        <v>0.28936000000000001</v>
      </c>
      <c r="D6" s="396">
        <v>0</v>
      </c>
      <c r="E6" s="396"/>
      <c r="F6" s="396">
        <v>0</v>
      </c>
      <c r="G6" s="396">
        <v>0</v>
      </c>
      <c r="H6" s="396">
        <v>0</v>
      </c>
      <c r="I6" s="397" t="s">
        <v>315</v>
      </c>
      <c r="J6" s="398" t="s">
        <v>1</v>
      </c>
    </row>
    <row r="7" spans="1:10" ht="14.4" customHeight="1" x14ac:dyDescent="0.3">
      <c r="A7" s="394" t="s">
        <v>313</v>
      </c>
      <c r="B7" s="395" t="s">
        <v>327</v>
      </c>
      <c r="C7" s="396">
        <v>0.72186000000000006</v>
      </c>
      <c r="D7" s="396">
        <v>2.5999999999999999E-2</v>
      </c>
      <c r="E7" s="396"/>
      <c r="F7" s="396">
        <v>0</v>
      </c>
      <c r="G7" s="396">
        <v>1.517598819732666E-2</v>
      </c>
      <c r="H7" s="396">
        <v>-1.517598819732666E-2</v>
      </c>
      <c r="I7" s="397">
        <v>0</v>
      </c>
      <c r="J7" s="398" t="s">
        <v>1</v>
      </c>
    </row>
    <row r="8" spans="1:10" ht="14.4" customHeight="1" x14ac:dyDescent="0.3">
      <c r="A8" s="394" t="s">
        <v>313</v>
      </c>
      <c r="B8" s="395" t="s">
        <v>328</v>
      </c>
      <c r="C8" s="396">
        <v>0</v>
      </c>
      <c r="D8" s="396">
        <v>0.14199999999999999</v>
      </c>
      <c r="E8" s="396"/>
      <c r="F8" s="396">
        <v>0</v>
      </c>
      <c r="G8" s="396">
        <v>0</v>
      </c>
      <c r="H8" s="396">
        <v>0</v>
      </c>
      <c r="I8" s="397" t="s">
        <v>315</v>
      </c>
      <c r="J8" s="398" t="s">
        <v>1</v>
      </c>
    </row>
    <row r="9" spans="1:10" ht="14.4" customHeight="1" x14ac:dyDescent="0.3">
      <c r="A9" s="394" t="s">
        <v>313</v>
      </c>
      <c r="B9" s="395" t="s">
        <v>317</v>
      </c>
      <c r="C9" s="396">
        <v>1.01122</v>
      </c>
      <c r="D9" s="396">
        <v>0.16799999999999998</v>
      </c>
      <c r="E9" s="396"/>
      <c r="F9" s="396">
        <v>0</v>
      </c>
      <c r="G9" s="396">
        <v>1.517598819732666E-2</v>
      </c>
      <c r="H9" s="396">
        <v>-1.517598819732666E-2</v>
      </c>
      <c r="I9" s="397">
        <v>0</v>
      </c>
      <c r="J9" s="398" t="s">
        <v>318</v>
      </c>
    </row>
    <row r="11" spans="1:10" ht="14.4" customHeight="1" x14ac:dyDescent="0.3">
      <c r="A11" s="394" t="s">
        <v>313</v>
      </c>
      <c r="B11" s="395" t="s">
        <v>314</v>
      </c>
      <c r="C11" s="396" t="s">
        <v>315</v>
      </c>
      <c r="D11" s="396" t="s">
        <v>315</v>
      </c>
      <c r="E11" s="396"/>
      <c r="F11" s="396" t="s">
        <v>315</v>
      </c>
      <c r="G11" s="396" t="s">
        <v>315</v>
      </c>
      <c r="H11" s="396" t="s">
        <v>315</v>
      </c>
      <c r="I11" s="397" t="s">
        <v>315</v>
      </c>
      <c r="J11" s="398" t="s">
        <v>46</v>
      </c>
    </row>
    <row r="12" spans="1:10" ht="14.4" customHeight="1" x14ac:dyDescent="0.3">
      <c r="A12" s="394" t="s">
        <v>319</v>
      </c>
      <c r="B12" s="395" t="s">
        <v>320</v>
      </c>
      <c r="C12" s="396" t="s">
        <v>315</v>
      </c>
      <c r="D12" s="396" t="s">
        <v>315</v>
      </c>
      <c r="E12" s="396"/>
      <c r="F12" s="396" t="s">
        <v>315</v>
      </c>
      <c r="G12" s="396" t="s">
        <v>315</v>
      </c>
      <c r="H12" s="396" t="s">
        <v>315</v>
      </c>
      <c r="I12" s="397" t="s">
        <v>315</v>
      </c>
      <c r="J12" s="398" t="s">
        <v>0</v>
      </c>
    </row>
    <row r="13" spans="1:10" ht="14.4" customHeight="1" x14ac:dyDescent="0.3">
      <c r="A13" s="394" t="s">
        <v>319</v>
      </c>
      <c r="B13" s="395" t="s">
        <v>326</v>
      </c>
      <c r="C13" s="396">
        <v>0.28936000000000001</v>
      </c>
      <c r="D13" s="396">
        <v>0</v>
      </c>
      <c r="E13" s="396"/>
      <c r="F13" s="396">
        <v>0</v>
      </c>
      <c r="G13" s="396">
        <v>0</v>
      </c>
      <c r="H13" s="396">
        <v>0</v>
      </c>
      <c r="I13" s="397" t="s">
        <v>315</v>
      </c>
      <c r="J13" s="398" t="s">
        <v>1</v>
      </c>
    </row>
    <row r="14" spans="1:10" ht="14.4" customHeight="1" x14ac:dyDescent="0.3">
      <c r="A14" s="394" t="s">
        <v>319</v>
      </c>
      <c r="B14" s="395" t="s">
        <v>327</v>
      </c>
      <c r="C14" s="396">
        <v>0.72186000000000006</v>
      </c>
      <c r="D14" s="396">
        <v>2.5999999999999999E-2</v>
      </c>
      <c r="E14" s="396"/>
      <c r="F14" s="396">
        <v>0</v>
      </c>
      <c r="G14" s="396">
        <v>0</v>
      </c>
      <c r="H14" s="396">
        <v>0</v>
      </c>
      <c r="I14" s="397" t="s">
        <v>315</v>
      </c>
      <c r="J14" s="398" t="s">
        <v>1</v>
      </c>
    </row>
    <row r="15" spans="1:10" ht="14.4" customHeight="1" x14ac:dyDescent="0.3">
      <c r="A15" s="394" t="s">
        <v>319</v>
      </c>
      <c r="B15" s="395" t="s">
        <v>328</v>
      </c>
      <c r="C15" s="396">
        <v>0</v>
      </c>
      <c r="D15" s="396">
        <v>0.14199999999999999</v>
      </c>
      <c r="E15" s="396"/>
      <c r="F15" s="396">
        <v>0</v>
      </c>
      <c r="G15" s="396">
        <v>0</v>
      </c>
      <c r="H15" s="396">
        <v>0</v>
      </c>
      <c r="I15" s="397" t="s">
        <v>315</v>
      </c>
      <c r="J15" s="398" t="s">
        <v>1</v>
      </c>
    </row>
    <row r="16" spans="1:10" ht="14.4" customHeight="1" x14ac:dyDescent="0.3">
      <c r="A16" s="394" t="s">
        <v>319</v>
      </c>
      <c r="B16" s="395" t="s">
        <v>321</v>
      </c>
      <c r="C16" s="396">
        <v>1.01122</v>
      </c>
      <c r="D16" s="396">
        <v>0.16799999999999998</v>
      </c>
      <c r="E16" s="396"/>
      <c r="F16" s="396">
        <v>0</v>
      </c>
      <c r="G16" s="396">
        <v>0</v>
      </c>
      <c r="H16" s="396">
        <v>0</v>
      </c>
      <c r="I16" s="397" t="s">
        <v>315</v>
      </c>
      <c r="J16" s="398" t="s">
        <v>322</v>
      </c>
    </row>
    <row r="17" spans="1:10" ht="14.4" customHeight="1" x14ac:dyDescent="0.3">
      <c r="A17" s="394" t="s">
        <v>315</v>
      </c>
      <c r="B17" s="395" t="s">
        <v>315</v>
      </c>
      <c r="C17" s="396" t="s">
        <v>315</v>
      </c>
      <c r="D17" s="396" t="s">
        <v>315</v>
      </c>
      <c r="E17" s="396"/>
      <c r="F17" s="396" t="s">
        <v>315</v>
      </c>
      <c r="G17" s="396" t="s">
        <v>315</v>
      </c>
      <c r="H17" s="396" t="s">
        <v>315</v>
      </c>
      <c r="I17" s="397" t="s">
        <v>315</v>
      </c>
      <c r="J17" s="398" t="s">
        <v>323</v>
      </c>
    </row>
    <row r="18" spans="1:10" ht="14.4" customHeight="1" x14ac:dyDescent="0.3">
      <c r="A18" s="394" t="s">
        <v>313</v>
      </c>
      <c r="B18" s="395" t="s">
        <v>317</v>
      </c>
      <c r="C18" s="396">
        <v>1.01122</v>
      </c>
      <c r="D18" s="396">
        <v>0.16799999999999998</v>
      </c>
      <c r="E18" s="396"/>
      <c r="F18" s="396">
        <v>0</v>
      </c>
      <c r="G18" s="396">
        <v>0</v>
      </c>
      <c r="H18" s="396">
        <v>0</v>
      </c>
      <c r="I18" s="397" t="s">
        <v>315</v>
      </c>
      <c r="J18" s="398" t="s">
        <v>318</v>
      </c>
    </row>
  </sheetData>
  <mergeCells count="3">
    <mergeCell ref="A1:I1"/>
    <mergeCell ref="F3:I3"/>
    <mergeCell ref="C4:D4"/>
  </mergeCells>
  <conditionalFormatting sqref="F10 F19:F65537">
    <cfRule type="cellIs" dxfId="26" priority="18" stopIfTrue="1" operator="greaterThan">
      <formula>1</formula>
    </cfRule>
  </conditionalFormatting>
  <conditionalFormatting sqref="H5:H9">
    <cfRule type="expression" dxfId="25" priority="14">
      <formula>$H5&gt;0</formula>
    </cfRule>
  </conditionalFormatting>
  <conditionalFormatting sqref="I5:I9">
    <cfRule type="expression" dxfId="24" priority="15">
      <formula>$I5&gt;1</formula>
    </cfRule>
  </conditionalFormatting>
  <conditionalFormatting sqref="B5:B9">
    <cfRule type="expression" dxfId="23" priority="11">
      <formula>OR($J5="NS",$J5="SumaNS",$J5="Účet")</formula>
    </cfRule>
  </conditionalFormatting>
  <conditionalFormatting sqref="F5:I9 B5:D9">
    <cfRule type="expression" dxfId="22" priority="17">
      <formula>AND($J5&lt;&gt;"",$J5&lt;&gt;"mezeraKL")</formula>
    </cfRule>
  </conditionalFormatting>
  <conditionalFormatting sqref="B5:D9 F5:I9">
    <cfRule type="expression" dxfId="21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20" priority="13">
      <formula>OR($J5="SumaNS",$J5="NS")</formula>
    </cfRule>
  </conditionalFormatting>
  <conditionalFormatting sqref="A5:A9">
    <cfRule type="expression" dxfId="19" priority="9">
      <formula>AND($J5&lt;&gt;"mezeraKL",$J5&lt;&gt;"")</formula>
    </cfRule>
  </conditionalFormatting>
  <conditionalFormatting sqref="A5:A9">
    <cfRule type="expression" dxfId="18" priority="10">
      <formula>AND($J5&lt;&gt;"",$J5&lt;&gt;"mezeraKL")</formula>
    </cfRule>
  </conditionalFormatting>
  <conditionalFormatting sqref="H11:H18">
    <cfRule type="expression" dxfId="17" priority="6">
      <formula>$H11&gt;0</formula>
    </cfRule>
  </conditionalFormatting>
  <conditionalFormatting sqref="A11:A18">
    <cfRule type="expression" dxfId="16" priority="5">
      <formula>AND($J11&lt;&gt;"mezeraKL",$J11&lt;&gt;"")</formula>
    </cfRule>
  </conditionalFormatting>
  <conditionalFormatting sqref="I11:I18">
    <cfRule type="expression" dxfId="15" priority="7">
      <formula>$I11&gt;1</formula>
    </cfRule>
  </conditionalFormatting>
  <conditionalFormatting sqref="B11:B18">
    <cfRule type="expression" dxfId="14" priority="4">
      <formula>OR($J11="NS",$J11="SumaNS",$J11="Účet")</formula>
    </cfRule>
  </conditionalFormatting>
  <conditionalFormatting sqref="A11:D18 F11:I18">
    <cfRule type="expression" dxfId="13" priority="8">
      <formula>AND($J11&lt;&gt;"",$J11&lt;&gt;"mezeraKL")</formula>
    </cfRule>
  </conditionalFormatting>
  <conditionalFormatting sqref="B11:D18 F11:I18">
    <cfRule type="expression" dxfId="12" priority="1">
      <formula>OR($J11="KL",$J11="SumaKL")</formula>
    </cfRule>
    <cfRule type="expression" priority="3" stopIfTrue="1">
      <formula>OR($J11="mezeraNS",$J11="mezeraKL")</formula>
    </cfRule>
  </conditionalFormatting>
  <conditionalFormatting sqref="B11:D18 F11:I18">
    <cfRule type="expression" dxfId="11" priority="2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2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Statim</vt:lpstr>
      <vt:lpstr>Materiál Žádanky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2017-09-07T10:13:21Z</dcterms:modified>
</cp:coreProperties>
</file>