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D9" i="431"/>
  <c r="G9" i="431"/>
  <c r="J9" i="431"/>
  <c r="N9" i="431"/>
  <c r="Q9" i="431"/>
  <c r="C10" i="431"/>
  <c r="H10" i="431"/>
  <c r="K10" i="431"/>
  <c r="N10" i="431"/>
  <c r="Q10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F9" i="431"/>
  <c r="H9" i="431"/>
  <c r="K9" i="431"/>
  <c r="M9" i="431"/>
  <c r="P9" i="431"/>
  <c r="E10" i="431"/>
  <c r="F10" i="431"/>
  <c r="I10" i="431"/>
  <c r="L10" i="431"/>
  <c r="O10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E9" i="431"/>
  <c r="I9" i="431"/>
  <c r="L9" i="431"/>
  <c r="O9" i="431"/>
  <c r="D10" i="431"/>
  <c r="G10" i="431"/>
  <c r="J10" i="431"/>
  <c r="M10" i="431"/>
  <c r="P10" i="431"/>
  <c r="O8" i="431"/>
  <c r="J8" i="431"/>
  <c r="G8" i="431"/>
  <c r="P8" i="431"/>
  <c r="E8" i="431"/>
  <c r="D8" i="431"/>
  <c r="I8" i="431"/>
  <c r="F8" i="431"/>
  <c r="M8" i="431"/>
  <c r="N8" i="431"/>
  <c r="Q8" i="431"/>
  <c r="C8" i="431"/>
  <c r="L8" i="431"/>
  <c r="H8" i="431"/>
  <c r="K8" i="431"/>
  <c r="R12" i="431" l="1"/>
  <c r="S12" i="431"/>
  <c r="R11" i="431"/>
  <c r="S11" i="431"/>
  <c r="R10" i="431"/>
  <c r="S10" i="431"/>
  <c r="S9" i="431"/>
  <c r="R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9" i="414" l="1"/>
  <c r="E19" i="414" s="1"/>
  <c r="D18" i="414"/>
  <c r="A20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18" i="383" l="1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3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13" i="414"/>
  <c r="D16" i="414"/>
  <c r="D4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C21" i="414"/>
  <c r="D21" i="414"/>
  <c r="R3" i="345" l="1"/>
  <c r="Q3" i="345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<sst xmlns="http://schemas.openxmlformats.org/spreadsheetml/2006/main" count="1127" uniqueCount="410">
  <si>
    <t>NS</t>
  </si>
  <si>
    <t>Účet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</si>
  <si>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</si>
  <si>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</si>
  <si>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</si>
  <si>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</si>
  <si>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</si>
  <si>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</si>
  <si>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</si>
  <si>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</si>
  <si>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</si>
  <si>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</si>
  <si>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</si>
  <si>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</si>
  <si>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</si>
  <si>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</si>
  <si>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</si>
  <si>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</si>
  <si>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</si>
  <si>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</si>
  <si>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</si>
  <si>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</si>
  <si>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</si>
  <si>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</si>
  <si>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</si>
  <si>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</si>
  <si>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</si>
  <si>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</si>
  <si>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</si>
  <si>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</si>
  <si>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</si>
  <si>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</si>
  <si>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</si>
  <si>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</si>
  <si>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</si>
  <si>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</si>
  <si>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</si>
  <si>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</si>
  <si>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</si>
  <si>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</si>
  <si>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</si>
  <si>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</si>
  <si>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</si>
  <si>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</si>
  <si>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</si>
  <si>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</si>
  <si>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</si>
  <si>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</si>
  <si>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</si>
  <si>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</si>
  <si>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</si>
  <si>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</si>
  <si>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</si>
  <si>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</si>
  <si>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</si>
  <si>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</si>
  <si>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</si>
  <si>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</si>
  <si>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</si>
  <si>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</si>
  <si>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</si>
  <si>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</si>
  <si>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</si>
  <si>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</si>
  <si>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</si>
  <si>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</si>
  <si>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</si>
  <si>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</si>
  <si>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</si>
  <si>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</si>
  <si>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</si>
  <si>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</si>
  <si>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</si>
  <si>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</si>
  <si>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</si>
  <si>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</si>
  <si>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</si>
  <si>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</si>
  <si>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</si>
  <si>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</si>
  <si>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</si>
  <si>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</si>
  <si>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</si>
  <si>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</si>
  <si>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</si>
  <si>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</si>
  <si>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</si>
  <si>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</si>
  <si>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</si>
  <si>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</si>
  <si>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</si>
  <si>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</si>
  <si>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</si>
  <si>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</si>
  <si>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</si>
  <si>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</si>
  <si>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</si>
  <si>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</si>
  <si>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</si>
  <si>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</si>
  <si>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</si>
  <si>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</si>
  <si>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</si>
  <si>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</si>
  <si>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</si>
  <si>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</si>
  <si>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</si>
  <si>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</si>
  <si>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</si>
  <si>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</si>
  <si>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</si>
  <si>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</si>
  <si>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</si>
  <si>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</si>
  <si>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</si>
  <si>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</si>
  <si>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</si>
  <si>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</si>
  <si>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</si>
  <si>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</si>
  <si>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</si>
  <si>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</si>
  <si>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</si>
  <si>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</si>
  <si>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</si>
  <si>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</si>
  <si>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</si>
  <si>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</si>
  <si>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</si>
  <si>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</si>
  <si>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</si>
  <si>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</si>
  <si>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</si>
  <si>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</si>
  <si>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</si>
  <si>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</si>
  <si>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</si>
  <si>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</si>
  <si>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</si>
  <si>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</si>
  <si>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</si>
  <si>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</si>
  <si>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</si>
  <si>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</si>
  <si>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</si>
  <si>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</si>
  <si>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</si>
  <si>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</si>
  <si>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</si>
  <si>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</si>
  <si>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</si>
  <si>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</si>
  <si>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</si>
  <si>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</si>
  <si>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</si>
  <si>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</si>
  <si>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</si>
  <si>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</si>
  <si>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</si>
  <si>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</si>
  <si>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</si>
  <si>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</si>
  <si>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</si>
  <si>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</si>
  <si>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</si>
  <si>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</si>
  <si>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</si>
  <si>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</si>
  <si>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</si>
  <si>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</si>
  <si>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</si>
  <si>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</si>
  <si>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</si>
  <si>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</si>
  <si>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</si>
  <si>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</si>
  <si>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</si>
  <si>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</si>
  <si>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</si>
  <si>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</si>
  <si>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</si>
  <si>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</si>
  <si>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</si>
  <si>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</si>
  <si>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</si>
  <si>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</si>
  <si>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</si>
  <si>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</si>
  <si>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</si>
  <si>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</si>
  <si>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</si>
  <si>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</si>
  <si>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</si>
  <si>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</si>
  <si>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</si>
  <si>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</si>
  <si>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</si>
  <si>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</si>
  <si>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</si>
  <si>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</si>
  <si>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</si>
  <si>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</si>
  <si>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</si>
  <si>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</si>
  <si>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</si>
  <si>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</si>
  <si>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</si>
  <si>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</si>
  <si>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</si>
  <si>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</si>
  <si>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</si>
  <si>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</si>
  <si>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</si>
  <si>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</si>
  <si>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</si>
  <si>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</si>
  <si>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</si>
  <si>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</si>
  <si>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</si>
  <si>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klinické logopedie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</si>
  <si>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</si>
  <si>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</si>
  <si>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</si>
  <si>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</si>
  <si>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</si>
  <si>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50115     Zdravotnické prostředky</t>
  </si>
  <si>
    <t>50115060     ZPr - ostatní (Z503)</t>
  </si>
  <si>
    <t>50117     Všeobecný materiál</t>
  </si>
  <si>
    <t>50117001     všeobecný materiál (N524,525,P35,49,T13,V26,31,32,34,35,37,47,111,Z510)</t>
  </si>
  <si>
    <t>--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</si>
  <si>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</si>
  <si>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</si>
  <si>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</si>
  <si>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</si>
  <si>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</si>
  <si>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</si>
  <si>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50119     DDHM a textil</t>
  </si>
  <si>
    <t>50119002     prádlo pacientů (sk.T12)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</si>
  <si>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</si>
  <si>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</si>
  <si>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</si>
  <si>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</si>
  <si>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</si>
  <si>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</si>
  <si>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</si>
  <si>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</si>
  <si>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</si>
  <si>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</si>
  <si>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</si>
  <si>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</si>
  <si>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</si>
  <si>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</si>
  <si>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</si>
  <si>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</si>
  <si>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</si>
  <si>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</si>
  <si>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</si>
  <si>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</si>
  <si>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</si>
  <si>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51808008     revize, tech.kontroly, prev.prohl.- OHM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</si>
  <si>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</si>
  <si>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</si>
  <si>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</si>
  <si>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</si>
  <si>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</si>
  <si>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</si>
  <si>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</si>
  <si>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</si>
  <si>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</si>
  <si>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</si>
  <si>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</si>
  <si>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</si>
  <si>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</si>
  <si>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</si>
  <si>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</si>
  <si>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</si>
  <si>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</si>
  <si>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</si>
  <si>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</si>
  <si>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</si>
  <si>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</si>
  <si>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</si>
  <si>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</si>
  <si>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</si>
  <si>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</si>
  <si>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</si>
  <si>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</si>
  <si>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55802     DDHM - provozní</t>
  </si>
  <si>
    <t>55802001     DDHM - kuchyňské zařízení a nádobí (sk.V_26)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</si>
  <si>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</si>
  <si>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</si>
  <si>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</si>
  <si>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</si>
  <si>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</si>
  <si>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</si>
  <si>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</si>
  <si>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</si>
  <si>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</si>
  <si>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</si>
  <si>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</si>
  <si>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</si>
  <si>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</si>
  <si>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</si>
  <si>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</si>
  <si>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</si>
  <si>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</si>
  <si>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</si>
  <si>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</si>
  <si>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</si>
  <si>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</si>
  <si>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</si>
  <si>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</si>
  <si>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</si>
  <si>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</si>
  <si>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</si>
  <si>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</si>
  <si>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</si>
  <si>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</si>
  <si>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</si>
  <si>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</si>
  <si>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</si>
  <si>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</si>
  <si>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</t>
  </si>
  <si>
    <t>LOGO: Oddělení klinické logopedie</t>
  </si>
  <si>
    <t/>
  </si>
  <si>
    <t>50113001 - léky - paušál (LEK)</t>
  </si>
  <si>
    <t>LOGO: Oddělení klinické logopedie Celkem</t>
  </si>
  <si>
    <t>SumaKL</t>
  </si>
  <si>
    <t>3621</t>
  </si>
  <si>
    <t>LOGO: ambulance</t>
  </si>
  <si>
    <t>LOGO: ambulance Celkem</t>
  </si>
  <si>
    <t>SumaNS</t>
  </si>
  <si>
    <t>mezeraNS</t>
  </si>
  <si>
    <t>36 - Oddělení klinické logopedie</t>
  </si>
  <si>
    <t>3621 - ambulance</t>
  </si>
  <si>
    <t>50115050 - obvazový materiál (Z502)</t>
  </si>
  <si>
    <t>50115060 - ZPr - ostatní (Z503)</t>
  </si>
  <si>
    <t>50115067 - ZPr - rukavice (Z532)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</si>
  <si>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</si>
  <si>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</si>
  <si>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</si>
  <si>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</si>
  <si>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</si>
  <si>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</si>
  <si>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</si>
  <si>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</si>
  <si>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</si>
  <si>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</si>
  <si>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kliničtí logopedové</t>
  </si>
  <si>
    <t>odborní pracovníci v lab. metodách</t>
  </si>
  <si>
    <t>THP</t>
  </si>
  <si>
    <t>Specializovaná ambulantní péče</t>
  </si>
  <si>
    <t>903 - Pracoviště klinické logopedie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</si>
  <si>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</si>
  <si>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</si>
  <si>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</si>
  <si>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</si>
  <si>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</si>
  <si>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</si>
  <si>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06</t>
  </si>
  <si>
    <t>903</t>
  </si>
  <si>
    <t>V</t>
  </si>
  <si>
    <t>72017</t>
  </si>
  <si>
    <t>KONTROLNÍ VYŠETŘENÍ KLINICKÝM LOGOPEDEM</t>
  </si>
  <si>
    <t xml:space="preserve">KONTROLNÍ VYŠETŘENÍ KLINICKÝM LOGOPEDEM           </t>
  </si>
  <si>
    <t>72211</t>
  </si>
  <si>
    <t>LOGOPEDICKÁ TERAPIE POSKYTOVANÁ LOGOPEDEM V AMBULA</t>
  </si>
  <si>
    <t>72213</t>
  </si>
  <si>
    <t>LOGOPEDICKÁ TERAPIE ZVLÁŠTĚ NÁROČNÁ POSKYTOVANÁ PŘ</t>
  </si>
  <si>
    <t>09543</t>
  </si>
  <si>
    <t>Signalni kod</t>
  </si>
  <si>
    <t xml:space="preserve">Signalni kod                                      </t>
  </si>
  <si>
    <t>72015</t>
  </si>
  <si>
    <t>KOMPLEXNÍ VYŠETŘENÍ KLINICKÝM LOGOPEDEM</t>
  </si>
  <si>
    <t xml:space="preserve">KOMPLEXNÍ VYŠETŘENÍ KLINICKÝM LOGOPEDEM           </t>
  </si>
  <si>
    <t>72215</t>
  </si>
  <si>
    <t>LOGOPEDICKÁ TERAPIE STŘEDNĚ NÁROČNÁ POSKYTOVANÁ PŘ</t>
  </si>
  <si>
    <t>72016</t>
  </si>
  <si>
    <t xml:space="preserve">CÍLENÉ VYŠETŘENÍ KLINICKÝM LOGOPEDEM              </t>
  </si>
  <si>
    <t>CÍLENÉ VYŠETŘENÍ KLINICKÝM LOGOPEDEM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</si>
  <si>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</si>
  <si>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</si>
  <si>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</si>
  <si>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</si>
  <si>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</si>
  <si>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</si>
  <si>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06 - Neurochirurgická klinika</t>
  </si>
  <si>
    <t>07 - Klinika anesteziologie, resuscitace a intenzivní medicíny</t>
  </si>
  <si>
    <t>10 - Dětská klinika</t>
  </si>
  <si>
    <t>16 - Klinika plicních nemocí a tuberkulózy</t>
  </si>
  <si>
    <t>17 - Neurologická klinika</t>
  </si>
  <si>
    <t>21 - Onkologická klinika</t>
  </si>
  <si>
    <t>26 - Oddělení rehabilitace</t>
  </si>
  <si>
    <t>30 - Oddělení geriatrie</t>
  </si>
  <si>
    <t>32 - Hemato-onkologická klinika</t>
  </si>
  <si>
    <t>50 - Kardiochirurgická klinika</t>
  </si>
  <si>
    <t>01</t>
  </si>
  <si>
    <t>02</t>
  </si>
  <si>
    <t>03</t>
  </si>
  <si>
    <t>05</t>
  </si>
  <si>
    <t>07</t>
  </si>
  <si>
    <t>10</t>
  </si>
  <si>
    <t>16</t>
  </si>
  <si>
    <t>17</t>
  </si>
  <si>
    <t>21</t>
  </si>
  <si>
    <t>26</t>
  </si>
  <si>
    <t>30</t>
  </si>
  <si>
    <t>32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</si>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</sst>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6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1" xfId="1" applyFont="1" applyFill="1" applyBorder="1"/>
    <xf numFmtId="0" fontId="45" fillId="2" borderId="5" xfId="1" applyFont="1" applyFill="1" applyBorder="1"/>
    <xf numFmtId="0" fontId="45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0" xfId="1" applyFont="1" applyFill="1" applyBorder="1" applyAlignment="1">
      <alignment horizontal="left"/>
    </xf>
    <xf numFmtId="0" fontId="45" fillId="4" borderId="35" xfId="1" applyFont="1" applyFill="1" applyBorder="1" applyAlignment="1">
      <alignment horizontal="left" indent="2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2" fillId="8" borderId="102" xfId="0" applyNumberFormat="1" applyFont="1" applyFill="1" applyBorder="1"/>
    <xf numFmtId="3" fontId="52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7" xfId="0" applyNumberFormat="1" applyFont="1" applyFill="1" applyBorder="1" applyAlignment="1">
      <alignment horizontal="center" vertical="center"/>
    </xf>
    <xf numFmtId="3" fontId="54" fillId="4" borderId="90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9" fontId="54" fillId="4" borderId="90" xfId="0" applyNumberFormat="1" applyFont="1" applyFill="1" applyBorder="1" applyAlignment="1">
      <alignment horizontal="center" vertical="center"/>
    </xf>
    <xf numFmtId="3" fontId="54" fillId="4" borderId="78" xfId="0" applyNumberFormat="1" applyFont="1" applyFill="1" applyBorder="1" applyAlignment="1">
      <alignment horizontal="center" vertical="center" wrapText="1"/>
    </xf>
    <xf numFmtId="3" fontId="54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4" fillId="9" borderId="100" xfId="0" applyFont="1" applyFill="1" applyBorder="1" applyAlignment="1">
      <alignment horizontal="center"/>
    </xf>
    <xf numFmtId="0" fontId="54" fillId="9" borderId="99" xfId="0" applyFont="1" applyFill="1" applyBorder="1" applyAlignment="1">
      <alignment horizontal="center"/>
    </xf>
    <xf numFmtId="0" fontId="54" fillId="9" borderId="76" xfId="0" applyFont="1" applyFill="1" applyBorder="1" applyAlignment="1">
      <alignment horizontal="center"/>
    </xf>
    <xf numFmtId="0" fontId="54" fillId="2" borderId="78" xfId="0" applyFont="1" applyFill="1" applyBorder="1" applyAlignment="1">
      <alignment horizontal="center" vertical="center" wrapText="1"/>
    </xf>
    <xf numFmtId="0" fontId="54" fillId="2" borderId="91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83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4" borderId="67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58" fillId="2" borderId="67" xfId="0" applyFont="1" applyFill="1" applyBorder="1" applyAlignment="1">
      <alignment horizontal="center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4" fillId="4" borderId="89" xfId="0" applyFont="1" applyFill="1" applyBorder="1" applyAlignment="1">
      <alignment horizontal="center" vertical="center" wrapText="1"/>
    </xf>
    <xf numFmtId="0" fontId="54" fillId="4" borderId="97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90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9" xfId="0" applyNumberFormat="1" applyFont="1" applyFill="1" applyBorder="1" applyAlignment="1">
      <alignment horizontal="center" vertical="center" wrapText="1"/>
    </xf>
    <xf numFmtId="168" fontId="54" fillId="2" borderId="97" xfId="0" applyNumberFormat="1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9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3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3" fillId="2" borderId="46" xfId="0" applyNumberFormat="1" applyFont="1" applyFill="1" applyBorder="1" applyAlignment="1">
      <alignment horizontal="center" vertical="top"/>
    </xf>
    <xf numFmtId="3" fontId="33" fillId="10" borderId="105" xfId="0" applyNumberFormat="1" applyFont="1" applyFill="1" applyBorder="1" applyAlignment="1">
      <alignment horizontal="right" vertical="top"/>
    </xf>
    <xf numFmtId="3" fontId="33" fillId="10" borderId="106" xfId="0" applyNumberFormat="1" applyFont="1" applyFill="1" applyBorder="1" applyAlignment="1">
      <alignment horizontal="right" vertical="top"/>
    </xf>
    <xf numFmtId="177" fontId="33" fillId="10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7" fontId="33" fillId="10" borderId="108" xfId="0" applyNumberFormat="1" applyFont="1" applyFill="1" applyBorder="1" applyAlignment="1">
      <alignment horizontal="right" vertical="top"/>
    </xf>
    <xf numFmtId="3" fontId="35" fillId="10" borderId="110" xfId="0" applyNumberFormat="1" applyFont="1" applyFill="1" applyBorder="1" applyAlignment="1">
      <alignment horizontal="right" vertical="top"/>
    </xf>
    <xf numFmtId="3" fontId="35" fillId="10" borderId="111" xfId="0" applyNumberFormat="1" applyFont="1" applyFill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3" fillId="10" borderId="107" xfId="0" applyFont="1" applyFill="1" applyBorder="1" applyAlignment="1">
      <alignment horizontal="right" vertical="top"/>
    </xf>
    <xf numFmtId="0" fontId="33" fillId="10" borderId="108" xfId="0" applyFont="1" applyFill="1" applyBorder="1" applyAlignment="1">
      <alignment horizontal="right" vertical="top"/>
    </xf>
    <xf numFmtId="0" fontId="35" fillId="10" borderId="112" xfId="0" applyFont="1" applyFill="1" applyBorder="1" applyAlignment="1">
      <alignment horizontal="right" vertical="top"/>
    </xf>
    <xf numFmtId="0" fontId="35" fillId="10" borderId="113" xfId="0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177" fontId="35" fillId="10" borderId="117" xfId="0" applyNumberFormat="1" applyFont="1" applyFill="1" applyBorder="1" applyAlignment="1">
      <alignment horizontal="right" vertical="top"/>
    </xf>
    <xf numFmtId="0" fontId="37" fillId="11" borderId="104" xfId="0" applyFont="1" applyFill="1" applyBorder="1" applyAlignment="1">
      <alignment vertical="top"/>
    </xf>
    <xf numFmtId="0" fontId="37" fillId="11" borderId="104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4"/>
    </xf>
    <xf numFmtId="0" fontId="38" fillId="11" borderId="109" xfId="0" applyFont="1" applyFill="1" applyBorder="1" applyAlignment="1">
      <alignment vertical="top" indent="6"/>
    </xf>
    <xf numFmtId="0" fontId="37" fillId="11" borderId="104" xfId="0" applyFont="1" applyFill="1" applyBorder="1" applyAlignment="1">
      <alignment vertical="top" indent="8"/>
    </xf>
    <xf numFmtId="0" fontId="38" fillId="11" borderId="109" xfId="0" applyFont="1" applyFill="1" applyBorder="1" applyAlignment="1">
      <alignment vertical="top" indent="2"/>
    </xf>
    <xf numFmtId="0" fontId="37" fillId="11" borderId="104" xfId="0" applyFont="1" applyFill="1" applyBorder="1" applyAlignment="1">
      <alignment vertical="top" indent="6"/>
    </xf>
    <xf numFmtId="0" fontId="38" fillId="11" borderId="109" xfId="0" applyFont="1" applyFill="1" applyBorder="1" applyAlignment="1">
      <alignment vertical="top" indent="4"/>
    </xf>
    <xf numFmtId="0" fontId="32" fillId="11" borderId="104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8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3" fontId="32" fillId="0" borderId="69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9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0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8" fillId="4" borderId="65" xfId="0" applyFont="1" applyFill="1" applyBorder="1" applyAlignment="1">
      <alignment horizontal="left"/>
    </xf>
    <xf numFmtId="169" fontId="58" fillId="4" borderId="66" xfId="0" applyNumberFormat="1" applyFont="1" applyFill="1" applyBorder="1"/>
    <xf numFmtId="9" fontId="58" fillId="4" borderId="66" xfId="0" applyNumberFormat="1" applyFont="1" applyFill="1" applyBorder="1"/>
    <xf numFmtId="9" fontId="58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8" fillId="0" borderId="68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7" xfId="26" applyNumberFormat="1" applyFont="1" applyFill="1" applyBorder="1"/>
    <xf numFmtId="3" fontId="32" fillId="0" borderId="28" xfId="0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2" fillId="0" borderId="65" xfId="0" applyFont="1" applyFill="1" applyBorder="1"/>
    <xf numFmtId="0" fontId="32" fillId="0" borderId="66" xfId="0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3" fontId="32" fillId="0" borderId="74" xfId="0" applyNumberFormat="1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6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169" fontId="32" fillId="0" borderId="69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7"/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firstColumnStripe" dxfId="81"/>
    </tableStyle>
    <tableStyle name="TableStyleMedium2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0.20003769529601173</c:v>
                </c:pt>
                <c:pt idx="1">
                  <c:v>0.19901749643227329</c:v>
                </c:pt>
                <c:pt idx="2">
                  <c:v>0.19451184242495187</c:v>
                </c:pt>
                <c:pt idx="3">
                  <c:v>0.21976817487908415</c:v>
                </c:pt>
                <c:pt idx="4">
                  <c:v>0.24470756341079791</c:v>
                </c:pt>
                <c:pt idx="5">
                  <c:v>0.25642106789011759</c:v>
                </c:pt>
                <c:pt idx="6">
                  <c:v>0.21691962801680456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3856768"/>
        <c:axId val="-4038589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0.20172409307441719</c:v>
                </c:pt>
                <c:pt idx="1">
                  <c:v>0.20172409307441719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3851872"/>
        <c:axId val="-403855680"/>
      </c:scatterChart>
      <c:catAx>
        <c:axId val="-40385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0385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38589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03856768"/>
        <c:crosses val="autoZero"/>
        <c:crossBetween val="between"/>
      </c:valAx>
      <c:valAx>
        <c:axId val="-4038518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03855680"/>
        <c:crosses val="max"/>
        <c:crossBetween val="midCat"/>
      </c:valAx>
      <c:valAx>
        <c:axId val="-4038556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038518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2" totalsRowShown="0" headerRowDxfId="73" tableBorderDxfId="72">
  <autoFilter ref="A7:S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1"/>
    <tableColumn id="2" name="popis" dataDxfId="70"/>
    <tableColumn id="3" name="01 uv_s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4">
      <calculatedColumnFormula>IF(Tabulka[[#This Row],[15_vzpl]]=0,"",Tabulka[[#This Row],[14_vzsk]]/Tabulka[[#This Row],[15_vzpl]])</calculatedColumnFormula>
    </tableColumn>
    <tableColumn id="20" name="17_vzroz" dataDxfId="5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5" totalsRowShown="0">
  <autoFilter ref="C3:S4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88" t="s">
        <v>83</v>
      </c>
      <c r="B1" s="288"/>
    </row>
    <row r="2" spans="1:3" ht="14.4" customHeight="1" thickBot="1" x14ac:dyDescent="0.35">
      <c r="A2" s="193" t="s">
        <v>219</v>
      </c>
      <c r="B2" s="41"/>
    </row>
    <row r="3" spans="1:3" ht="14.4" customHeight="1" thickBot="1" x14ac:dyDescent="0.35">
      <c r="A3" s="284" t="s">
        <v>104</v>
      </c>
      <c r="B3" s="285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92</v>
      </c>
      <c r="C4" s="42" t="s">
        <v>93</v>
      </c>
    </row>
    <row r="5" spans="1:3" ht="14.4" customHeight="1" x14ac:dyDescent="0.3">
      <c r="A5" s="114" t="str">
        <f t="shared" si="0"/>
        <v>HI</v>
      </c>
      <c r="B5" s="64" t="s">
        <v>101</v>
      </c>
      <c r="C5" s="42" t="s">
        <v>86</v>
      </c>
    </row>
    <row r="6" spans="1:3" ht="14.4" customHeight="1" x14ac:dyDescent="0.3">
      <c r="A6" s="115" t="str">
        <f t="shared" si="0"/>
        <v>HI Graf</v>
      </c>
      <c r="B6" s="65" t="s">
        <v>79</v>
      </c>
      <c r="C6" s="42" t="s">
        <v>87</v>
      </c>
    </row>
    <row r="7" spans="1:3" ht="14.4" customHeight="1" x14ac:dyDescent="0.3">
      <c r="A7" s="115" t="str">
        <f t="shared" si="0"/>
        <v>Man Tab</v>
      </c>
      <c r="B7" s="65" t="s">
        <v>221</v>
      </c>
      <c r="C7" s="42" t="s">
        <v>88</v>
      </c>
    </row>
    <row r="8" spans="1:3" ht="14.4" customHeight="1" thickBot="1" x14ac:dyDescent="0.35">
      <c r="A8" s="116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86" t="s">
        <v>84</v>
      </c>
      <c r="B10" s="285"/>
    </row>
    <row r="11" spans="1:3" ht="14.4" customHeight="1" x14ac:dyDescent="0.3">
      <c r="A11" s="117" t="str">
        <f t="shared" ref="A11" si="1">HYPERLINK("#'"&amp;C11&amp;"'!A1",C11)</f>
        <v>Léky Žádanky</v>
      </c>
      <c r="B11" s="64" t="s">
        <v>102</v>
      </c>
      <c r="C11" s="42" t="s">
        <v>89</v>
      </c>
    </row>
    <row r="12" spans="1:3" ht="14.4" customHeight="1" x14ac:dyDescent="0.3">
      <c r="A12" s="115" t="str">
        <f t="shared" ref="A12:A14" si="2">HYPERLINK("#'"&amp;C12&amp;"'!A1",C12)</f>
        <v>LŽ Statim</v>
      </c>
      <c r="B12" s="215" t="s">
        <v>146</v>
      </c>
      <c r="C12" s="42" t="s">
        <v>156</v>
      </c>
    </row>
    <row r="13" spans="1:3" ht="14.4" customHeight="1" x14ac:dyDescent="0.3">
      <c r="A13" s="117" t="str">
        <f t="shared" ref="A13" si="3">HYPERLINK("#'"&amp;C13&amp;"'!A1",C13)</f>
        <v>Materiál Žádanky</v>
      </c>
      <c r="B13" s="65" t="s">
        <v>103</v>
      </c>
      <c r="C13" s="42" t="s">
        <v>90</v>
      </c>
    </row>
    <row r="14" spans="1:3" ht="14.4" customHeight="1" thickBot="1" x14ac:dyDescent="0.35">
      <c r="A14" s="117" t="str">
        <f t="shared" si="2"/>
        <v>Osobní náklady</v>
      </c>
      <c r="B14" s="65" t="s">
        <v>81</v>
      </c>
      <c r="C14" s="42" t="s">
        <v>91</v>
      </c>
    </row>
    <row r="15" spans="1:3" ht="14.4" customHeight="1" thickBot="1" x14ac:dyDescent="0.35">
      <c r="A15" s="68"/>
      <c r="B15" s="68"/>
    </row>
    <row r="16" spans="1:3" ht="14.4" customHeight="1" thickBot="1" x14ac:dyDescent="0.35">
      <c r="A16" s="287" t="s">
        <v>85</v>
      </c>
      <c r="B16" s="285"/>
    </row>
    <row r="17" spans="1:3" ht="14.4" customHeight="1" x14ac:dyDescent="0.3">
      <c r="A17" s="118" t="str">
        <f t="shared" ref="A17:A22" si="4">HYPERLINK("#'"&amp;C17&amp;"'!A1",C17)</f>
        <v>ZV Vykáz.-A</v>
      </c>
      <c r="B17" s="64" t="s">
        <v>353</v>
      </c>
      <c r="C17" s="42" t="s">
        <v>94</v>
      </c>
    </row>
    <row r="18" spans="1:3" ht="14.4" customHeight="1" x14ac:dyDescent="0.3">
      <c r="A18" s="115" t="str">
        <f t="shared" ref="A18" si="5">HYPERLINK("#'"&amp;C18&amp;"'!A1",C18)</f>
        <v>ZV Vykáz.-A Lékaři</v>
      </c>
      <c r="B18" s="65" t="s">
        <v>358</v>
      </c>
      <c r="C18" s="42" t="s">
        <v>159</v>
      </c>
    </row>
    <row r="19" spans="1:3" ht="14.4" customHeight="1" x14ac:dyDescent="0.3">
      <c r="A19" s="115" t="str">
        <f t="shared" si="4"/>
        <v>ZV Vykáz.-A Detail</v>
      </c>
      <c r="B19" s="65" t="s">
        <v>380</v>
      </c>
      <c r="C19" s="42" t="s">
        <v>95</v>
      </c>
    </row>
    <row r="20" spans="1:3" ht="14.4" customHeight="1" x14ac:dyDescent="0.3">
      <c r="A20" s="228" t="str">
        <f>HYPERLINK("#'"&amp;C20&amp;"'!A1",C20)</f>
        <v>ZV Vykáz.-A Det.Lék.</v>
      </c>
      <c r="B20" s="65" t="s">
        <v>381</v>
      </c>
      <c r="C20" s="42" t="s">
        <v>163</v>
      </c>
    </row>
    <row r="21" spans="1:3" ht="14.4" customHeight="1" x14ac:dyDescent="0.3">
      <c r="A21" s="115" t="str">
        <f t="shared" si="4"/>
        <v>ZV Vykáz.-H</v>
      </c>
      <c r="B21" s="65" t="s">
        <v>98</v>
      </c>
      <c r="C21" s="42" t="s">
        <v>96</v>
      </c>
    </row>
    <row r="22" spans="1:3" ht="14.4" customHeight="1" x14ac:dyDescent="0.3">
      <c r="A22" s="115" t="str">
        <f t="shared" si="4"/>
        <v>ZV Vykáz.-H Detail</v>
      </c>
      <c r="B22" s="65" t="s">
        <v>409</v>
      </c>
      <c r="C22" s="42" t="s">
        <v>97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6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2" customWidth="1"/>
    <col min="18" max="18" width="7.33203125" style="235" customWidth="1"/>
    <col min="19" max="19" width="8" style="192" customWidth="1"/>
    <col min="21" max="21" width="11.21875" bestFit="1" customWidth="1"/>
  </cols>
  <sheetData>
    <row r="1" spans="1:19" ht="18.600000000000001" thickBot="1" x14ac:dyDescent="0.4">
      <c r="A1" s="328" t="s">
        <v>81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5" thickBot="1" x14ac:dyDescent="0.35">
      <c r="A2" s="193" t="s">
        <v>219</v>
      </c>
      <c r="B2" s="194"/>
    </row>
    <row r="3" spans="1:19" x14ac:dyDescent="0.3">
      <c r="A3" s="342" t="s">
        <v>141</v>
      </c>
      <c r="B3" s="343"/>
      <c r="C3" s="344" t="s">
        <v>130</v>
      </c>
      <c r="D3" s="345"/>
      <c r="E3" s="345"/>
      <c r="F3" s="346"/>
      <c r="G3" s="347" t="s">
        <v>131</v>
      </c>
      <c r="H3" s="348"/>
      <c r="I3" s="348"/>
      <c r="J3" s="349"/>
      <c r="K3" s="350" t="s">
        <v>140</v>
      </c>
      <c r="L3" s="351"/>
      <c r="M3" s="351"/>
      <c r="N3" s="351"/>
      <c r="O3" s="352"/>
      <c r="P3" s="348" t="s">
        <v>194</v>
      </c>
      <c r="Q3" s="348"/>
      <c r="R3" s="348"/>
      <c r="S3" s="349"/>
    </row>
    <row r="4" spans="1:19" ht="15" thickBot="1" x14ac:dyDescent="0.35">
      <c r="A4" s="361">
        <v>2018</v>
      </c>
      <c r="B4" s="362"/>
      <c r="C4" s="363" t="s">
        <v>193</v>
      </c>
      <c r="D4" s="365" t="s">
        <v>82</v>
      </c>
      <c r="E4" s="365" t="s">
        <v>50</v>
      </c>
      <c r="F4" s="340" t="s">
        <v>43</v>
      </c>
      <c r="G4" s="355" t="s">
        <v>132</v>
      </c>
      <c r="H4" s="357" t="s">
        <v>136</v>
      </c>
      <c r="I4" s="357" t="s">
        <v>192</v>
      </c>
      <c r="J4" s="359" t="s">
        <v>133</v>
      </c>
      <c r="K4" s="337" t="s">
        <v>191</v>
      </c>
      <c r="L4" s="338"/>
      <c r="M4" s="338"/>
      <c r="N4" s="339"/>
      <c r="O4" s="340" t="s">
        <v>190</v>
      </c>
      <c r="P4" s="329" t="s">
        <v>189</v>
      </c>
      <c r="Q4" s="329" t="s">
        <v>143</v>
      </c>
      <c r="R4" s="331" t="s">
        <v>50</v>
      </c>
      <c r="S4" s="333" t="s">
        <v>142</v>
      </c>
    </row>
    <row r="5" spans="1:19" s="270" customFormat="1" ht="19.2" customHeight="1" x14ac:dyDescent="0.3">
      <c r="A5" s="335" t="s">
        <v>188</v>
      </c>
      <c r="B5" s="336"/>
      <c r="C5" s="364"/>
      <c r="D5" s="366"/>
      <c r="E5" s="366"/>
      <c r="F5" s="341"/>
      <c r="G5" s="356"/>
      <c r="H5" s="358"/>
      <c r="I5" s="358"/>
      <c r="J5" s="360"/>
      <c r="K5" s="273" t="s">
        <v>134</v>
      </c>
      <c r="L5" s="272" t="s">
        <v>135</v>
      </c>
      <c r="M5" s="272" t="s">
        <v>187</v>
      </c>
      <c r="N5" s="271" t="s">
        <v>3</v>
      </c>
      <c r="O5" s="341"/>
      <c r="P5" s="330"/>
      <c r="Q5" s="330"/>
      <c r="R5" s="332"/>
      <c r="S5" s="334"/>
    </row>
    <row r="6" spans="1:19" ht="15" thickBot="1" x14ac:dyDescent="0.35">
      <c r="A6" s="353" t="s">
        <v>129</v>
      </c>
      <c r="B6" s="354"/>
      <c r="C6" s="269">
        <f ca="1">SUM(Tabulka[01 uv_sk])/2</f>
        <v>5</v>
      </c>
      <c r="D6" s="267"/>
      <c r="E6" s="267"/>
      <c r="F6" s="266"/>
      <c r="G6" s="268">
        <f ca="1">SUM(Tabulka[05 h_vram])/2</f>
        <v>5504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83740</v>
      </c>
      <c r="N6" s="267">
        <f ca="1">SUM(Tabulka[12 m_oc])/2</f>
        <v>83740</v>
      </c>
      <c r="O6" s="266">
        <f ca="1">SUM(Tabulka[13 m_sk])/2</f>
        <v>1685016</v>
      </c>
      <c r="P6" s="265">
        <f ca="1">SUM(Tabulka[14_vzsk])/2</f>
        <v>3200</v>
      </c>
      <c r="Q6" s="265">
        <f ca="1">SUM(Tabulka[15_vzpl])/2</f>
        <v>583.18038602454578</v>
      </c>
      <c r="R6" s="264">
        <f ca="1">IF(Q6=0,0,P6/Q6)</f>
        <v>5.4871529919137467</v>
      </c>
      <c r="S6" s="263">
        <f ca="1">Q6-P6</f>
        <v>-2616.8196139754541</v>
      </c>
    </row>
    <row r="7" spans="1:19" hidden="1" x14ac:dyDescent="0.3">
      <c r="A7" s="262" t="s">
        <v>186</v>
      </c>
      <c r="B7" s="261" t="s">
        <v>185</v>
      </c>
      <c r="C7" s="260" t="s">
        <v>184</v>
      </c>
      <c r="D7" s="259" t="s">
        <v>183</v>
      </c>
      <c r="E7" s="258" t="s">
        <v>182</v>
      </c>
      <c r="F7" s="257" t="s">
        <v>181</v>
      </c>
      <c r="G7" s="256" t="s">
        <v>180</v>
      </c>
      <c r="H7" s="254" t="s">
        <v>179</v>
      </c>
      <c r="I7" s="254" t="s">
        <v>178</v>
      </c>
      <c r="J7" s="253" t="s">
        <v>177</v>
      </c>
      <c r="K7" s="255" t="s">
        <v>176</v>
      </c>
      <c r="L7" s="254" t="s">
        <v>175</v>
      </c>
      <c r="M7" s="254" t="s">
        <v>174</v>
      </c>
      <c r="N7" s="253" t="s">
        <v>173</v>
      </c>
      <c r="O7" s="252" t="s">
        <v>172</v>
      </c>
      <c r="P7" s="251" t="s">
        <v>171</v>
      </c>
      <c r="Q7" s="250" t="s">
        <v>170</v>
      </c>
      <c r="R7" s="249" t="s">
        <v>169</v>
      </c>
      <c r="S7" s="248" t="s">
        <v>168</v>
      </c>
    </row>
    <row r="8" spans="1:19" x14ac:dyDescent="0.3">
      <c r="A8" s="245" t="s">
        <v>338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5504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83740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83740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1662344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583.18038602454578</v>
      </c>
      <c r="R8" s="247">
        <f ca="1">IF(Tabulka[[#This Row],[15_vzpl]]=0,"",Tabulka[[#This Row],[14_vzsk]]/Tabulka[[#This Row],[15_vzpl]])</f>
        <v>5.4871529919137467</v>
      </c>
      <c r="S8" s="246">
        <f ca="1">IF(Tabulka[[#This Row],[15_vzpl]]-Tabulka[[#This Row],[14_vzsk]]=0,"",Tabulka[[#This Row],[15_vzpl]]-Tabulka[[#This Row],[14_vzsk]])</f>
        <v>-2616.8196139754541</v>
      </c>
    </row>
    <row r="9" spans="1:19" x14ac:dyDescent="0.3">
      <c r="A9" s="245">
        <v>523</v>
      </c>
      <c r="B9" s="244" t="s">
        <v>348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5504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83740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83740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1662344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47" t="str">
        <f ca="1">IF(Tabulka[[#This Row],[15_vzpl]]=0,"",Tabulka[[#This Row],[14_vzsk]]/Tabulka[[#This Row],[15_vzpl]])</f>
        <v/>
      </c>
      <c r="S9" s="246" t="str">
        <f ca="1">IF(Tabulka[[#This Row],[15_vzpl]]-Tabulka[[#This Row],[14_vzsk]]=0,"",Tabulka[[#This Row],[15_vzpl]]-Tabulka[[#This Row],[14_vzsk]])</f>
        <v/>
      </c>
    </row>
    <row r="10" spans="1:19" x14ac:dyDescent="0.3">
      <c r="A10" s="245">
        <v>526</v>
      </c>
      <c r="B10" s="244" t="s">
        <v>349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583.18038602454578</v>
      </c>
      <c r="R10" s="247">
        <f ca="1">IF(Tabulka[[#This Row],[15_vzpl]]=0,"",Tabulka[[#This Row],[14_vzsk]]/Tabulka[[#This Row],[15_vzpl]])</f>
        <v>5.4871529919137467</v>
      </c>
      <c r="S10" s="246">
        <f ca="1">IF(Tabulka[[#This Row],[15_vzpl]]-Tabulka[[#This Row],[14_vzsk]]=0,"",Tabulka[[#This Row],[15_vzpl]]-Tabulka[[#This Row],[14_vzsk]])</f>
        <v>-2616.8196139754541</v>
      </c>
    </row>
    <row r="11" spans="1:19" x14ac:dyDescent="0.3">
      <c r="A11" s="245" t="s">
        <v>339</v>
      </c>
      <c r="B11" s="244"/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22672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3">
      <c r="A12" s="245">
        <v>30</v>
      </c>
      <c r="B12" s="244" t="s">
        <v>350</v>
      </c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22672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47" t="str">
        <f ca="1">IF(Tabulka[[#This Row],[15_vzpl]]=0,"",Tabulka[[#This Row],[14_vzsk]]/Tabulka[[#This Row],[15_vzpl]])</f>
        <v/>
      </c>
      <c r="S12" s="246" t="str">
        <f ca="1">IF(Tabulka[[#This Row],[15_vzpl]]-Tabulka[[#This Row],[14_vzsk]]=0,"",Tabulka[[#This Row],[15_vzpl]]-Tabulka[[#This Row],[14_vzsk]])</f>
        <v/>
      </c>
    </row>
    <row r="13" spans="1:19" x14ac:dyDescent="0.3">
      <c r="A13" t="s">
        <v>196</v>
      </c>
    </row>
    <row r="14" spans="1:19" x14ac:dyDescent="0.3">
      <c r="A14" s="85" t="s">
        <v>113</v>
      </c>
    </row>
    <row r="15" spans="1:19" x14ac:dyDescent="0.3">
      <c r="A15" s="86" t="s">
        <v>167</v>
      </c>
    </row>
    <row r="16" spans="1:19" x14ac:dyDescent="0.3">
      <c r="A16" s="237" t="s">
        <v>166</v>
      </c>
    </row>
    <row r="17" spans="1:1" x14ac:dyDescent="0.3">
      <c r="A17" s="196" t="s">
        <v>139</v>
      </c>
    </row>
    <row r="18" spans="1:1" x14ac:dyDescent="0.3">
      <c r="A18" s="198" t="s">
        <v>144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2">
    <cfRule type="cellIs" dxfId="4" priority="3" operator="lessThan">
      <formula>0</formula>
    </cfRule>
  </conditionalFormatting>
  <conditionalFormatting sqref="R6:R12">
    <cfRule type="cellIs" dxfId="3" priority="4" operator="greaterThan">
      <formula>1</formula>
    </cfRule>
  </conditionalFormatting>
  <conditionalFormatting sqref="A8:S12">
    <cfRule type="expression" dxfId="2" priority="2">
      <formula>$B8=""</formula>
    </cfRule>
  </conditionalFormatting>
  <conditionalFormatting sqref="P8:S12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347</v>
      </c>
    </row>
    <row r="2" spans="1:19" x14ac:dyDescent="0.3">
      <c r="A2" s="193" t="s">
        <v>219</v>
      </c>
    </row>
    <row r="3" spans="1:19" x14ac:dyDescent="0.3">
      <c r="A3" s="283" t="s">
        <v>116</v>
      </c>
      <c r="B3" s="282">
        <v>2018</v>
      </c>
      <c r="C3" t="s">
        <v>195</v>
      </c>
      <c r="D3" t="s">
        <v>186</v>
      </c>
      <c r="E3" t="s">
        <v>184</v>
      </c>
      <c r="F3" t="s">
        <v>183</v>
      </c>
      <c r="G3" t="s">
        <v>182</v>
      </c>
      <c r="H3" t="s">
        <v>181</v>
      </c>
      <c r="I3" t="s">
        <v>180</v>
      </c>
      <c r="J3" t="s">
        <v>179</v>
      </c>
      <c r="K3" t="s">
        <v>178</v>
      </c>
      <c r="L3" t="s">
        <v>177</v>
      </c>
      <c r="M3" t="s">
        <v>176</v>
      </c>
      <c r="N3" t="s">
        <v>175</v>
      </c>
      <c r="O3" t="s">
        <v>174</v>
      </c>
      <c r="P3" t="s">
        <v>173</v>
      </c>
      <c r="Q3" t="s">
        <v>172</v>
      </c>
      <c r="R3" t="s">
        <v>171</v>
      </c>
      <c r="S3" t="s">
        <v>170</v>
      </c>
    </row>
    <row r="4" spans="1:19" x14ac:dyDescent="0.3">
      <c r="A4" s="281" t="s">
        <v>117</v>
      </c>
      <c r="B4" s="280">
        <v>1</v>
      </c>
      <c r="C4" s="275">
        <v>1</v>
      </c>
      <c r="D4" s="275" t="s">
        <v>338</v>
      </c>
      <c r="E4" s="274">
        <v>5</v>
      </c>
      <c r="F4" s="274"/>
      <c r="G4" s="274"/>
      <c r="H4" s="274"/>
      <c r="I4" s="274">
        <v>896</v>
      </c>
      <c r="J4" s="274"/>
      <c r="K4" s="274"/>
      <c r="L4" s="274"/>
      <c r="M4" s="274"/>
      <c r="N4" s="274"/>
      <c r="O4" s="274"/>
      <c r="P4" s="274"/>
      <c r="Q4" s="274">
        <v>233933</v>
      </c>
      <c r="R4" s="274"/>
      <c r="S4" s="274">
        <v>83.311483717792257</v>
      </c>
    </row>
    <row r="5" spans="1:19" x14ac:dyDescent="0.3">
      <c r="A5" s="279" t="s">
        <v>118</v>
      </c>
      <c r="B5" s="278">
        <v>2</v>
      </c>
      <c r="C5">
        <v>1</v>
      </c>
      <c r="D5">
        <v>523</v>
      </c>
      <c r="E5">
        <v>5</v>
      </c>
      <c r="I5">
        <v>896</v>
      </c>
      <c r="Q5">
        <v>233933</v>
      </c>
    </row>
    <row r="6" spans="1:19" x14ac:dyDescent="0.3">
      <c r="A6" s="281" t="s">
        <v>119</v>
      </c>
      <c r="B6" s="280">
        <v>3</v>
      </c>
      <c r="C6">
        <v>1</v>
      </c>
      <c r="D6">
        <v>526</v>
      </c>
      <c r="S6">
        <v>83.311483717792257</v>
      </c>
    </row>
    <row r="7" spans="1:19" x14ac:dyDescent="0.3">
      <c r="A7" s="279" t="s">
        <v>120</v>
      </c>
      <c r="B7" s="278">
        <v>4</v>
      </c>
      <c r="C7">
        <v>1</v>
      </c>
      <c r="D7" t="s">
        <v>339</v>
      </c>
      <c r="Q7">
        <v>3374</v>
      </c>
    </row>
    <row r="8" spans="1:19" x14ac:dyDescent="0.3">
      <c r="A8" s="281" t="s">
        <v>121</v>
      </c>
      <c r="B8" s="280">
        <v>5</v>
      </c>
      <c r="C8">
        <v>1</v>
      </c>
      <c r="D8">
        <v>30</v>
      </c>
      <c r="Q8">
        <v>3374</v>
      </c>
    </row>
    <row r="9" spans="1:19" x14ac:dyDescent="0.3">
      <c r="A9" s="279" t="s">
        <v>122</v>
      </c>
      <c r="B9" s="278">
        <v>6</v>
      </c>
      <c r="C9" t="s">
        <v>340</v>
      </c>
      <c r="E9">
        <v>5</v>
      </c>
      <c r="I9">
        <v>896</v>
      </c>
      <c r="Q9">
        <v>237307</v>
      </c>
      <c r="S9">
        <v>83.311483717792257</v>
      </c>
    </row>
    <row r="10" spans="1:19" x14ac:dyDescent="0.3">
      <c r="A10" s="281" t="s">
        <v>123</v>
      </c>
      <c r="B10" s="280">
        <v>7</v>
      </c>
      <c r="C10">
        <v>2</v>
      </c>
      <c r="D10" t="s">
        <v>338</v>
      </c>
      <c r="E10">
        <v>5</v>
      </c>
      <c r="I10">
        <v>784</v>
      </c>
      <c r="Q10">
        <v>232601</v>
      </c>
      <c r="S10">
        <v>83.311483717792257</v>
      </c>
    </row>
    <row r="11" spans="1:19" x14ac:dyDescent="0.3">
      <c r="A11" s="279" t="s">
        <v>124</v>
      </c>
      <c r="B11" s="278">
        <v>8</v>
      </c>
      <c r="C11">
        <v>2</v>
      </c>
      <c r="D11">
        <v>523</v>
      </c>
      <c r="E11">
        <v>5</v>
      </c>
      <c r="I11">
        <v>784</v>
      </c>
      <c r="Q11">
        <v>232601</v>
      </c>
    </row>
    <row r="12" spans="1:19" x14ac:dyDescent="0.3">
      <c r="A12" s="281" t="s">
        <v>125</v>
      </c>
      <c r="B12" s="280">
        <v>9</v>
      </c>
      <c r="C12">
        <v>2</v>
      </c>
      <c r="D12">
        <v>526</v>
      </c>
      <c r="S12">
        <v>83.311483717792257</v>
      </c>
    </row>
    <row r="13" spans="1:19" x14ac:dyDescent="0.3">
      <c r="A13" s="279" t="s">
        <v>126</v>
      </c>
      <c r="B13" s="278">
        <v>10</v>
      </c>
      <c r="C13">
        <v>2</v>
      </c>
      <c r="D13" t="s">
        <v>339</v>
      </c>
      <c r="Q13">
        <v>3512</v>
      </c>
    </row>
    <row r="14" spans="1:19" x14ac:dyDescent="0.3">
      <c r="A14" s="281" t="s">
        <v>127</v>
      </c>
      <c r="B14" s="280">
        <v>11</v>
      </c>
      <c r="C14">
        <v>2</v>
      </c>
      <c r="D14">
        <v>30</v>
      </c>
      <c r="Q14">
        <v>3512</v>
      </c>
    </row>
    <row r="15" spans="1:19" x14ac:dyDescent="0.3">
      <c r="A15" s="279" t="s">
        <v>128</v>
      </c>
      <c r="B15" s="278">
        <v>12</v>
      </c>
      <c r="C15" t="s">
        <v>341</v>
      </c>
      <c r="E15">
        <v>5</v>
      </c>
      <c r="I15">
        <v>784</v>
      </c>
      <c r="Q15">
        <v>236113</v>
      </c>
      <c r="S15">
        <v>83.311483717792257</v>
      </c>
    </row>
    <row r="16" spans="1:19" x14ac:dyDescent="0.3">
      <c r="A16" s="277" t="s">
        <v>116</v>
      </c>
      <c r="B16" s="276">
        <v>2018</v>
      </c>
      <c r="C16">
        <v>3</v>
      </c>
      <c r="D16" t="s">
        <v>338</v>
      </c>
      <c r="E16">
        <v>5</v>
      </c>
      <c r="I16">
        <v>832</v>
      </c>
      <c r="Q16">
        <v>233128</v>
      </c>
      <c r="R16">
        <v>3200</v>
      </c>
      <c r="S16">
        <v>83.311483717792257</v>
      </c>
    </row>
    <row r="17" spans="3:19" x14ac:dyDescent="0.3">
      <c r="C17">
        <v>3</v>
      </c>
      <c r="D17">
        <v>523</v>
      </c>
      <c r="E17">
        <v>5</v>
      </c>
      <c r="I17">
        <v>832</v>
      </c>
      <c r="Q17">
        <v>233128</v>
      </c>
    </row>
    <row r="18" spans="3:19" x14ac:dyDescent="0.3">
      <c r="C18">
        <v>3</v>
      </c>
      <c r="D18">
        <v>526</v>
      </c>
      <c r="R18">
        <v>3200</v>
      </c>
      <c r="S18">
        <v>83.311483717792257</v>
      </c>
    </row>
    <row r="19" spans="3:19" x14ac:dyDescent="0.3">
      <c r="C19">
        <v>3</v>
      </c>
      <c r="D19" t="s">
        <v>339</v>
      </c>
      <c r="Q19">
        <v>3444</v>
      </c>
    </row>
    <row r="20" spans="3:19" x14ac:dyDescent="0.3">
      <c r="C20">
        <v>3</v>
      </c>
      <c r="D20">
        <v>30</v>
      </c>
      <c r="Q20">
        <v>3444</v>
      </c>
    </row>
    <row r="21" spans="3:19" x14ac:dyDescent="0.3">
      <c r="C21" t="s">
        <v>342</v>
      </c>
      <c r="E21">
        <v>5</v>
      </c>
      <c r="I21">
        <v>832</v>
      </c>
      <c r="Q21">
        <v>236572</v>
      </c>
      <c r="R21">
        <v>3200</v>
      </c>
      <c r="S21">
        <v>83.311483717792257</v>
      </c>
    </row>
    <row r="22" spans="3:19" x14ac:dyDescent="0.3">
      <c r="C22">
        <v>4</v>
      </c>
      <c r="D22" t="s">
        <v>338</v>
      </c>
      <c r="E22">
        <v>5</v>
      </c>
      <c r="I22">
        <v>760</v>
      </c>
      <c r="Q22">
        <v>232881</v>
      </c>
      <c r="S22">
        <v>83.311483717792257</v>
      </c>
    </row>
    <row r="23" spans="3:19" x14ac:dyDescent="0.3">
      <c r="C23">
        <v>4</v>
      </c>
      <c r="D23">
        <v>523</v>
      </c>
      <c r="E23">
        <v>5</v>
      </c>
      <c r="I23">
        <v>760</v>
      </c>
      <c r="Q23">
        <v>232881</v>
      </c>
    </row>
    <row r="24" spans="3:19" x14ac:dyDescent="0.3">
      <c r="C24">
        <v>4</v>
      </c>
      <c r="D24">
        <v>526</v>
      </c>
      <c r="S24">
        <v>83.311483717792257</v>
      </c>
    </row>
    <row r="25" spans="3:19" x14ac:dyDescent="0.3">
      <c r="C25">
        <v>4</v>
      </c>
      <c r="D25" t="s">
        <v>339</v>
      </c>
      <c r="Q25">
        <v>3344</v>
      </c>
    </row>
    <row r="26" spans="3:19" x14ac:dyDescent="0.3">
      <c r="C26">
        <v>4</v>
      </c>
      <c r="D26">
        <v>30</v>
      </c>
      <c r="Q26">
        <v>3344</v>
      </c>
    </row>
    <row r="27" spans="3:19" x14ac:dyDescent="0.3">
      <c r="C27" t="s">
        <v>343</v>
      </c>
      <c r="E27">
        <v>5</v>
      </c>
      <c r="I27">
        <v>760</v>
      </c>
      <c r="Q27">
        <v>236225</v>
      </c>
      <c r="S27">
        <v>83.311483717792257</v>
      </c>
    </row>
    <row r="28" spans="3:19" x14ac:dyDescent="0.3">
      <c r="C28">
        <v>5</v>
      </c>
      <c r="D28" t="s">
        <v>338</v>
      </c>
      <c r="E28">
        <v>5</v>
      </c>
      <c r="I28">
        <v>864</v>
      </c>
      <c r="Q28">
        <v>234036</v>
      </c>
      <c r="S28">
        <v>83.311483717792257</v>
      </c>
    </row>
    <row r="29" spans="3:19" x14ac:dyDescent="0.3">
      <c r="C29">
        <v>5</v>
      </c>
      <c r="D29">
        <v>523</v>
      </c>
      <c r="E29">
        <v>5</v>
      </c>
      <c r="I29">
        <v>864</v>
      </c>
      <c r="Q29">
        <v>234036</v>
      </c>
    </row>
    <row r="30" spans="3:19" x14ac:dyDescent="0.3">
      <c r="C30">
        <v>5</v>
      </c>
      <c r="D30">
        <v>526</v>
      </c>
      <c r="S30">
        <v>83.311483717792257</v>
      </c>
    </row>
    <row r="31" spans="3:19" x14ac:dyDescent="0.3">
      <c r="C31">
        <v>5</v>
      </c>
      <c r="D31" t="s">
        <v>339</v>
      </c>
      <c r="Q31">
        <v>3374</v>
      </c>
    </row>
    <row r="32" spans="3:19" x14ac:dyDescent="0.3">
      <c r="C32">
        <v>5</v>
      </c>
      <c r="D32">
        <v>30</v>
      </c>
      <c r="Q32">
        <v>3374</v>
      </c>
    </row>
    <row r="33" spans="3:19" x14ac:dyDescent="0.3">
      <c r="C33" t="s">
        <v>344</v>
      </c>
      <c r="E33">
        <v>5</v>
      </c>
      <c r="I33">
        <v>864</v>
      </c>
      <c r="Q33">
        <v>237410</v>
      </c>
      <c r="S33">
        <v>83.311483717792257</v>
      </c>
    </row>
    <row r="34" spans="3:19" x14ac:dyDescent="0.3">
      <c r="C34">
        <v>6</v>
      </c>
      <c r="D34" t="s">
        <v>338</v>
      </c>
      <c r="E34">
        <v>5</v>
      </c>
      <c r="I34">
        <v>784</v>
      </c>
      <c r="Q34">
        <v>232732</v>
      </c>
      <c r="S34">
        <v>83.311483717792257</v>
      </c>
    </row>
    <row r="35" spans="3:19" x14ac:dyDescent="0.3">
      <c r="C35">
        <v>6</v>
      </c>
      <c r="D35">
        <v>523</v>
      </c>
      <c r="E35">
        <v>5</v>
      </c>
      <c r="I35">
        <v>784</v>
      </c>
      <c r="Q35">
        <v>232732</v>
      </c>
    </row>
    <row r="36" spans="3:19" x14ac:dyDescent="0.3">
      <c r="C36">
        <v>6</v>
      </c>
      <c r="D36">
        <v>526</v>
      </c>
      <c r="S36">
        <v>83.311483717792257</v>
      </c>
    </row>
    <row r="37" spans="3:19" x14ac:dyDescent="0.3">
      <c r="C37">
        <v>6</v>
      </c>
      <c r="D37" t="s">
        <v>339</v>
      </c>
      <c r="Q37">
        <v>3608</v>
      </c>
    </row>
    <row r="38" spans="3:19" x14ac:dyDescent="0.3">
      <c r="C38">
        <v>6</v>
      </c>
      <c r="D38">
        <v>30</v>
      </c>
      <c r="Q38">
        <v>3608</v>
      </c>
    </row>
    <row r="39" spans="3:19" x14ac:dyDescent="0.3">
      <c r="C39" t="s">
        <v>345</v>
      </c>
      <c r="E39">
        <v>5</v>
      </c>
      <c r="I39">
        <v>784</v>
      </c>
      <c r="Q39">
        <v>236340</v>
      </c>
      <c r="S39">
        <v>83.311483717792257</v>
      </c>
    </row>
    <row r="40" spans="3:19" x14ac:dyDescent="0.3">
      <c r="C40">
        <v>7</v>
      </c>
      <c r="D40" t="s">
        <v>338</v>
      </c>
      <c r="E40">
        <v>5</v>
      </c>
      <c r="I40">
        <v>584</v>
      </c>
      <c r="O40">
        <v>83740</v>
      </c>
      <c r="P40">
        <v>83740</v>
      </c>
      <c r="Q40">
        <v>263033</v>
      </c>
      <c r="S40">
        <v>83.311483717792257</v>
      </c>
    </row>
    <row r="41" spans="3:19" x14ac:dyDescent="0.3">
      <c r="C41">
        <v>7</v>
      </c>
      <c r="D41">
        <v>523</v>
      </c>
      <c r="E41">
        <v>5</v>
      </c>
      <c r="I41">
        <v>584</v>
      </c>
      <c r="O41">
        <v>83740</v>
      </c>
      <c r="P41">
        <v>83740</v>
      </c>
      <c r="Q41">
        <v>263033</v>
      </c>
    </row>
    <row r="42" spans="3:19" x14ac:dyDescent="0.3">
      <c r="C42">
        <v>7</v>
      </c>
      <c r="D42">
        <v>526</v>
      </c>
      <c r="S42">
        <v>83.311483717792257</v>
      </c>
    </row>
    <row r="43" spans="3:19" x14ac:dyDescent="0.3">
      <c r="C43">
        <v>7</v>
      </c>
      <c r="D43" t="s">
        <v>339</v>
      </c>
      <c r="Q43">
        <v>2016</v>
      </c>
    </row>
    <row r="44" spans="3:19" x14ac:dyDescent="0.3">
      <c r="C44">
        <v>7</v>
      </c>
      <c r="D44">
        <v>30</v>
      </c>
      <c r="Q44">
        <v>2016</v>
      </c>
    </row>
    <row r="45" spans="3:19" x14ac:dyDescent="0.3">
      <c r="C45" t="s">
        <v>346</v>
      </c>
      <c r="E45">
        <v>5</v>
      </c>
      <c r="I45">
        <v>584</v>
      </c>
      <c r="O45">
        <v>83740</v>
      </c>
      <c r="P45">
        <v>83740</v>
      </c>
      <c r="Q45">
        <v>265049</v>
      </c>
      <c r="S45">
        <v>83.311483717792257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9" hidden="1" customWidth="1" outlineLevel="1"/>
    <col min="10" max="10" width="7.77734375" style="179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9" hidden="1" customWidth="1" outlineLevel="1"/>
    <col min="19" max="19" width="7.77734375" style="179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9" hidden="1" customWidth="1" outlineLevel="1"/>
    <col min="28" max="28" width="7.77734375" style="179" customWidth="1" collapsed="1"/>
    <col min="29" max="16384" width="8.88671875" style="101"/>
  </cols>
  <sheetData>
    <row r="1" spans="1:28" ht="18.600000000000001" customHeight="1" thickBot="1" x14ac:dyDescent="0.4">
      <c r="A1" s="367" t="s">
        <v>353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" customHeight="1" thickBot="1" x14ac:dyDescent="0.35">
      <c r="A2" s="193" t="s">
        <v>219</v>
      </c>
      <c r="B2" s="83"/>
      <c r="C2" s="83"/>
      <c r="D2" s="83"/>
      <c r="E2" s="83"/>
      <c r="F2" s="83"/>
      <c r="G2" s="83"/>
      <c r="H2" s="83"/>
      <c r="I2" s="188"/>
      <c r="J2" s="188"/>
      <c r="K2" s="83"/>
      <c r="L2" s="83"/>
      <c r="M2" s="83"/>
      <c r="N2" s="83"/>
      <c r="O2" s="83"/>
      <c r="P2" s="83"/>
      <c r="Q2" s="83"/>
      <c r="R2" s="188"/>
      <c r="S2" s="188"/>
      <c r="T2" s="83"/>
      <c r="U2" s="83"/>
      <c r="V2" s="83"/>
      <c r="W2" s="83"/>
      <c r="X2" s="83"/>
      <c r="Y2" s="83"/>
      <c r="Z2" s="83"/>
      <c r="AA2" s="188"/>
      <c r="AB2" s="188"/>
    </row>
    <row r="3" spans="1:28" ht="14.4" customHeight="1" thickBot="1" x14ac:dyDescent="0.35">
      <c r="A3" s="181" t="s">
        <v>99</v>
      </c>
      <c r="B3" s="182">
        <f>SUBTOTAL(9,B6:B1048576)/4</f>
        <v>452727.34</v>
      </c>
      <c r="C3" s="183">
        <f t="shared" ref="C3:Z3" si="0">SUBTOTAL(9,C6:C1048576)</f>
        <v>4</v>
      </c>
      <c r="D3" s="183"/>
      <c r="E3" s="183">
        <f>SUBTOTAL(9,E6:E1048576)/4</f>
        <v>457832.33999999997</v>
      </c>
      <c r="F3" s="183"/>
      <c r="G3" s="183">
        <f t="shared" si="0"/>
        <v>4</v>
      </c>
      <c r="H3" s="183">
        <f>SUBTOTAL(9,H6:H1048576)/4</f>
        <v>575469.66999999993</v>
      </c>
      <c r="I3" s="186">
        <f>IF(B3&lt;&gt;0,H3/B3,"")</f>
        <v>1.2711175560989973</v>
      </c>
      <c r="J3" s="184">
        <f>IF(E3&lt;&gt;0,H3/E3,"")</f>
        <v>1.2569441250043629</v>
      </c>
      <c r="K3" s="185">
        <f t="shared" si="0"/>
        <v>0</v>
      </c>
      <c r="L3" s="185"/>
      <c r="M3" s="183">
        <f t="shared" si="0"/>
        <v>0</v>
      </c>
      <c r="N3" s="183">
        <f t="shared" si="0"/>
        <v>0</v>
      </c>
      <c r="O3" s="183"/>
      <c r="P3" s="183">
        <f t="shared" si="0"/>
        <v>0</v>
      </c>
      <c r="Q3" s="183">
        <f t="shared" si="0"/>
        <v>0</v>
      </c>
      <c r="R3" s="186" t="str">
        <f>IF(K3&lt;&gt;0,Q3/K3,"")</f>
        <v/>
      </c>
      <c r="S3" s="186" t="str">
        <f>IF(N3&lt;&gt;0,Q3/N3,"")</f>
        <v/>
      </c>
      <c r="T3" s="182">
        <f t="shared" si="0"/>
        <v>0</v>
      </c>
      <c r="U3" s="185"/>
      <c r="V3" s="183">
        <f t="shared" si="0"/>
        <v>0</v>
      </c>
      <c r="W3" s="183">
        <f t="shared" si="0"/>
        <v>0</v>
      </c>
      <c r="X3" s="183"/>
      <c r="Y3" s="183">
        <f t="shared" si="0"/>
        <v>0</v>
      </c>
      <c r="Z3" s="183">
        <f t="shared" si="0"/>
        <v>0</v>
      </c>
      <c r="AA3" s="186" t="str">
        <f>IF(T3&lt;&gt;0,Z3/T3,"")</f>
        <v/>
      </c>
      <c r="AB3" s="184" t="str">
        <f>IF(W3&lt;&gt;0,Z3/W3,"")</f>
        <v/>
      </c>
    </row>
    <row r="4" spans="1:28" ht="14.4" customHeight="1" x14ac:dyDescent="0.3">
      <c r="A4" s="368" t="s">
        <v>160</v>
      </c>
      <c r="B4" s="369" t="s">
        <v>74</v>
      </c>
      <c r="C4" s="370"/>
      <c r="D4" s="371"/>
      <c r="E4" s="370"/>
      <c r="F4" s="371"/>
      <c r="G4" s="370"/>
      <c r="H4" s="370"/>
      <c r="I4" s="371"/>
      <c r="J4" s="372"/>
      <c r="K4" s="369" t="s">
        <v>75</v>
      </c>
      <c r="L4" s="371"/>
      <c r="M4" s="370"/>
      <c r="N4" s="370"/>
      <c r="O4" s="371"/>
      <c r="P4" s="370"/>
      <c r="Q4" s="370"/>
      <c r="R4" s="371"/>
      <c r="S4" s="372"/>
      <c r="T4" s="369" t="s">
        <v>76</v>
      </c>
      <c r="U4" s="371"/>
      <c r="V4" s="370"/>
      <c r="W4" s="370"/>
      <c r="X4" s="371"/>
      <c r="Y4" s="370"/>
      <c r="Z4" s="370"/>
      <c r="AA4" s="371"/>
      <c r="AB4" s="372"/>
    </row>
    <row r="5" spans="1:28" ht="14.4" customHeight="1" thickBot="1" x14ac:dyDescent="0.35">
      <c r="A5" s="444"/>
      <c r="B5" s="445">
        <v>2015</v>
      </c>
      <c r="C5" s="446"/>
      <c r="D5" s="446"/>
      <c r="E5" s="446">
        <v>2017</v>
      </c>
      <c r="F5" s="446"/>
      <c r="G5" s="446"/>
      <c r="H5" s="446">
        <v>2018</v>
      </c>
      <c r="I5" s="447" t="s">
        <v>161</v>
      </c>
      <c r="J5" s="448" t="s">
        <v>2</v>
      </c>
      <c r="K5" s="445">
        <v>2015</v>
      </c>
      <c r="L5" s="446"/>
      <c r="M5" s="446"/>
      <c r="N5" s="446">
        <v>2017</v>
      </c>
      <c r="O5" s="446"/>
      <c r="P5" s="446"/>
      <c r="Q5" s="446">
        <v>2018</v>
      </c>
      <c r="R5" s="447" t="s">
        <v>161</v>
      </c>
      <c r="S5" s="448" t="s">
        <v>2</v>
      </c>
      <c r="T5" s="445">
        <v>2015</v>
      </c>
      <c r="U5" s="446"/>
      <c r="V5" s="446"/>
      <c r="W5" s="446">
        <v>2017</v>
      </c>
      <c r="X5" s="446"/>
      <c r="Y5" s="446"/>
      <c r="Z5" s="446">
        <v>2018</v>
      </c>
      <c r="AA5" s="447" t="s">
        <v>161</v>
      </c>
      <c r="AB5" s="448" t="s">
        <v>2</v>
      </c>
    </row>
    <row r="6" spans="1:28" ht="14.4" customHeight="1" x14ac:dyDescent="0.3">
      <c r="A6" s="449" t="s">
        <v>351</v>
      </c>
      <c r="B6" s="450">
        <v>452727.33999999997</v>
      </c>
      <c r="C6" s="451">
        <v>1</v>
      </c>
      <c r="D6" s="451">
        <v>0.98884962997589909</v>
      </c>
      <c r="E6" s="450">
        <v>457832.33999999997</v>
      </c>
      <c r="F6" s="451">
        <v>1.0112761027421051</v>
      </c>
      <c r="G6" s="451">
        <v>1</v>
      </c>
      <c r="H6" s="450">
        <v>575469.66999999993</v>
      </c>
      <c r="I6" s="451">
        <v>1.2711175560989976</v>
      </c>
      <c r="J6" s="451">
        <v>1.2569441250043629</v>
      </c>
      <c r="K6" s="450"/>
      <c r="L6" s="451"/>
      <c r="M6" s="451"/>
      <c r="N6" s="450"/>
      <c r="O6" s="451"/>
      <c r="P6" s="451"/>
      <c r="Q6" s="450"/>
      <c r="R6" s="451"/>
      <c r="S6" s="451"/>
      <c r="T6" s="450"/>
      <c r="U6" s="451"/>
      <c r="V6" s="451"/>
      <c r="W6" s="450"/>
      <c r="X6" s="451"/>
      <c r="Y6" s="451"/>
      <c r="Z6" s="450"/>
      <c r="AA6" s="451"/>
      <c r="AB6" s="452"/>
    </row>
    <row r="7" spans="1:28" ht="14.4" customHeight="1" thickBot="1" x14ac:dyDescent="0.35">
      <c r="A7" s="456" t="s">
        <v>352</v>
      </c>
      <c r="B7" s="453">
        <v>452727.33999999997</v>
      </c>
      <c r="C7" s="454">
        <v>1</v>
      </c>
      <c r="D7" s="454">
        <v>0.98884962997589909</v>
      </c>
      <c r="E7" s="453">
        <v>457832.33999999997</v>
      </c>
      <c r="F7" s="454">
        <v>1.0112761027421051</v>
      </c>
      <c r="G7" s="454">
        <v>1</v>
      </c>
      <c r="H7" s="453">
        <v>575469.66999999993</v>
      </c>
      <c r="I7" s="454">
        <v>1.2711175560989976</v>
      </c>
      <c r="J7" s="454">
        <v>1.2569441250043629</v>
      </c>
      <c r="K7" s="453"/>
      <c r="L7" s="454"/>
      <c r="M7" s="454"/>
      <c r="N7" s="453"/>
      <c r="O7" s="454"/>
      <c r="P7" s="454"/>
      <c r="Q7" s="453"/>
      <c r="R7" s="454"/>
      <c r="S7" s="454"/>
      <c r="T7" s="453"/>
      <c r="U7" s="454"/>
      <c r="V7" s="454"/>
      <c r="W7" s="453"/>
      <c r="X7" s="454"/>
      <c r="Y7" s="454"/>
      <c r="Z7" s="453"/>
      <c r="AA7" s="454"/>
      <c r="AB7" s="455"/>
    </row>
    <row r="8" spans="1:28" ht="14.4" customHeight="1" thickBot="1" x14ac:dyDescent="0.35"/>
    <row r="9" spans="1:28" ht="14.4" customHeight="1" x14ac:dyDescent="0.3">
      <c r="A9" s="449" t="s">
        <v>328</v>
      </c>
      <c r="B9" s="450">
        <v>452727.34</v>
      </c>
      <c r="C9" s="451">
        <v>1</v>
      </c>
      <c r="D9" s="451">
        <v>0.9888496299758992</v>
      </c>
      <c r="E9" s="450">
        <v>457832.33999999997</v>
      </c>
      <c r="F9" s="451">
        <v>1.0112761027421051</v>
      </c>
      <c r="G9" s="451">
        <v>1</v>
      </c>
      <c r="H9" s="450">
        <v>575469.66999999993</v>
      </c>
      <c r="I9" s="451">
        <v>1.2711175560989973</v>
      </c>
      <c r="J9" s="452">
        <v>1.2569441250043629</v>
      </c>
    </row>
    <row r="10" spans="1:28" ht="14.4" customHeight="1" thickBot="1" x14ac:dyDescent="0.35">
      <c r="A10" s="456" t="s">
        <v>354</v>
      </c>
      <c r="B10" s="453">
        <v>452727.34</v>
      </c>
      <c r="C10" s="454">
        <v>1</v>
      </c>
      <c r="D10" s="454">
        <v>0.9888496299758992</v>
      </c>
      <c r="E10" s="453">
        <v>457832.33999999997</v>
      </c>
      <c r="F10" s="454">
        <v>1.0112761027421051</v>
      </c>
      <c r="G10" s="454">
        <v>1</v>
      </c>
      <c r="H10" s="453">
        <v>575469.66999999993</v>
      </c>
      <c r="I10" s="454">
        <v>1.2711175560989973</v>
      </c>
      <c r="J10" s="455">
        <v>1.2569441250043629</v>
      </c>
    </row>
    <row r="11" spans="1:28" ht="14.4" customHeight="1" x14ac:dyDescent="0.3">
      <c r="A11" s="457" t="s">
        <v>196</v>
      </c>
    </row>
    <row r="12" spans="1:28" ht="14.4" customHeight="1" x14ac:dyDescent="0.3">
      <c r="A12" s="458" t="s">
        <v>355</v>
      </c>
    </row>
    <row r="13" spans="1:28" ht="14.4" customHeight="1" x14ac:dyDescent="0.3">
      <c r="A13" s="457" t="s">
        <v>356</v>
      </c>
    </row>
    <row r="14" spans="1:28" ht="14.4" customHeight="1" x14ac:dyDescent="0.3">
      <c r="A14" s="457" t="s">
        <v>357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6" hidden="1" customWidth="1" outlineLevel="1"/>
    <col min="3" max="3" width="7.77734375" style="176" customWidth="1" collapsed="1"/>
    <col min="4" max="4" width="7.77734375" style="176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67" t="s">
        <v>358</v>
      </c>
      <c r="B1" s="288"/>
      <c r="C1" s="288"/>
      <c r="D1" s="288"/>
      <c r="E1" s="288"/>
      <c r="F1" s="288"/>
      <c r="G1" s="288"/>
    </row>
    <row r="2" spans="1:7" ht="14.4" customHeight="1" thickBot="1" x14ac:dyDescent="0.35">
      <c r="A2" s="193" t="s">
        <v>219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34" t="s">
        <v>99</v>
      </c>
      <c r="B3" s="220">
        <f t="shared" ref="B3:G3" si="0">SUBTOTAL(9,B6:B1048576)</f>
        <v>993</v>
      </c>
      <c r="C3" s="221">
        <f t="shared" si="0"/>
        <v>992</v>
      </c>
      <c r="D3" s="233">
        <f t="shared" si="0"/>
        <v>1243</v>
      </c>
      <c r="E3" s="185">
        <f t="shared" si="0"/>
        <v>452727.34</v>
      </c>
      <c r="F3" s="183">
        <f t="shared" si="0"/>
        <v>457832.33999999997</v>
      </c>
      <c r="G3" s="222">
        <f t="shared" si="0"/>
        <v>575469.66999999993</v>
      </c>
    </row>
    <row r="4" spans="1:7" ht="14.4" customHeight="1" x14ac:dyDescent="0.3">
      <c r="A4" s="368" t="s">
        <v>100</v>
      </c>
      <c r="B4" s="373" t="s">
        <v>158</v>
      </c>
      <c r="C4" s="371"/>
      <c r="D4" s="374"/>
      <c r="E4" s="373" t="s">
        <v>74</v>
      </c>
      <c r="F4" s="371"/>
      <c r="G4" s="374"/>
    </row>
    <row r="5" spans="1:7" ht="14.4" customHeight="1" thickBot="1" x14ac:dyDescent="0.35">
      <c r="A5" s="444"/>
      <c r="B5" s="445">
        <v>2015</v>
      </c>
      <c r="C5" s="446">
        <v>2017</v>
      </c>
      <c r="D5" s="459">
        <v>2018</v>
      </c>
      <c r="E5" s="445">
        <v>2015</v>
      </c>
      <c r="F5" s="446">
        <v>2017</v>
      </c>
      <c r="G5" s="459">
        <v>2018</v>
      </c>
    </row>
    <row r="6" spans="1:7" ht="14.4" customHeight="1" thickBot="1" x14ac:dyDescent="0.35">
      <c r="A6" s="463" t="s">
        <v>354</v>
      </c>
      <c r="B6" s="460">
        <v>993</v>
      </c>
      <c r="C6" s="460">
        <v>992</v>
      </c>
      <c r="D6" s="460">
        <v>1243</v>
      </c>
      <c r="E6" s="461">
        <v>452727.34</v>
      </c>
      <c r="F6" s="461">
        <v>457832.33999999997</v>
      </c>
      <c r="G6" s="462">
        <v>575469.66999999993</v>
      </c>
    </row>
    <row r="7" spans="1:7" ht="14.4" customHeight="1" x14ac:dyDescent="0.3">
      <c r="A7" s="457" t="s">
        <v>196</v>
      </c>
    </row>
    <row r="8" spans="1:7" ht="14.4" customHeight="1" x14ac:dyDescent="0.3">
      <c r="A8" s="458" t="s">
        <v>355</v>
      </c>
    </row>
    <row r="9" spans="1:7" ht="14.4" customHeight="1" x14ac:dyDescent="0.3">
      <c r="A9" s="457" t="s">
        <v>356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6" hidden="1" customWidth="1" outlineLevel="1"/>
    <col min="9" max="10" width="9.33203125" style="101" hidden="1" customWidth="1"/>
    <col min="11" max="12" width="11.109375" style="176" customWidth="1"/>
    <col min="13" max="14" width="9.33203125" style="101" hidden="1" customWidth="1"/>
    <col min="15" max="16" width="11.109375" style="176" customWidth="1"/>
    <col min="17" max="17" width="11.109375" style="179" customWidth="1"/>
    <col min="18" max="18" width="11.109375" style="176" customWidth="1"/>
    <col min="19" max="16384" width="8.88671875" style="101"/>
  </cols>
  <sheetData>
    <row r="1" spans="1:18" ht="18.600000000000001" customHeight="1" thickBot="1" x14ac:dyDescent="0.4">
      <c r="A1" s="288" t="s">
        <v>380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</row>
    <row r="2" spans="1:18" ht="14.4" customHeight="1" thickBot="1" x14ac:dyDescent="0.35">
      <c r="A2" s="193" t="s">
        <v>219</v>
      </c>
      <c r="B2" s="166"/>
      <c r="C2" s="166"/>
      <c r="D2" s="83"/>
      <c r="E2" s="83"/>
      <c r="F2" s="83"/>
      <c r="G2" s="191"/>
      <c r="H2" s="191"/>
      <c r="I2" s="83"/>
      <c r="J2" s="83"/>
      <c r="K2" s="191"/>
      <c r="L2" s="191"/>
      <c r="M2" s="83"/>
      <c r="N2" s="83"/>
      <c r="O2" s="191"/>
      <c r="P2" s="191"/>
      <c r="Q2" s="188"/>
      <c r="R2" s="191"/>
    </row>
    <row r="3" spans="1:18" ht="14.4" customHeight="1" thickBot="1" x14ac:dyDescent="0.35">
      <c r="F3" s="62" t="s">
        <v>99</v>
      </c>
      <c r="G3" s="74">
        <f t="shared" ref="G3:P3" si="0">SUBTOTAL(9,G6:G1048576)</f>
        <v>993</v>
      </c>
      <c r="H3" s="75">
        <f t="shared" si="0"/>
        <v>452727.33999999997</v>
      </c>
      <c r="I3" s="57"/>
      <c r="J3" s="57"/>
      <c r="K3" s="75">
        <f t="shared" si="0"/>
        <v>992</v>
      </c>
      <c r="L3" s="75">
        <f t="shared" si="0"/>
        <v>457832.34</v>
      </c>
      <c r="M3" s="57"/>
      <c r="N3" s="57"/>
      <c r="O3" s="75">
        <f t="shared" si="0"/>
        <v>1243</v>
      </c>
      <c r="P3" s="75">
        <f t="shared" si="0"/>
        <v>575469.66999999993</v>
      </c>
      <c r="Q3" s="58">
        <f>IF(L3=0,0,P3/L3)</f>
        <v>1.2569441250043627</v>
      </c>
      <c r="R3" s="76">
        <f>IF(O3=0,0,P3/O3)</f>
        <v>462.96835880933219</v>
      </c>
    </row>
    <row r="4" spans="1:18" ht="14.4" customHeight="1" x14ac:dyDescent="0.3">
      <c r="A4" s="375" t="s">
        <v>162</v>
      </c>
      <c r="B4" s="375" t="s">
        <v>70</v>
      </c>
      <c r="C4" s="383" t="s">
        <v>0</v>
      </c>
      <c r="D4" s="377" t="s">
        <v>71</v>
      </c>
      <c r="E4" s="382" t="s">
        <v>46</v>
      </c>
      <c r="F4" s="378" t="s">
        <v>45</v>
      </c>
      <c r="G4" s="379">
        <v>2015</v>
      </c>
      <c r="H4" s="380"/>
      <c r="I4" s="73"/>
      <c r="J4" s="73"/>
      <c r="K4" s="379">
        <v>2017</v>
      </c>
      <c r="L4" s="380"/>
      <c r="M4" s="73"/>
      <c r="N4" s="73"/>
      <c r="O4" s="379">
        <v>2018</v>
      </c>
      <c r="P4" s="380"/>
      <c r="Q4" s="381" t="s">
        <v>2</v>
      </c>
      <c r="R4" s="376" t="s">
        <v>73</v>
      </c>
    </row>
    <row r="5" spans="1:18" ht="14.4" customHeight="1" thickBot="1" x14ac:dyDescent="0.35">
      <c r="A5" s="464"/>
      <c r="B5" s="464"/>
      <c r="C5" s="465"/>
      <c r="D5" s="466"/>
      <c r="E5" s="467"/>
      <c r="F5" s="468"/>
      <c r="G5" s="469" t="s">
        <v>47</v>
      </c>
      <c r="H5" s="470" t="s">
        <v>4</v>
      </c>
      <c r="I5" s="471"/>
      <c r="J5" s="471"/>
      <c r="K5" s="469" t="s">
        <v>47</v>
      </c>
      <c r="L5" s="470" t="s">
        <v>4</v>
      </c>
      <c r="M5" s="471"/>
      <c r="N5" s="471"/>
      <c r="O5" s="469" t="s">
        <v>47</v>
      </c>
      <c r="P5" s="470" t="s">
        <v>4</v>
      </c>
      <c r="Q5" s="472"/>
      <c r="R5" s="473"/>
    </row>
    <row r="6" spans="1:18" ht="14.4" customHeight="1" x14ac:dyDescent="0.3">
      <c r="A6" s="474" t="s">
        <v>359</v>
      </c>
      <c r="B6" s="475" t="s">
        <v>360</v>
      </c>
      <c r="C6" s="475" t="s">
        <v>328</v>
      </c>
      <c r="D6" s="475" t="s">
        <v>361</v>
      </c>
      <c r="E6" s="475" t="s">
        <v>362</v>
      </c>
      <c r="F6" s="475" t="s">
        <v>363</v>
      </c>
      <c r="G6" s="428">
        <v>1</v>
      </c>
      <c r="H6" s="428">
        <v>141</v>
      </c>
      <c r="I6" s="475"/>
      <c r="J6" s="475">
        <v>141</v>
      </c>
      <c r="K6" s="428"/>
      <c r="L6" s="428"/>
      <c r="M6" s="475"/>
      <c r="N6" s="475"/>
      <c r="O6" s="428">
        <v>1</v>
      </c>
      <c r="P6" s="428">
        <v>142</v>
      </c>
      <c r="Q6" s="429"/>
      <c r="R6" s="440">
        <v>142</v>
      </c>
    </row>
    <row r="7" spans="1:18" ht="14.4" customHeight="1" x14ac:dyDescent="0.3">
      <c r="A7" s="476" t="s">
        <v>359</v>
      </c>
      <c r="B7" s="477" t="s">
        <v>360</v>
      </c>
      <c r="C7" s="477" t="s">
        <v>328</v>
      </c>
      <c r="D7" s="477" t="s">
        <v>361</v>
      </c>
      <c r="E7" s="477" t="s">
        <v>362</v>
      </c>
      <c r="F7" s="477" t="s">
        <v>364</v>
      </c>
      <c r="G7" s="478"/>
      <c r="H7" s="478"/>
      <c r="I7" s="477"/>
      <c r="J7" s="477"/>
      <c r="K7" s="478">
        <v>5</v>
      </c>
      <c r="L7" s="478">
        <v>705</v>
      </c>
      <c r="M7" s="477">
        <v>1</v>
      </c>
      <c r="N7" s="477">
        <v>141</v>
      </c>
      <c r="O7" s="478">
        <v>1</v>
      </c>
      <c r="P7" s="478">
        <v>142</v>
      </c>
      <c r="Q7" s="479">
        <v>0.20141843971631207</v>
      </c>
      <c r="R7" s="480">
        <v>142</v>
      </c>
    </row>
    <row r="8" spans="1:18" ht="14.4" customHeight="1" x14ac:dyDescent="0.3">
      <c r="A8" s="476" t="s">
        <v>359</v>
      </c>
      <c r="B8" s="477" t="s">
        <v>360</v>
      </c>
      <c r="C8" s="477" t="s">
        <v>328</v>
      </c>
      <c r="D8" s="477" t="s">
        <v>361</v>
      </c>
      <c r="E8" s="477" t="s">
        <v>365</v>
      </c>
      <c r="F8" s="477" t="s">
        <v>366</v>
      </c>
      <c r="G8" s="478">
        <v>144</v>
      </c>
      <c r="H8" s="478">
        <v>41040</v>
      </c>
      <c r="I8" s="477">
        <v>1.0815939278937381</v>
      </c>
      <c r="J8" s="477">
        <v>285</v>
      </c>
      <c r="K8" s="478">
        <v>136</v>
      </c>
      <c r="L8" s="478">
        <v>37944</v>
      </c>
      <c r="M8" s="477">
        <v>1</v>
      </c>
      <c r="N8" s="477">
        <v>279</v>
      </c>
      <c r="O8" s="478">
        <v>164</v>
      </c>
      <c r="P8" s="478">
        <v>47396</v>
      </c>
      <c r="Q8" s="479">
        <v>1.2491039426523298</v>
      </c>
      <c r="R8" s="480">
        <v>289</v>
      </c>
    </row>
    <row r="9" spans="1:18" ht="14.4" customHeight="1" x14ac:dyDescent="0.3">
      <c r="A9" s="476" t="s">
        <v>359</v>
      </c>
      <c r="B9" s="477" t="s">
        <v>360</v>
      </c>
      <c r="C9" s="477" t="s">
        <v>328</v>
      </c>
      <c r="D9" s="477" t="s">
        <v>361</v>
      </c>
      <c r="E9" s="477" t="s">
        <v>367</v>
      </c>
      <c r="F9" s="477" t="s">
        <v>368</v>
      </c>
      <c r="G9" s="478">
        <v>503</v>
      </c>
      <c r="H9" s="478">
        <v>278159</v>
      </c>
      <c r="I9" s="477">
        <v>0.96186217962017784</v>
      </c>
      <c r="J9" s="477">
        <v>553</v>
      </c>
      <c r="K9" s="478">
        <v>522</v>
      </c>
      <c r="L9" s="478">
        <v>289188</v>
      </c>
      <c r="M9" s="477">
        <v>1</v>
      </c>
      <c r="N9" s="477">
        <v>554</v>
      </c>
      <c r="O9" s="478">
        <v>658</v>
      </c>
      <c r="P9" s="478">
        <v>365190</v>
      </c>
      <c r="Q9" s="479">
        <v>1.2628117349267605</v>
      </c>
      <c r="R9" s="480">
        <v>555</v>
      </c>
    </row>
    <row r="10" spans="1:18" ht="14.4" customHeight="1" x14ac:dyDescent="0.3">
      <c r="A10" s="476" t="s">
        <v>359</v>
      </c>
      <c r="B10" s="477" t="s">
        <v>360</v>
      </c>
      <c r="C10" s="477" t="s">
        <v>328</v>
      </c>
      <c r="D10" s="477" t="s">
        <v>361</v>
      </c>
      <c r="E10" s="477" t="s">
        <v>369</v>
      </c>
      <c r="F10" s="477" t="s">
        <v>370</v>
      </c>
      <c r="G10" s="478">
        <v>8</v>
      </c>
      <c r="H10" s="478">
        <v>266.67</v>
      </c>
      <c r="I10" s="477"/>
      <c r="J10" s="477">
        <v>33.333750000000002</v>
      </c>
      <c r="K10" s="478"/>
      <c r="L10" s="478"/>
      <c r="M10" s="477"/>
      <c r="N10" s="477"/>
      <c r="O10" s="478"/>
      <c r="P10" s="478"/>
      <c r="Q10" s="479"/>
      <c r="R10" s="480"/>
    </row>
    <row r="11" spans="1:18" ht="14.4" customHeight="1" x14ac:dyDescent="0.3">
      <c r="A11" s="476" t="s">
        <v>359</v>
      </c>
      <c r="B11" s="477" t="s">
        <v>360</v>
      </c>
      <c r="C11" s="477" t="s">
        <v>328</v>
      </c>
      <c r="D11" s="477" t="s">
        <v>361</v>
      </c>
      <c r="E11" s="477" t="s">
        <v>369</v>
      </c>
      <c r="F11" s="477" t="s">
        <v>371</v>
      </c>
      <c r="G11" s="478">
        <v>20</v>
      </c>
      <c r="H11" s="478">
        <v>666.67</v>
      </c>
      <c r="I11" s="477">
        <v>0.79999760001919973</v>
      </c>
      <c r="J11" s="477">
        <v>33.333500000000001</v>
      </c>
      <c r="K11" s="478">
        <v>25</v>
      </c>
      <c r="L11" s="478">
        <v>833.34</v>
      </c>
      <c r="M11" s="477">
        <v>1</v>
      </c>
      <c r="N11" s="477">
        <v>33.333600000000004</v>
      </c>
      <c r="O11" s="478">
        <v>35</v>
      </c>
      <c r="P11" s="478">
        <v>1166.6699999999998</v>
      </c>
      <c r="Q11" s="479">
        <v>1.3999928000575994</v>
      </c>
      <c r="R11" s="480">
        <v>33.33342857142857</v>
      </c>
    </row>
    <row r="12" spans="1:18" ht="14.4" customHeight="1" x14ac:dyDescent="0.3">
      <c r="A12" s="476" t="s">
        <v>359</v>
      </c>
      <c r="B12" s="477" t="s">
        <v>360</v>
      </c>
      <c r="C12" s="477" t="s">
        <v>328</v>
      </c>
      <c r="D12" s="477" t="s">
        <v>361</v>
      </c>
      <c r="E12" s="477" t="s">
        <v>372</v>
      </c>
      <c r="F12" s="477" t="s">
        <v>373</v>
      </c>
      <c r="G12" s="478"/>
      <c r="H12" s="478"/>
      <c r="I12" s="477"/>
      <c r="J12" s="477"/>
      <c r="K12" s="478">
        <v>1</v>
      </c>
      <c r="L12" s="478">
        <v>373</v>
      </c>
      <c r="M12" s="477">
        <v>1</v>
      </c>
      <c r="N12" s="477">
        <v>373</v>
      </c>
      <c r="O12" s="478">
        <v>1</v>
      </c>
      <c r="P12" s="478">
        <v>374</v>
      </c>
      <c r="Q12" s="479">
        <v>1.0026809651474531</v>
      </c>
      <c r="R12" s="480">
        <v>374</v>
      </c>
    </row>
    <row r="13" spans="1:18" ht="14.4" customHeight="1" x14ac:dyDescent="0.3">
      <c r="A13" s="476" t="s">
        <v>359</v>
      </c>
      <c r="B13" s="477" t="s">
        <v>360</v>
      </c>
      <c r="C13" s="477" t="s">
        <v>328</v>
      </c>
      <c r="D13" s="477" t="s">
        <v>361</v>
      </c>
      <c r="E13" s="477" t="s">
        <v>372</v>
      </c>
      <c r="F13" s="477" t="s">
        <v>374</v>
      </c>
      <c r="G13" s="478">
        <v>41</v>
      </c>
      <c r="H13" s="478">
        <v>15252</v>
      </c>
      <c r="I13" s="477">
        <v>1.5726954011136316</v>
      </c>
      <c r="J13" s="477">
        <v>372</v>
      </c>
      <c r="K13" s="478">
        <v>26</v>
      </c>
      <c r="L13" s="478">
        <v>9698</v>
      </c>
      <c r="M13" s="477">
        <v>1</v>
      </c>
      <c r="N13" s="477">
        <v>373</v>
      </c>
      <c r="O13" s="478">
        <v>27</v>
      </c>
      <c r="P13" s="478">
        <v>10098</v>
      </c>
      <c r="Q13" s="479">
        <v>1.0412456176531244</v>
      </c>
      <c r="R13" s="480">
        <v>374</v>
      </c>
    </row>
    <row r="14" spans="1:18" ht="14.4" customHeight="1" x14ac:dyDescent="0.3">
      <c r="A14" s="476" t="s">
        <v>359</v>
      </c>
      <c r="B14" s="477" t="s">
        <v>360</v>
      </c>
      <c r="C14" s="477" t="s">
        <v>328</v>
      </c>
      <c r="D14" s="477" t="s">
        <v>361</v>
      </c>
      <c r="E14" s="477" t="s">
        <v>375</v>
      </c>
      <c r="F14" s="477" t="s">
        <v>376</v>
      </c>
      <c r="G14" s="478">
        <v>254</v>
      </c>
      <c r="H14" s="478">
        <v>110998</v>
      </c>
      <c r="I14" s="477">
        <v>0.93649441046192783</v>
      </c>
      <c r="J14" s="477">
        <v>437</v>
      </c>
      <c r="K14" s="478">
        <v>275</v>
      </c>
      <c r="L14" s="478">
        <v>118525</v>
      </c>
      <c r="M14" s="477">
        <v>1</v>
      </c>
      <c r="N14" s="477">
        <v>431</v>
      </c>
      <c r="O14" s="478">
        <v>337</v>
      </c>
      <c r="P14" s="478">
        <v>145584</v>
      </c>
      <c r="Q14" s="479">
        <v>1.2282978274625607</v>
      </c>
      <c r="R14" s="480">
        <v>432</v>
      </c>
    </row>
    <row r="15" spans="1:18" ht="14.4" customHeight="1" x14ac:dyDescent="0.3">
      <c r="A15" s="476" t="s">
        <v>359</v>
      </c>
      <c r="B15" s="477" t="s">
        <v>360</v>
      </c>
      <c r="C15" s="477" t="s">
        <v>328</v>
      </c>
      <c r="D15" s="477" t="s">
        <v>361</v>
      </c>
      <c r="E15" s="477" t="s">
        <v>377</v>
      </c>
      <c r="F15" s="477" t="s">
        <v>378</v>
      </c>
      <c r="G15" s="478">
        <v>21</v>
      </c>
      <c r="H15" s="478">
        <v>5922</v>
      </c>
      <c r="I15" s="477">
        <v>20.925795053003533</v>
      </c>
      <c r="J15" s="477">
        <v>282</v>
      </c>
      <c r="K15" s="478">
        <v>1</v>
      </c>
      <c r="L15" s="478">
        <v>283</v>
      </c>
      <c r="M15" s="477">
        <v>1</v>
      </c>
      <c r="N15" s="477">
        <v>283</v>
      </c>
      <c r="O15" s="478">
        <v>17</v>
      </c>
      <c r="P15" s="478">
        <v>4811</v>
      </c>
      <c r="Q15" s="479">
        <v>17</v>
      </c>
      <c r="R15" s="480">
        <v>283</v>
      </c>
    </row>
    <row r="16" spans="1:18" ht="14.4" customHeight="1" thickBot="1" x14ac:dyDescent="0.35">
      <c r="A16" s="481" t="s">
        <v>359</v>
      </c>
      <c r="B16" s="482" t="s">
        <v>360</v>
      </c>
      <c r="C16" s="482" t="s">
        <v>328</v>
      </c>
      <c r="D16" s="482" t="s">
        <v>361</v>
      </c>
      <c r="E16" s="482" t="s">
        <v>377</v>
      </c>
      <c r="F16" s="482" t="s">
        <v>379</v>
      </c>
      <c r="G16" s="431">
        <v>1</v>
      </c>
      <c r="H16" s="431">
        <v>282</v>
      </c>
      <c r="I16" s="482">
        <v>0.99646643109540634</v>
      </c>
      <c r="J16" s="482">
        <v>282</v>
      </c>
      <c r="K16" s="431">
        <v>1</v>
      </c>
      <c r="L16" s="431">
        <v>283</v>
      </c>
      <c r="M16" s="482">
        <v>1</v>
      </c>
      <c r="N16" s="482">
        <v>283</v>
      </c>
      <c r="O16" s="431">
        <v>2</v>
      </c>
      <c r="P16" s="431">
        <v>566</v>
      </c>
      <c r="Q16" s="432">
        <v>2</v>
      </c>
      <c r="R16" s="441">
        <v>283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6" hidden="1" customWidth="1" outlineLevel="1"/>
    <col min="10" max="11" width="9.33203125" style="101" hidden="1" customWidth="1"/>
    <col min="12" max="13" width="11.109375" style="176" customWidth="1"/>
    <col min="14" max="15" width="9.33203125" style="101" hidden="1" customWidth="1"/>
    <col min="16" max="17" width="11.109375" style="176" customWidth="1"/>
    <col min="18" max="18" width="11.109375" style="179" customWidth="1"/>
    <col min="19" max="19" width="11.109375" style="176" customWidth="1"/>
    <col min="20" max="16384" width="8.88671875" style="101"/>
  </cols>
  <sheetData>
    <row r="1" spans="1:19" ht="18.600000000000001" customHeight="1" thickBot="1" x14ac:dyDescent="0.4">
      <c r="A1" s="288" t="s">
        <v>381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14.4" customHeight="1" thickBot="1" x14ac:dyDescent="0.35">
      <c r="A2" s="193" t="s">
        <v>219</v>
      </c>
      <c r="B2" s="166"/>
      <c r="C2" s="166"/>
      <c r="D2" s="166"/>
      <c r="E2" s="83"/>
      <c r="F2" s="83"/>
      <c r="G2" s="83"/>
      <c r="H2" s="191"/>
      <c r="I2" s="191"/>
      <c r="J2" s="83"/>
      <c r="K2" s="83"/>
      <c r="L2" s="191"/>
      <c r="M2" s="191"/>
      <c r="N2" s="83"/>
      <c r="O2" s="83"/>
      <c r="P2" s="191"/>
      <c r="Q2" s="191"/>
      <c r="R2" s="188"/>
      <c r="S2" s="191"/>
    </row>
    <row r="3" spans="1:19" ht="14.4" customHeight="1" thickBot="1" x14ac:dyDescent="0.35">
      <c r="G3" s="62" t="s">
        <v>99</v>
      </c>
      <c r="H3" s="74">
        <f t="shared" ref="H3:Q3" si="0">SUBTOTAL(9,H6:H1048576)</f>
        <v>993</v>
      </c>
      <c r="I3" s="75">
        <f t="shared" si="0"/>
        <v>452727.33999999997</v>
      </c>
      <c r="J3" s="57"/>
      <c r="K3" s="57"/>
      <c r="L3" s="75">
        <f t="shared" si="0"/>
        <v>992</v>
      </c>
      <c r="M3" s="75">
        <f t="shared" si="0"/>
        <v>457832.34</v>
      </c>
      <c r="N3" s="57"/>
      <c r="O3" s="57"/>
      <c r="P3" s="75">
        <f t="shared" si="0"/>
        <v>1243</v>
      </c>
      <c r="Q3" s="75">
        <f t="shared" si="0"/>
        <v>575469.66999999993</v>
      </c>
      <c r="R3" s="58">
        <f>IF(M3=0,0,Q3/M3)</f>
        <v>1.2569441250043627</v>
      </c>
      <c r="S3" s="76">
        <f>IF(P3=0,0,Q3/P3)</f>
        <v>462.96835880933219</v>
      </c>
    </row>
    <row r="4" spans="1:19" ht="14.4" customHeight="1" x14ac:dyDescent="0.3">
      <c r="A4" s="375" t="s">
        <v>162</v>
      </c>
      <c r="B4" s="375" t="s">
        <v>70</v>
      </c>
      <c r="C4" s="383" t="s">
        <v>0</v>
      </c>
      <c r="D4" s="227" t="s">
        <v>100</v>
      </c>
      <c r="E4" s="377" t="s">
        <v>71</v>
      </c>
      <c r="F4" s="382" t="s">
        <v>46</v>
      </c>
      <c r="G4" s="378" t="s">
        <v>45</v>
      </c>
      <c r="H4" s="379">
        <v>2015</v>
      </c>
      <c r="I4" s="380"/>
      <c r="J4" s="73"/>
      <c r="K4" s="73"/>
      <c r="L4" s="379">
        <v>2017</v>
      </c>
      <c r="M4" s="380"/>
      <c r="N4" s="73"/>
      <c r="O4" s="73"/>
      <c r="P4" s="379">
        <v>2018</v>
      </c>
      <c r="Q4" s="380"/>
      <c r="R4" s="381" t="s">
        <v>2</v>
      </c>
      <c r="S4" s="376" t="s">
        <v>73</v>
      </c>
    </row>
    <row r="5" spans="1:19" ht="14.4" customHeight="1" thickBot="1" x14ac:dyDescent="0.35">
      <c r="A5" s="464"/>
      <c r="B5" s="464"/>
      <c r="C5" s="465"/>
      <c r="D5" s="483"/>
      <c r="E5" s="466"/>
      <c r="F5" s="467"/>
      <c r="G5" s="468"/>
      <c r="H5" s="469" t="s">
        <v>47</v>
      </c>
      <c r="I5" s="470" t="s">
        <v>4</v>
      </c>
      <c r="J5" s="471"/>
      <c r="K5" s="471"/>
      <c r="L5" s="469" t="s">
        <v>47</v>
      </c>
      <c r="M5" s="470" t="s">
        <v>4</v>
      </c>
      <c r="N5" s="471"/>
      <c r="O5" s="471"/>
      <c r="P5" s="469" t="s">
        <v>47</v>
      </c>
      <c r="Q5" s="470" t="s">
        <v>4</v>
      </c>
      <c r="R5" s="472"/>
      <c r="S5" s="473"/>
    </row>
    <row r="6" spans="1:19" ht="14.4" customHeight="1" x14ac:dyDescent="0.3">
      <c r="A6" s="474" t="s">
        <v>359</v>
      </c>
      <c r="B6" s="475" t="s">
        <v>360</v>
      </c>
      <c r="C6" s="475" t="s">
        <v>328</v>
      </c>
      <c r="D6" s="475" t="s">
        <v>354</v>
      </c>
      <c r="E6" s="475" t="s">
        <v>361</v>
      </c>
      <c r="F6" s="475" t="s">
        <v>362</v>
      </c>
      <c r="G6" s="475" t="s">
        <v>363</v>
      </c>
      <c r="H6" s="428">
        <v>1</v>
      </c>
      <c r="I6" s="428">
        <v>141</v>
      </c>
      <c r="J6" s="475"/>
      <c r="K6" s="475">
        <v>141</v>
      </c>
      <c r="L6" s="428"/>
      <c r="M6" s="428"/>
      <c r="N6" s="475"/>
      <c r="O6" s="475"/>
      <c r="P6" s="428">
        <v>1</v>
      </c>
      <c r="Q6" s="428">
        <v>142</v>
      </c>
      <c r="R6" s="429"/>
      <c r="S6" s="440">
        <v>142</v>
      </c>
    </row>
    <row r="7" spans="1:19" ht="14.4" customHeight="1" x14ac:dyDescent="0.3">
      <c r="A7" s="476" t="s">
        <v>359</v>
      </c>
      <c r="B7" s="477" t="s">
        <v>360</v>
      </c>
      <c r="C7" s="477" t="s">
        <v>328</v>
      </c>
      <c r="D7" s="477" t="s">
        <v>354</v>
      </c>
      <c r="E7" s="477" t="s">
        <v>361</v>
      </c>
      <c r="F7" s="477" t="s">
        <v>362</v>
      </c>
      <c r="G7" s="477" t="s">
        <v>364</v>
      </c>
      <c r="H7" s="478"/>
      <c r="I7" s="478"/>
      <c r="J7" s="477"/>
      <c r="K7" s="477"/>
      <c r="L7" s="478">
        <v>5</v>
      </c>
      <c r="M7" s="478">
        <v>705</v>
      </c>
      <c r="N7" s="477">
        <v>1</v>
      </c>
      <c r="O7" s="477">
        <v>141</v>
      </c>
      <c r="P7" s="478">
        <v>1</v>
      </c>
      <c r="Q7" s="478">
        <v>142</v>
      </c>
      <c r="R7" s="479">
        <v>0.20141843971631207</v>
      </c>
      <c r="S7" s="480">
        <v>142</v>
      </c>
    </row>
    <row r="8" spans="1:19" ht="14.4" customHeight="1" x14ac:dyDescent="0.3">
      <c r="A8" s="476" t="s">
        <v>359</v>
      </c>
      <c r="B8" s="477" t="s">
        <v>360</v>
      </c>
      <c r="C8" s="477" t="s">
        <v>328</v>
      </c>
      <c r="D8" s="477" t="s">
        <v>354</v>
      </c>
      <c r="E8" s="477" t="s">
        <v>361</v>
      </c>
      <c r="F8" s="477" t="s">
        <v>365</v>
      </c>
      <c r="G8" s="477" t="s">
        <v>366</v>
      </c>
      <c r="H8" s="478">
        <v>144</v>
      </c>
      <c r="I8" s="478">
        <v>41040</v>
      </c>
      <c r="J8" s="477">
        <v>1.0815939278937381</v>
      </c>
      <c r="K8" s="477">
        <v>285</v>
      </c>
      <c r="L8" s="478">
        <v>136</v>
      </c>
      <c r="M8" s="478">
        <v>37944</v>
      </c>
      <c r="N8" s="477">
        <v>1</v>
      </c>
      <c r="O8" s="477">
        <v>279</v>
      </c>
      <c r="P8" s="478">
        <v>164</v>
      </c>
      <c r="Q8" s="478">
        <v>47396</v>
      </c>
      <c r="R8" s="479">
        <v>1.2491039426523298</v>
      </c>
      <c r="S8" s="480">
        <v>289</v>
      </c>
    </row>
    <row r="9" spans="1:19" ht="14.4" customHeight="1" x14ac:dyDescent="0.3">
      <c r="A9" s="476" t="s">
        <v>359</v>
      </c>
      <c r="B9" s="477" t="s">
        <v>360</v>
      </c>
      <c r="C9" s="477" t="s">
        <v>328</v>
      </c>
      <c r="D9" s="477" t="s">
        <v>354</v>
      </c>
      <c r="E9" s="477" t="s">
        <v>361</v>
      </c>
      <c r="F9" s="477" t="s">
        <v>367</v>
      </c>
      <c r="G9" s="477" t="s">
        <v>368</v>
      </c>
      <c r="H9" s="478">
        <v>503</v>
      </c>
      <c r="I9" s="478">
        <v>278159</v>
      </c>
      <c r="J9" s="477">
        <v>0.96186217962017784</v>
      </c>
      <c r="K9" s="477">
        <v>553</v>
      </c>
      <c r="L9" s="478">
        <v>522</v>
      </c>
      <c r="M9" s="478">
        <v>289188</v>
      </c>
      <c r="N9" s="477">
        <v>1</v>
      </c>
      <c r="O9" s="477">
        <v>554</v>
      </c>
      <c r="P9" s="478">
        <v>658</v>
      </c>
      <c r="Q9" s="478">
        <v>365190</v>
      </c>
      <c r="R9" s="479">
        <v>1.2628117349267605</v>
      </c>
      <c r="S9" s="480">
        <v>555</v>
      </c>
    </row>
    <row r="10" spans="1:19" ht="14.4" customHeight="1" x14ac:dyDescent="0.3">
      <c r="A10" s="476" t="s">
        <v>359</v>
      </c>
      <c r="B10" s="477" t="s">
        <v>360</v>
      </c>
      <c r="C10" s="477" t="s">
        <v>328</v>
      </c>
      <c r="D10" s="477" t="s">
        <v>354</v>
      </c>
      <c r="E10" s="477" t="s">
        <v>361</v>
      </c>
      <c r="F10" s="477" t="s">
        <v>369</v>
      </c>
      <c r="G10" s="477" t="s">
        <v>370</v>
      </c>
      <c r="H10" s="478">
        <v>8</v>
      </c>
      <c r="I10" s="478">
        <v>266.67</v>
      </c>
      <c r="J10" s="477"/>
      <c r="K10" s="477">
        <v>33.333750000000002</v>
      </c>
      <c r="L10" s="478"/>
      <c r="M10" s="478"/>
      <c r="N10" s="477"/>
      <c r="O10" s="477"/>
      <c r="P10" s="478"/>
      <c r="Q10" s="478"/>
      <c r="R10" s="479"/>
      <c r="S10" s="480"/>
    </row>
    <row r="11" spans="1:19" ht="14.4" customHeight="1" x14ac:dyDescent="0.3">
      <c r="A11" s="476" t="s">
        <v>359</v>
      </c>
      <c r="B11" s="477" t="s">
        <v>360</v>
      </c>
      <c r="C11" s="477" t="s">
        <v>328</v>
      </c>
      <c r="D11" s="477" t="s">
        <v>354</v>
      </c>
      <c r="E11" s="477" t="s">
        <v>361</v>
      </c>
      <c r="F11" s="477" t="s">
        <v>369</v>
      </c>
      <c r="G11" s="477" t="s">
        <v>371</v>
      </c>
      <c r="H11" s="478">
        <v>20</v>
      </c>
      <c r="I11" s="478">
        <v>666.67</v>
      </c>
      <c r="J11" s="477">
        <v>0.79999760001919973</v>
      </c>
      <c r="K11" s="477">
        <v>33.333500000000001</v>
      </c>
      <c r="L11" s="478">
        <v>25</v>
      </c>
      <c r="M11" s="478">
        <v>833.34</v>
      </c>
      <c r="N11" s="477">
        <v>1</v>
      </c>
      <c r="O11" s="477">
        <v>33.333600000000004</v>
      </c>
      <c r="P11" s="478">
        <v>35</v>
      </c>
      <c r="Q11" s="478">
        <v>1166.6699999999998</v>
      </c>
      <c r="R11" s="479">
        <v>1.3999928000575994</v>
      </c>
      <c r="S11" s="480">
        <v>33.33342857142857</v>
      </c>
    </row>
    <row r="12" spans="1:19" ht="14.4" customHeight="1" x14ac:dyDescent="0.3">
      <c r="A12" s="476" t="s">
        <v>359</v>
      </c>
      <c r="B12" s="477" t="s">
        <v>360</v>
      </c>
      <c r="C12" s="477" t="s">
        <v>328</v>
      </c>
      <c r="D12" s="477" t="s">
        <v>354</v>
      </c>
      <c r="E12" s="477" t="s">
        <v>361</v>
      </c>
      <c r="F12" s="477" t="s">
        <v>372</v>
      </c>
      <c r="G12" s="477" t="s">
        <v>373</v>
      </c>
      <c r="H12" s="478"/>
      <c r="I12" s="478"/>
      <c r="J12" s="477"/>
      <c r="K12" s="477"/>
      <c r="L12" s="478">
        <v>1</v>
      </c>
      <c r="M12" s="478">
        <v>373</v>
      </c>
      <c r="N12" s="477">
        <v>1</v>
      </c>
      <c r="O12" s="477">
        <v>373</v>
      </c>
      <c r="P12" s="478">
        <v>1</v>
      </c>
      <c r="Q12" s="478">
        <v>374</v>
      </c>
      <c r="R12" s="479">
        <v>1.0026809651474531</v>
      </c>
      <c r="S12" s="480">
        <v>374</v>
      </c>
    </row>
    <row r="13" spans="1:19" ht="14.4" customHeight="1" x14ac:dyDescent="0.3">
      <c r="A13" s="476" t="s">
        <v>359</v>
      </c>
      <c r="B13" s="477" t="s">
        <v>360</v>
      </c>
      <c r="C13" s="477" t="s">
        <v>328</v>
      </c>
      <c r="D13" s="477" t="s">
        <v>354</v>
      </c>
      <c r="E13" s="477" t="s">
        <v>361</v>
      </c>
      <c r="F13" s="477" t="s">
        <v>372</v>
      </c>
      <c r="G13" s="477" t="s">
        <v>374</v>
      </c>
      <c r="H13" s="478">
        <v>41</v>
      </c>
      <c r="I13" s="478">
        <v>15252</v>
      </c>
      <c r="J13" s="477">
        <v>1.5726954011136316</v>
      </c>
      <c r="K13" s="477">
        <v>372</v>
      </c>
      <c r="L13" s="478">
        <v>26</v>
      </c>
      <c r="M13" s="478">
        <v>9698</v>
      </c>
      <c r="N13" s="477">
        <v>1</v>
      </c>
      <c r="O13" s="477">
        <v>373</v>
      </c>
      <c r="P13" s="478">
        <v>27</v>
      </c>
      <c r="Q13" s="478">
        <v>10098</v>
      </c>
      <c r="R13" s="479">
        <v>1.0412456176531244</v>
      </c>
      <c r="S13" s="480">
        <v>374</v>
      </c>
    </row>
    <row r="14" spans="1:19" ht="14.4" customHeight="1" x14ac:dyDescent="0.3">
      <c r="A14" s="476" t="s">
        <v>359</v>
      </c>
      <c r="B14" s="477" t="s">
        <v>360</v>
      </c>
      <c r="C14" s="477" t="s">
        <v>328</v>
      </c>
      <c r="D14" s="477" t="s">
        <v>354</v>
      </c>
      <c r="E14" s="477" t="s">
        <v>361</v>
      </c>
      <c r="F14" s="477" t="s">
        <v>375</v>
      </c>
      <c r="G14" s="477" t="s">
        <v>376</v>
      </c>
      <c r="H14" s="478">
        <v>254</v>
      </c>
      <c r="I14" s="478">
        <v>110998</v>
      </c>
      <c r="J14" s="477">
        <v>0.93649441046192783</v>
      </c>
      <c r="K14" s="477">
        <v>437</v>
      </c>
      <c r="L14" s="478">
        <v>275</v>
      </c>
      <c r="M14" s="478">
        <v>118525</v>
      </c>
      <c r="N14" s="477">
        <v>1</v>
      </c>
      <c r="O14" s="477">
        <v>431</v>
      </c>
      <c r="P14" s="478">
        <v>337</v>
      </c>
      <c r="Q14" s="478">
        <v>145584</v>
      </c>
      <c r="R14" s="479">
        <v>1.2282978274625607</v>
      </c>
      <c r="S14" s="480">
        <v>432</v>
      </c>
    </row>
    <row r="15" spans="1:19" ht="14.4" customHeight="1" x14ac:dyDescent="0.3">
      <c r="A15" s="476" t="s">
        <v>359</v>
      </c>
      <c r="B15" s="477" t="s">
        <v>360</v>
      </c>
      <c r="C15" s="477" t="s">
        <v>328</v>
      </c>
      <c r="D15" s="477" t="s">
        <v>354</v>
      </c>
      <c r="E15" s="477" t="s">
        <v>361</v>
      </c>
      <c r="F15" s="477" t="s">
        <v>377</v>
      </c>
      <c r="G15" s="477" t="s">
        <v>378</v>
      </c>
      <c r="H15" s="478">
        <v>21</v>
      </c>
      <c r="I15" s="478">
        <v>5922</v>
      </c>
      <c r="J15" s="477">
        <v>20.925795053003533</v>
      </c>
      <c r="K15" s="477">
        <v>282</v>
      </c>
      <c r="L15" s="478">
        <v>1</v>
      </c>
      <c r="M15" s="478">
        <v>283</v>
      </c>
      <c r="N15" s="477">
        <v>1</v>
      </c>
      <c r="O15" s="477">
        <v>283</v>
      </c>
      <c r="P15" s="478">
        <v>17</v>
      </c>
      <c r="Q15" s="478">
        <v>4811</v>
      </c>
      <c r="R15" s="479">
        <v>17</v>
      </c>
      <c r="S15" s="480">
        <v>283</v>
      </c>
    </row>
    <row r="16" spans="1:19" ht="14.4" customHeight="1" thickBot="1" x14ac:dyDescent="0.35">
      <c r="A16" s="481" t="s">
        <v>359</v>
      </c>
      <c r="B16" s="482" t="s">
        <v>360</v>
      </c>
      <c r="C16" s="482" t="s">
        <v>328</v>
      </c>
      <c r="D16" s="482" t="s">
        <v>354</v>
      </c>
      <c r="E16" s="482" t="s">
        <v>361</v>
      </c>
      <c r="F16" s="482" t="s">
        <v>377</v>
      </c>
      <c r="G16" s="482" t="s">
        <v>379</v>
      </c>
      <c r="H16" s="431">
        <v>1</v>
      </c>
      <c r="I16" s="431">
        <v>282</v>
      </c>
      <c r="J16" s="482">
        <v>0.99646643109540634</v>
      </c>
      <c r="K16" s="482">
        <v>282</v>
      </c>
      <c r="L16" s="431">
        <v>1</v>
      </c>
      <c r="M16" s="431">
        <v>283</v>
      </c>
      <c r="N16" s="482">
        <v>1</v>
      </c>
      <c r="O16" s="482">
        <v>283</v>
      </c>
      <c r="P16" s="431">
        <v>2</v>
      </c>
      <c r="Q16" s="431">
        <v>566</v>
      </c>
      <c r="R16" s="432">
        <v>2</v>
      </c>
      <c r="S16" s="441">
        <v>283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9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9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9" customWidth="1"/>
    <col min="20" max="16384" width="8.88671875" style="101"/>
  </cols>
  <sheetData>
    <row r="1" spans="1:19" ht="18.600000000000001" customHeight="1" thickBot="1" x14ac:dyDescent="0.4">
      <c r="A1" s="300" t="s">
        <v>98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" customHeight="1" thickBot="1" x14ac:dyDescent="0.35">
      <c r="A2" s="193" t="s">
        <v>219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" customHeight="1" thickBot="1" x14ac:dyDescent="0.35">
      <c r="A3" s="181" t="s">
        <v>99</v>
      </c>
      <c r="B3" s="182">
        <f>SUBTOTAL(9,B6:B1048576)</f>
        <v>917058.65999999992</v>
      </c>
      <c r="C3" s="183">
        <f t="shared" ref="C3:R3" si="0">SUBTOTAL(9,C6:C1048576)</f>
        <v>14.401943723792057</v>
      </c>
      <c r="D3" s="183">
        <f t="shared" si="0"/>
        <v>348757.67</v>
      </c>
      <c r="E3" s="183">
        <f t="shared" si="0"/>
        <v>8</v>
      </c>
      <c r="F3" s="183">
        <f t="shared" si="0"/>
        <v>971041.65</v>
      </c>
      <c r="G3" s="186">
        <f>IF(D3&lt;&gt;0,F3/D3,"")</f>
        <v>2.7842875828365297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IF(J3&lt;&gt;0,L3/J3,"")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IF(P3&lt;&gt;0,R3/P3,"")</f>
        <v/>
      </c>
    </row>
    <row r="4" spans="1:19" ht="14.4" customHeight="1" x14ac:dyDescent="0.3">
      <c r="A4" s="368" t="s">
        <v>80</v>
      </c>
      <c r="B4" s="369" t="s">
        <v>74</v>
      </c>
      <c r="C4" s="370"/>
      <c r="D4" s="370"/>
      <c r="E4" s="370"/>
      <c r="F4" s="370"/>
      <c r="G4" s="372"/>
      <c r="H4" s="369" t="s">
        <v>75</v>
      </c>
      <c r="I4" s="370"/>
      <c r="J4" s="370"/>
      <c r="K4" s="370"/>
      <c r="L4" s="370"/>
      <c r="M4" s="372"/>
      <c r="N4" s="369" t="s">
        <v>76</v>
      </c>
      <c r="O4" s="370"/>
      <c r="P4" s="370"/>
      <c r="Q4" s="370"/>
      <c r="R4" s="370"/>
      <c r="S4" s="372"/>
    </row>
    <row r="5" spans="1:19" ht="14.4" customHeight="1" thickBot="1" x14ac:dyDescent="0.35">
      <c r="A5" s="444"/>
      <c r="B5" s="445">
        <v>2015</v>
      </c>
      <c r="C5" s="446"/>
      <c r="D5" s="446">
        <v>2017</v>
      </c>
      <c r="E5" s="446"/>
      <c r="F5" s="446">
        <v>2018</v>
      </c>
      <c r="G5" s="484" t="s">
        <v>2</v>
      </c>
      <c r="H5" s="445">
        <v>2015</v>
      </c>
      <c r="I5" s="446"/>
      <c r="J5" s="446">
        <v>2017</v>
      </c>
      <c r="K5" s="446"/>
      <c r="L5" s="446">
        <v>2018</v>
      </c>
      <c r="M5" s="484" t="s">
        <v>2</v>
      </c>
      <c r="N5" s="445">
        <v>2015</v>
      </c>
      <c r="O5" s="446"/>
      <c r="P5" s="446">
        <v>2017</v>
      </c>
      <c r="Q5" s="446"/>
      <c r="R5" s="446">
        <v>2018</v>
      </c>
      <c r="S5" s="484" t="s">
        <v>2</v>
      </c>
    </row>
    <row r="6" spans="1:19" ht="14.4" customHeight="1" x14ac:dyDescent="0.3">
      <c r="A6" s="427" t="s">
        <v>382</v>
      </c>
      <c r="B6" s="485">
        <v>553</v>
      </c>
      <c r="C6" s="475">
        <v>0.99819494584837543</v>
      </c>
      <c r="D6" s="485">
        <v>554</v>
      </c>
      <c r="E6" s="475">
        <v>1</v>
      </c>
      <c r="F6" s="485">
        <v>12403</v>
      </c>
      <c r="G6" s="429">
        <v>22.388086642599276</v>
      </c>
      <c r="H6" s="485"/>
      <c r="I6" s="475"/>
      <c r="J6" s="485"/>
      <c r="K6" s="475"/>
      <c r="L6" s="485"/>
      <c r="M6" s="429"/>
      <c r="N6" s="485"/>
      <c r="O6" s="475"/>
      <c r="P6" s="485"/>
      <c r="Q6" s="475"/>
      <c r="R6" s="485"/>
      <c r="S6" s="430"/>
    </row>
    <row r="7" spans="1:19" ht="14.4" customHeight="1" x14ac:dyDescent="0.3">
      <c r="A7" s="489" t="s">
        <v>383</v>
      </c>
      <c r="B7" s="486"/>
      <c r="C7" s="477"/>
      <c r="D7" s="486">
        <v>1108</v>
      </c>
      <c r="E7" s="477">
        <v>1</v>
      </c>
      <c r="F7" s="486">
        <v>2220</v>
      </c>
      <c r="G7" s="479">
        <v>2.0036101083032491</v>
      </c>
      <c r="H7" s="486"/>
      <c r="I7" s="477"/>
      <c r="J7" s="486"/>
      <c r="K7" s="477"/>
      <c r="L7" s="486"/>
      <c r="M7" s="479"/>
      <c r="N7" s="486"/>
      <c r="O7" s="477"/>
      <c r="P7" s="486"/>
      <c r="Q7" s="477"/>
      <c r="R7" s="486"/>
      <c r="S7" s="487"/>
    </row>
    <row r="8" spans="1:19" ht="14.4" customHeight="1" x14ac:dyDescent="0.3">
      <c r="A8" s="489" t="s">
        <v>384</v>
      </c>
      <c r="B8" s="486"/>
      <c r="C8" s="477"/>
      <c r="D8" s="486">
        <v>4817</v>
      </c>
      <c r="E8" s="477">
        <v>1</v>
      </c>
      <c r="F8" s="486">
        <v>4756.33</v>
      </c>
      <c r="G8" s="479">
        <v>0.98740502387378037</v>
      </c>
      <c r="H8" s="486"/>
      <c r="I8" s="477"/>
      <c r="J8" s="486"/>
      <c r="K8" s="477"/>
      <c r="L8" s="486"/>
      <c r="M8" s="479"/>
      <c r="N8" s="486"/>
      <c r="O8" s="477"/>
      <c r="P8" s="486"/>
      <c r="Q8" s="477"/>
      <c r="R8" s="486"/>
      <c r="S8" s="487"/>
    </row>
    <row r="9" spans="1:19" ht="14.4" customHeight="1" x14ac:dyDescent="0.3">
      <c r="A9" s="489" t="s">
        <v>385</v>
      </c>
      <c r="B9" s="486">
        <v>553</v>
      </c>
      <c r="C9" s="477">
        <v>0.99819494584837543</v>
      </c>
      <c r="D9" s="486">
        <v>554</v>
      </c>
      <c r="E9" s="477">
        <v>1</v>
      </c>
      <c r="F9" s="486">
        <v>555</v>
      </c>
      <c r="G9" s="479">
        <v>1.0018050541516246</v>
      </c>
      <c r="H9" s="486"/>
      <c r="I9" s="477"/>
      <c r="J9" s="486"/>
      <c r="K9" s="477"/>
      <c r="L9" s="486"/>
      <c r="M9" s="479"/>
      <c r="N9" s="486"/>
      <c r="O9" s="477"/>
      <c r="P9" s="486"/>
      <c r="Q9" s="477"/>
      <c r="R9" s="486"/>
      <c r="S9" s="487"/>
    </row>
    <row r="10" spans="1:19" ht="14.4" customHeight="1" x14ac:dyDescent="0.3">
      <c r="A10" s="489" t="s">
        <v>386</v>
      </c>
      <c r="B10" s="486">
        <v>15570.67</v>
      </c>
      <c r="C10" s="477">
        <v>1.7002260318846909</v>
      </c>
      <c r="D10" s="486">
        <v>9158</v>
      </c>
      <c r="E10" s="477">
        <v>1</v>
      </c>
      <c r="F10" s="486">
        <v>17974</v>
      </c>
      <c r="G10" s="479">
        <v>1.9626556016597509</v>
      </c>
      <c r="H10" s="486"/>
      <c r="I10" s="477"/>
      <c r="J10" s="486"/>
      <c r="K10" s="477"/>
      <c r="L10" s="486"/>
      <c r="M10" s="479"/>
      <c r="N10" s="486"/>
      <c r="O10" s="477"/>
      <c r="P10" s="486"/>
      <c r="Q10" s="477"/>
      <c r="R10" s="486"/>
      <c r="S10" s="487"/>
    </row>
    <row r="11" spans="1:19" ht="14.4" customHeight="1" x14ac:dyDescent="0.3">
      <c r="A11" s="489" t="s">
        <v>387</v>
      </c>
      <c r="B11" s="486"/>
      <c r="C11" s="477"/>
      <c r="D11" s="486"/>
      <c r="E11" s="477"/>
      <c r="F11" s="486">
        <v>555</v>
      </c>
      <c r="G11" s="479"/>
      <c r="H11" s="486"/>
      <c r="I11" s="477"/>
      <c r="J11" s="486"/>
      <c r="K11" s="477"/>
      <c r="L11" s="486"/>
      <c r="M11" s="479"/>
      <c r="N11" s="486"/>
      <c r="O11" s="477"/>
      <c r="P11" s="486"/>
      <c r="Q11" s="477"/>
      <c r="R11" s="486"/>
      <c r="S11" s="487"/>
    </row>
    <row r="12" spans="1:19" ht="14.4" customHeight="1" x14ac:dyDescent="0.3">
      <c r="A12" s="489" t="s">
        <v>388</v>
      </c>
      <c r="B12" s="486"/>
      <c r="C12" s="477"/>
      <c r="D12" s="486"/>
      <c r="E12" s="477"/>
      <c r="F12" s="486">
        <v>432</v>
      </c>
      <c r="G12" s="479"/>
      <c r="H12" s="486"/>
      <c r="I12" s="477"/>
      <c r="J12" s="486"/>
      <c r="K12" s="477"/>
      <c r="L12" s="486"/>
      <c r="M12" s="479"/>
      <c r="N12" s="486"/>
      <c r="O12" s="477"/>
      <c r="P12" s="486"/>
      <c r="Q12" s="477"/>
      <c r="R12" s="486"/>
      <c r="S12" s="487"/>
    </row>
    <row r="13" spans="1:19" ht="14.4" customHeight="1" x14ac:dyDescent="0.3">
      <c r="A13" s="489" t="s">
        <v>389</v>
      </c>
      <c r="B13" s="486"/>
      <c r="C13" s="477"/>
      <c r="D13" s="486"/>
      <c r="E13" s="477"/>
      <c r="F13" s="486">
        <v>3091.33</v>
      </c>
      <c r="G13" s="479"/>
      <c r="H13" s="486"/>
      <c r="I13" s="477"/>
      <c r="J13" s="486"/>
      <c r="K13" s="477"/>
      <c r="L13" s="486"/>
      <c r="M13" s="479"/>
      <c r="N13" s="486"/>
      <c r="O13" s="477"/>
      <c r="P13" s="486"/>
      <c r="Q13" s="477"/>
      <c r="R13" s="486"/>
      <c r="S13" s="487"/>
    </row>
    <row r="14" spans="1:19" ht="14.4" customHeight="1" x14ac:dyDescent="0.3">
      <c r="A14" s="489" t="s">
        <v>390</v>
      </c>
      <c r="B14" s="486">
        <v>375386.66</v>
      </c>
      <c r="C14" s="477">
        <v>1.893689230417503</v>
      </c>
      <c r="D14" s="486">
        <v>198230.34</v>
      </c>
      <c r="E14" s="477">
        <v>1</v>
      </c>
      <c r="F14" s="486">
        <v>401108.99000000005</v>
      </c>
      <c r="G14" s="479">
        <v>2.023449034088324</v>
      </c>
      <c r="H14" s="486"/>
      <c r="I14" s="477"/>
      <c r="J14" s="486"/>
      <c r="K14" s="477"/>
      <c r="L14" s="486"/>
      <c r="M14" s="479"/>
      <c r="N14" s="486"/>
      <c r="O14" s="477"/>
      <c r="P14" s="486"/>
      <c r="Q14" s="477"/>
      <c r="R14" s="486"/>
      <c r="S14" s="487"/>
    </row>
    <row r="15" spans="1:19" ht="14.4" customHeight="1" x14ac:dyDescent="0.3">
      <c r="A15" s="489" t="s">
        <v>391</v>
      </c>
      <c r="B15" s="486">
        <v>2584</v>
      </c>
      <c r="C15" s="477"/>
      <c r="D15" s="486"/>
      <c r="E15" s="477"/>
      <c r="F15" s="486">
        <v>5369</v>
      </c>
      <c r="G15" s="479"/>
      <c r="H15" s="486"/>
      <c r="I15" s="477"/>
      <c r="J15" s="486"/>
      <c r="K15" s="477"/>
      <c r="L15" s="486"/>
      <c r="M15" s="479"/>
      <c r="N15" s="486"/>
      <c r="O15" s="477"/>
      <c r="P15" s="486"/>
      <c r="Q15" s="477"/>
      <c r="R15" s="486"/>
      <c r="S15" s="487"/>
    </row>
    <row r="16" spans="1:19" ht="14.4" customHeight="1" x14ac:dyDescent="0.3">
      <c r="A16" s="489" t="s">
        <v>392</v>
      </c>
      <c r="B16" s="486">
        <v>269336.33</v>
      </c>
      <c r="C16" s="477">
        <v>2.9295006826784578</v>
      </c>
      <c r="D16" s="486">
        <v>91939.33</v>
      </c>
      <c r="E16" s="477">
        <v>1</v>
      </c>
      <c r="F16" s="486">
        <v>389274.32999999996</v>
      </c>
      <c r="G16" s="479">
        <v>4.2340348793057325</v>
      </c>
      <c r="H16" s="486"/>
      <c r="I16" s="477"/>
      <c r="J16" s="486"/>
      <c r="K16" s="477"/>
      <c r="L16" s="486"/>
      <c r="M16" s="479"/>
      <c r="N16" s="486"/>
      <c r="O16" s="477"/>
      <c r="P16" s="486"/>
      <c r="Q16" s="477"/>
      <c r="R16" s="486"/>
      <c r="S16" s="487"/>
    </row>
    <row r="17" spans="1:19" ht="14.4" customHeight="1" x14ac:dyDescent="0.3">
      <c r="A17" s="489" t="s">
        <v>393</v>
      </c>
      <c r="B17" s="486">
        <v>249385</v>
      </c>
      <c r="C17" s="477">
        <v>5.8821378871146539</v>
      </c>
      <c r="D17" s="486">
        <v>42397</v>
      </c>
      <c r="E17" s="477">
        <v>1</v>
      </c>
      <c r="F17" s="486">
        <v>129598.67</v>
      </c>
      <c r="G17" s="479">
        <v>3.0567886878788593</v>
      </c>
      <c r="H17" s="486"/>
      <c r="I17" s="477"/>
      <c r="J17" s="486"/>
      <c r="K17" s="477"/>
      <c r="L17" s="486"/>
      <c r="M17" s="479"/>
      <c r="N17" s="486"/>
      <c r="O17" s="477"/>
      <c r="P17" s="486"/>
      <c r="Q17" s="477"/>
      <c r="R17" s="486"/>
      <c r="S17" s="487"/>
    </row>
    <row r="18" spans="1:19" ht="14.4" customHeight="1" x14ac:dyDescent="0.3">
      <c r="A18" s="489" t="s">
        <v>394</v>
      </c>
      <c r="B18" s="486">
        <v>3690</v>
      </c>
      <c r="C18" s="477"/>
      <c r="D18" s="486"/>
      <c r="E18" s="477"/>
      <c r="F18" s="486"/>
      <c r="G18" s="479"/>
      <c r="H18" s="486"/>
      <c r="I18" s="477"/>
      <c r="J18" s="486"/>
      <c r="K18" s="477"/>
      <c r="L18" s="486"/>
      <c r="M18" s="479"/>
      <c r="N18" s="486"/>
      <c r="O18" s="477"/>
      <c r="P18" s="486"/>
      <c r="Q18" s="477"/>
      <c r="R18" s="486"/>
      <c r="S18" s="487"/>
    </row>
    <row r="19" spans="1:19" ht="14.4" customHeight="1" thickBot="1" x14ac:dyDescent="0.35">
      <c r="A19" s="490" t="s">
        <v>395</v>
      </c>
      <c r="B19" s="488"/>
      <c r="C19" s="482"/>
      <c r="D19" s="488"/>
      <c r="E19" s="482"/>
      <c r="F19" s="488">
        <v>3704</v>
      </c>
      <c r="G19" s="432"/>
      <c r="H19" s="488"/>
      <c r="I19" s="482"/>
      <c r="J19" s="488"/>
      <c r="K19" s="482"/>
      <c r="L19" s="488"/>
      <c r="M19" s="432"/>
      <c r="N19" s="488"/>
      <c r="O19" s="482"/>
      <c r="P19" s="488"/>
      <c r="Q19" s="482"/>
      <c r="R19" s="488"/>
      <c r="S19" s="43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6" hidden="1" customWidth="1" outlineLevel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1"/>
  </cols>
  <sheetData>
    <row r="1" spans="1:17" ht="18.600000000000001" customHeight="1" thickBot="1" x14ac:dyDescent="0.4">
      <c r="A1" s="288" t="s">
        <v>409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" customHeight="1" thickBot="1" x14ac:dyDescent="0.35">
      <c r="A2" s="193" t="s">
        <v>219</v>
      </c>
      <c r="B2" s="102"/>
      <c r="C2" s="102"/>
      <c r="D2" s="102"/>
      <c r="E2" s="102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" customHeight="1" thickBot="1" x14ac:dyDescent="0.35">
      <c r="E3" s="62" t="s">
        <v>99</v>
      </c>
      <c r="F3" s="74">
        <f t="shared" ref="F3:O3" si="0">SUBTOTAL(9,F6:F1048576)</f>
        <v>1753</v>
      </c>
      <c r="G3" s="75">
        <f t="shared" si="0"/>
        <v>917058.65999999992</v>
      </c>
      <c r="H3" s="75"/>
      <c r="I3" s="75"/>
      <c r="J3" s="75">
        <f t="shared" si="0"/>
        <v>698</v>
      </c>
      <c r="K3" s="75">
        <f t="shared" si="0"/>
        <v>348757.67</v>
      </c>
      <c r="L3" s="75"/>
      <c r="M3" s="75"/>
      <c r="N3" s="75">
        <f t="shared" si="0"/>
        <v>1913</v>
      </c>
      <c r="O3" s="75">
        <f t="shared" si="0"/>
        <v>971041.65</v>
      </c>
      <c r="P3" s="58">
        <f>IF(K3=0,0,O3/K3)</f>
        <v>2.7842875828365297</v>
      </c>
      <c r="Q3" s="76">
        <f>IF(N3=0,0,O3/N3)</f>
        <v>507.60148980658653</v>
      </c>
    </row>
    <row r="4" spans="1:17" ht="14.4" customHeight="1" x14ac:dyDescent="0.3">
      <c r="A4" s="377" t="s">
        <v>44</v>
      </c>
      <c r="B4" s="375" t="s">
        <v>70</v>
      </c>
      <c r="C4" s="377" t="s">
        <v>71</v>
      </c>
      <c r="D4" s="386" t="s">
        <v>72</v>
      </c>
      <c r="E4" s="378" t="s">
        <v>45</v>
      </c>
      <c r="F4" s="384">
        <v>2015</v>
      </c>
      <c r="G4" s="385"/>
      <c r="H4" s="77"/>
      <c r="I4" s="77"/>
      <c r="J4" s="384">
        <v>2017</v>
      </c>
      <c r="K4" s="385"/>
      <c r="L4" s="77"/>
      <c r="M4" s="77"/>
      <c r="N4" s="384">
        <v>2018</v>
      </c>
      <c r="O4" s="385"/>
      <c r="P4" s="387" t="s">
        <v>2</v>
      </c>
      <c r="Q4" s="376" t="s">
        <v>73</v>
      </c>
    </row>
    <row r="5" spans="1:17" ht="14.4" customHeight="1" thickBot="1" x14ac:dyDescent="0.35">
      <c r="A5" s="466"/>
      <c r="B5" s="464"/>
      <c r="C5" s="466"/>
      <c r="D5" s="491"/>
      <c r="E5" s="468"/>
      <c r="F5" s="492" t="s">
        <v>47</v>
      </c>
      <c r="G5" s="493" t="s">
        <v>4</v>
      </c>
      <c r="H5" s="494"/>
      <c r="I5" s="494"/>
      <c r="J5" s="492" t="s">
        <v>47</v>
      </c>
      <c r="K5" s="493" t="s">
        <v>4</v>
      </c>
      <c r="L5" s="494"/>
      <c r="M5" s="494"/>
      <c r="N5" s="492" t="s">
        <v>47</v>
      </c>
      <c r="O5" s="493" t="s">
        <v>4</v>
      </c>
      <c r="P5" s="495"/>
      <c r="Q5" s="473"/>
    </row>
    <row r="6" spans="1:17" ht="14.4" customHeight="1" x14ac:dyDescent="0.3">
      <c r="A6" s="474" t="s">
        <v>396</v>
      </c>
      <c r="B6" s="475" t="s">
        <v>360</v>
      </c>
      <c r="C6" s="475" t="s">
        <v>361</v>
      </c>
      <c r="D6" s="475" t="s">
        <v>367</v>
      </c>
      <c r="E6" s="475" t="s">
        <v>368</v>
      </c>
      <c r="F6" s="428">
        <v>1</v>
      </c>
      <c r="G6" s="428">
        <v>553</v>
      </c>
      <c r="H6" s="428">
        <v>0.99819494584837543</v>
      </c>
      <c r="I6" s="428">
        <v>553</v>
      </c>
      <c r="J6" s="428">
        <v>1</v>
      </c>
      <c r="K6" s="428">
        <v>554</v>
      </c>
      <c r="L6" s="428">
        <v>1</v>
      </c>
      <c r="M6" s="428">
        <v>554</v>
      </c>
      <c r="N6" s="428">
        <v>21</v>
      </c>
      <c r="O6" s="428">
        <v>11655</v>
      </c>
      <c r="P6" s="429">
        <v>21.037906137184116</v>
      </c>
      <c r="Q6" s="440">
        <v>555</v>
      </c>
    </row>
    <row r="7" spans="1:17" ht="14.4" customHeight="1" x14ac:dyDescent="0.3">
      <c r="A7" s="476" t="s">
        <v>396</v>
      </c>
      <c r="B7" s="477" t="s">
        <v>360</v>
      </c>
      <c r="C7" s="477" t="s">
        <v>361</v>
      </c>
      <c r="D7" s="477" t="s">
        <v>369</v>
      </c>
      <c r="E7" s="477" t="s">
        <v>371</v>
      </c>
      <c r="F7" s="478"/>
      <c r="G7" s="478"/>
      <c r="H7" s="478"/>
      <c r="I7" s="478"/>
      <c r="J7" s="478"/>
      <c r="K7" s="478"/>
      <c r="L7" s="478"/>
      <c r="M7" s="478"/>
      <c r="N7" s="478">
        <v>0</v>
      </c>
      <c r="O7" s="478">
        <v>0</v>
      </c>
      <c r="P7" s="479"/>
      <c r="Q7" s="480"/>
    </row>
    <row r="8" spans="1:17" ht="14.4" customHeight="1" x14ac:dyDescent="0.3">
      <c r="A8" s="476" t="s">
        <v>396</v>
      </c>
      <c r="B8" s="477" t="s">
        <v>360</v>
      </c>
      <c r="C8" s="477" t="s">
        <v>361</v>
      </c>
      <c r="D8" s="477" t="s">
        <v>372</v>
      </c>
      <c r="E8" s="477" t="s">
        <v>374</v>
      </c>
      <c r="F8" s="478"/>
      <c r="G8" s="478"/>
      <c r="H8" s="478"/>
      <c r="I8" s="478"/>
      <c r="J8" s="478"/>
      <c r="K8" s="478"/>
      <c r="L8" s="478"/>
      <c r="M8" s="478"/>
      <c r="N8" s="478">
        <v>2</v>
      </c>
      <c r="O8" s="478">
        <v>748</v>
      </c>
      <c r="P8" s="479"/>
      <c r="Q8" s="480">
        <v>374</v>
      </c>
    </row>
    <row r="9" spans="1:17" ht="14.4" customHeight="1" x14ac:dyDescent="0.3">
      <c r="A9" s="476" t="s">
        <v>397</v>
      </c>
      <c r="B9" s="477" t="s">
        <v>360</v>
      </c>
      <c r="C9" s="477" t="s">
        <v>361</v>
      </c>
      <c r="D9" s="477" t="s">
        <v>367</v>
      </c>
      <c r="E9" s="477" t="s">
        <v>368</v>
      </c>
      <c r="F9" s="478"/>
      <c r="G9" s="478"/>
      <c r="H9" s="478"/>
      <c r="I9" s="478"/>
      <c r="J9" s="478">
        <v>2</v>
      </c>
      <c r="K9" s="478">
        <v>1108</v>
      </c>
      <c r="L9" s="478">
        <v>1</v>
      </c>
      <c r="M9" s="478">
        <v>554</v>
      </c>
      <c r="N9" s="478">
        <v>4</v>
      </c>
      <c r="O9" s="478">
        <v>2220</v>
      </c>
      <c r="P9" s="479">
        <v>2.0036101083032491</v>
      </c>
      <c r="Q9" s="480">
        <v>555</v>
      </c>
    </row>
    <row r="10" spans="1:17" ht="14.4" customHeight="1" x14ac:dyDescent="0.3">
      <c r="A10" s="476" t="s">
        <v>398</v>
      </c>
      <c r="B10" s="477" t="s">
        <v>360</v>
      </c>
      <c r="C10" s="477" t="s">
        <v>361</v>
      </c>
      <c r="D10" s="477" t="s">
        <v>367</v>
      </c>
      <c r="E10" s="477" t="s">
        <v>368</v>
      </c>
      <c r="F10" s="478"/>
      <c r="G10" s="478"/>
      <c r="H10" s="478"/>
      <c r="I10" s="478"/>
      <c r="J10" s="478">
        <v>7</v>
      </c>
      <c r="K10" s="478">
        <v>3878</v>
      </c>
      <c r="L10" s="478">
        <v>1</v>
      </c>
      <c r="M10" s="478">
        <v>554</v>
      </c>
      <c r="N10" s="478">
        <v>8</v>
      </c>
      <c r="O10" s="478">
        <v>4440</v>
      </c>
      <c r="P10" s="479">
        <v>1.144920061887571</v>
      </c>
      <c r="Q10" s="480">
        <v>555</v>
      </c>
    </row>
    <row r="11" spans="1:17" ht="14.4" customHeight="1" x14ac:dyDescent="0.3">
      <c r="A11" s="476" t="s">
        <v>398</v>
      </c>
      <c r="B11" s="477" t="s">
        <v>360</v>
      </c>
      <c r="C11" s="477" t="s">
        <v>361</v>
      </c>
      <c r="D11" s="477" t="s">
        <v>369</v>
      </c>
      <c r="E11" s="477" t="s">
        <v>371</v>
      </c>
      <c r="F11" s="478"/>
      <c r="G11" s="478"/>
      <c r="H11" s="478"/>
      <c r="I11" s="478"/>
      <c r="J11" s="478"/>
      <c r="K11" s="478"/>
      <c r="L11" s="478"/>
      <c r="M11" s="478"/>
      <c r="N11" s="478">
        <v>1</v>
      </c>
      <c r="O11" s="478">
        <v>33.33</v>
      </c>
      <c r="P11" s="479"/>
      <c r="Q11" s="480">
        <v>33.33</v>
      </c>
    </row>
    <row r="12" spans="1:17" ht="14.4" customHeight="1" x14ac:dyDescent="0.3">
      <c r="A12" s="476" t="s">
        <v>398</v>
      </c>
      <c r="B12" s="477" t="s">
        <v>360</v>
      </c>
      <c r="C12" s="477" t="s">
        <v>361</v>
      </c>
      <c r="D12" s="477" t="s">
        <v>372</v>
      </c>
      <c r="E12" s="477" t="s">
        <v>374</v>
      </c>
      <c r="F12" s="478"/>
      <c r="G12" s="478"/>
      <c r="H12" s="478"/>
      <c r="I12" s="478"/>
      <c r="J12" s="478">
        <v>1</v>
      </c>
      <c r="K12" s="478">
        <v>373</v>
      </c>
      <c r="L12" s="478">
        <v>1</v>
      </c>
      <c r="M12" s="478">
        <v>373</v>
      </c>
      <c r="N12" s="478"/>
      <c r="O12" s="478"/>
      <c r="P12" s="479"/>
      <c r="Q12" s="480"/>
    </row>
    <row r="13" spans="1:17" ht="14.4" customHeight="1" x14ac:dyDescent="0.3">
      <c r="A13" s="476" t="s">
        <v>398</v>
      </c>
      <c r="B13" s="477" t="s">
        <v>360</v>
      </c>
      <c r="C13" s="477" t="s">
        <v>361</v>
      </c>
      <c r="D13" s="477" t="s">
        <v>377</v>
      </c>
      <c r="E13" s="477" t="s">
        <v>378</v>
      </c>
      <c r="F13" s="478"/>
      <c r="G13" s="478"/>
      <c r="H13" s="478"/>
      <c r="I13" s="478"/>
      <c r="J13" s="478">
        <v>2</v>
      </c>
      <c r="K13" s="478">
        <v>566</v>
      </c>
      <c r="L13" s="478">
        <v>1</v>
      </c>
      <c r="M13" s="478">
        <v>283</v>
      </c>
      <c r="N13" s="478">
        <v>1</v>
      </c>
      <c r="O13" s="478">
        <v>283</v>
      </c>
      <c r="P13" s="479">
        <v>0.5</v>
      </c>
      <c r="Q13" s="480">
        <v>283</v>
      </c>
    </row>
    <row r="14" spans="1:17" ht="14.4" customHeight="1" x14ac:dyDescent="0.3">
      <c r="A14" s="476" t="s">
        <v>399</v>
      </c>
      <c r="B14" s="477" t="s">
        <v>360</v>
      </c>
      <c r="C14" s="477" t="s">
        <v>361</v>
      </c>
      <c r="D14" s="477" t="s">
        <v>367</v>
      </c>
      <c r="E14" s="477" t="s">
        <v>368</v>
      </c>
      <c r="F14" s="478">
        <v>1</v>
      </c>
      <c r="G14" s="478">
        <v>553</v>
      </c>
      <c r="H14" s="478">
        <v>0.99819494584837543</v>
      </c>
      <c r="I14" s="478">
        <v>553</v>
      </c>
      <c r="J14" s="478">
        <v>1</v>
      </c>
      <c r="K14" s="478">
        <v>554</v>
      </c>
      <c r="L14" s="478">
        <v>1</v>
      </c>
      <c r="M14" s="478">
        <v>554</v>
      </c>
      <c r="N14" s="478">
        <v>1</v>
      </c>
      <c r="O14" s="478">
        <v>555</v>
      </c>
      <c r="P14" s="479">
        <v>1.0018050541516246</v>
      </c>
      <c r="Q14" s="480">
        <v>555</v>
      </c>
    </row>
    <row r="15" spans="1:17" ht="14.4" customHeight="1" x14ac:dyDescent="0.3">
      <c r="A15" s="476" t="s">
        <v>359</v>
      </c>
      <c r="B15" s="477" t="s">
        <v>360</v>
      </c>
      <c r="C15" s="477" t="s">
        <v>361</v>
      </c>
      <c r="D15" s="477" t="s">
        <v>367</v>
      </c>
      <c r="E15" s="477" t="s">
        <v>368</v>
      </c>
      <c r="F15" s="478">
        <v>24</v>
      </c>
      <c r="G15" s="478">
        <v>13272</v>
      </c>
      <c r="H15" s="478">
        <v>1.7111913357400721</v>
      </c>
      <c r="I15" s="478">
        <v>553</v>
      </c>
      <c r="J15" s="478">
        <v>14</v>
      </c>
      <c r="K15" s="478">
        <v>7756</v>
      </c>
      <c r="L15" s="478">
        <v>1</v>
      </c>
      <c r="M15" s="478">
        <v>554</v>
      </c>
      <c r="N15" s="478">
        <v>29</v>
      </c>
      <c r="O15" s="478">
        <v>16095</v>
      </c>
      <c r="P15" s="479">
        <v>2.0751676121712221</v>
      </c>
      <c r="Q15" s="480">
        <v>555</v>
      </c>
    </row>
    <row r="16" spans="1:17" ht="14.4" customHeight="1" x14ac:dyDescent="0.3">
      <c r="A16" s="476" t="s">
        <v>359</v>
      </c>
      <c r="B16" s="477" t="s">
        <v>360</v>
      </c>
      <c r="C16" s="477" t="s">
        <v>361</v>
      </c>
      <c r="D16" s="477" t="s">
        <v>369</v>
      </c>
      <c r="E16" s="477" t="s">
        <v>370</v>
      </c>
      <c r="F16" s="478"/>
      <c r="G16" s="478"/>
      <c r="H16" s="478"/>
      <c r="I16" s="478"/>
      <c r="J16" s="478">
        <v>0</v>
      </c>
      <c r="K16" s="478">
        <v>0</v>
      </c>
      <c r="L16" s="478"/>
      <c r="M16" s="478"/>
      <c r="N16" s="478"/>
      <c r="O16" s="478"/>
      <c r="P16" s="479"/>
      <c r="Q16" s="480"/>
    </row>
    <row r="17" spans="1:17" ht="14.4" customHeight="1" x14ac:dyDescent="0.3">
      <c r="A17" s="476" t="s">
        <v>359</v>
      </c>
      <c r="B17" s="477" t="s">
        <v>360</v>
      </c>
      <c r="C17" s="477" t="s">
        <v>361</v>
      </c>
      <c r="D17" s="477" t="s">
        <v>369</v>
      </c>
      <c r="E17" s="477" t="s">
        <v>371</v>
      </c>
      <c r="F17" s="478">
        <v>2</v>
      </c>
      <c r="G17" s="478">
        <v>66.67</v>
      </c>
      <c r="H17" s="478"/>
      <c r="I17" s="478">
        <v>33.335000000000001</v>
      </c>
      <c r="J17" s="478"/>
      <c r="K17" s="478"/>
      <c r="L17" s="478"/>
      <c r="M17" s="478"/>
      <c r="N17" s="478">
        <v>3</v>
      </c>
      <c r="O17" s="478">
        <v>100</v>
      </c>
      <c r="P17" s="479"/>
      <c r="Q17" s="480">
        <v>33.333333333333336</v>
      </c>
    </row>
    <row r="18" spans="1:17" ht="14.4" customHeight="1" x14ac:dyDescent="0.3">
      <c r="A18" s="476" t="s">
        <v>359</v>
      </c>
      <c r="B18" s="477" t="s">
        <v>360</v>
      </c>
      <c r="C18" s="477" t="s">
        <v>361</v>
      </c>
      <c r="D18" s="477" t="s">
        <v>372</v>
      </c>
      <c r="E18" s="477" t="s">
        <v>373</v>
      </c>
      <c r="F18" s="478">
        <v>2</v>
      </c>
      <c r="G18" s="478">
        <v>744</v>
      </c>
      <c r="H18" s="478"/>
      <c r="I18" s="478">
        <v>372</v>
      </c>
      <c r="J18" s="478"/>
      <c r="K18" s="478"/>
      <c r="L18" s="478"/>
      <c r="M18" s="478"/>
      <c r="N18" s="478">
        <v>1</v>
      </c>
      <c r="O18" s="478">
        <v>374</v>
      </c>
      <c r="P18" s="479"/>
      <c r="Q18" s="480">
        <v>374</v>
      </c>
    </row>
    <row r="19" spans="1:17" ht="14.4" customHeight="1" x14ac:dyDescent="0.3">
      <c r="A19" s="476" t="s">
        <v>359</v>
      </c>
      <c r="B19" s="477" t="s">
        <v>360</v>
      </c>
      <c r="C19" s="477" t="s">
        <v>361</v>
      </c>
      <c r="D19" s="477" t="s">
        <v>372</v>
      </c>
      <c r="E19" s="477" t="s">
        <v>374</v>
      </c>
      <c r="F19" s="478">
        <v>4</v>
      </c>
      <c r="G19" s="478">
        <v>1488</v>
      </c>
      <c r="H19" s="478">
        <v>1.3297587131367292</v>
      </c>
      <c r="I19" s="478">
        <v>372</v>
      </c>
      <c r="J19" s="478">
        <v>3</v>
      </c>
      <c r="K19" s="478">
        <v>1119</v>
      </c>
      <c r="L19" s="478">
        <v>1</v>
      </c>
      <c r="M19" s="478">
        <v>373</v>
      </c>
      <c r="N19" s="478">
        <v>3</v>
      </c>
      <c r="O19" s="478">
        <v>1122</v>
      </c>
      <c r="P19" s="479">
        <v>1.0026809651474531</v>
      </c>
      <c r="Q19" s="480">
        <v>374</v>
      </c>
    </row>
    <row r="20" spans="1:17" ht="14.4" customHeight="1" x14ac:dyDescent="0.3">
      <c r="A20" s="476" t="s">
        <v>359</v>
      </c>
      <c r="B20" s="477" t="s">
        <v>360</v>
      </c>
      <c r="C20" s="477" t="s">
        <v>361</v>
      </c>
      <c r="D20" s="477" t="s">
        <v>377</v>
      </c>
      <c r="E20" s="477" t="s">
        <v>378</v>
      </c>
      <c r="F20" s="478">
        <v>0</v>
      </c>
      <c r="G20" s="478">
        <v>0</v>
      </c>
      <c r="H20" s="478">
        <v>0</v>
      </c>
      <c r="I20" s="478"/>
      <c r="J20" s="478">
        <v>1</v>
      </c>
      <c r="K20" s="478">
        <v>283</v>
      </c>
      <c r="L20" s="478">
        <v>1</v>
      </c>
      <c r="M20" s="478">
        <v>283</v>
      </c>
      <c r="N20" s="478"/>
      <c r="O20" s="478"/>
      <c r="P20" s="479"/>
      <c r="Q20" s="480"/>
    </row>
    <row r="21" spans="1:17" ht="14.4" customHeight="1" x14ac:dyDescent="0.3">
      <c r="A21" s="476" t="s">
        <v>359</v>
      </c>
      <c r="B21" s="477" t="s">
        <v>360</v>
      </c>
      <c r="C21" s="477" t="s">
        <v>361</v>
      </c>
      <c r="D21" s="477" t="s">
        <v>377</v>
      </c>
      <c r="E21" s="477" t="s">
        <v>379</v>
      </c>
      <c r="F21" s="478"/>
      <c r="G21" s="478"/>
      <c r="H21" s="478"/>
      <c r="I21" s="478"/>
      <c r="J21" s="478"/>
      <c r="K21" s="478"/>
      <c r="L21" s="478"/>
      <c r="M21" s="478"/>
      <c r="N21" s="478">
        <v>1</v>
      </c>
      <c r="O21" s="478">
        <v>283</v>
      </c>
      <c r="P21" s="479"/>
      <c r="Q21" s="480">
        <v>283</v>
      </c>
    </row>
    <row r="22" spans="1:17" ht="14.4" customHeight="1" x14ac:dyDescent="0.3">
      <c r="A22" s="476" t="s">
        <v>400</v>
      </c>
      <c r="B22" s="477" t="s">
        <v>360</v>
      </c>
      <c r="C22" s="477" t="s">
        <v>361</v>
      </c>
      <c r="D22" s="477" t="s">
        <v>367</v>
      </c>
      <c r="E22" s="477" t="s">
        <v>368</v>
      </c>
      <c r="F22" s="478"/>
      <c r="G22" s="478"/>
      <c r="H22" s="478"/>
      <c r="I22" s="478"/>
      <c r="J22" s="478"/>
      <c r="K22" s="478"/>
      <c r="L22" s="478"/>
      <c r="M22" s="478"/>
      <c r="N22" s="478">
        <v>1</v>
      </c>
      <c r="O22" s="478">
        <v>555</v>
      </c>
      <c r="P22" s="479"/>
      <c r="Q22" s="480">
        <v>555</v>
      </c>
    </row>
    <row r="23" spans="1:17" ht="14.4" customHeight="1" x14ac:dyDescent="0.3">
      <c r="A23" s="476" t="s">
        <v>401</v>
      </c>
      <c r="B23" s="477" t="s">
        <v>360</v>
      </c>
      <c r="C23" s="477" t="s">
        <v>361</v>
      </c>
      <c r="D23" s="477" t="s">
        <v>375</v>
      </c>
      <c r="E23" s="477" t="s">
        <v>376</v>
      </c>
      <c r="F23" s="478"/>
      <c r="G23" s="478"/>
      <c r="H23" s="478"/>
      <c r="I23" s="478"/>
      <c r="J23" s="478"/>
      <c r="K23" s="478"/>
      <c r="L23" s="478"/>
      <c r="M23" s="478"/>
      <c r="N23" s="478">
        <v>1</v>
      </c>
      <c r="O23" s="478">
        <v>432</v>
      </c>
      <c r="P23" s="479"/>
      <c r="Q23" s="480">
        <v>432</v>
      </c>
    </row>
    <row r="24" spans="1:17" ht="14.4" customHeight="1" x14ac:dyDescent="0.3">
      <c r="A24" s="476" t="s">
        <v>402</v>
      </c>
      <c r="B24" s="477" t="s">
        <v>360</v>
      </c>
      <c r="C24" s="477" t="s">
        <v>361</v>
      </c>
      <c r="D24" s="477" t="s">
        <v>367</v>
      </c>
      <c r="E24" s="477" t="s">
        <v>368</v>
      </c>
      <c r="F24" s="478"/>
      <c r="G24" s="478"/>
      <c r="H24" s="478"/>
      <c r="I24" s="478"/>
      <c r="J24" s="478"/>
      <c r="K24" s="478"/>
      <c r="L24" s="478"/>
      <c r="M24" s="478"/>
      <c r="N24" s="478">
        <v>5</v>
      </c>
      <c r="O24" s="478">
        <v>2775</v>
      </c>
      <c r="P24" s="479"/>
      <c r="Q24" s="480">
        <v>555</v>
      </c>
    </row>
    <row r="25" spans="1:17" ht="14.4" customHeight="1" x14ac:dyDescent="0.3">
      <c r="A25" s="476" t="s">
        <v>402</v>
      </c>
      <c r="B25" s="477" t="s">
        <v>360</v>
      </c>
      <c r="C25" s="477" t="s">
        <v>361</v>
      </c>
      <c r="D25" s="477" t="s">
        <v>369</v>
      </c>
      <c r="E25" s="477" t="s">
        <v>371</v>
      </c>
      <c r="F25" s="478"/>
      <c r="G25" s="478"/>
      <c r="H25" s="478"/>
      <c r="I25" s="478"/>
      <c r="J25" s="478"/>
      <c r="K25" s="478"/>
      <c r="L25" s="478"/>
      <c r="M25" s="478"/>
      <c r="N25" s="478">
        <v>1</v>
      </c>
      <c r="O25" s="478">
        <v>33.33</v>
      </c>
      <c r="P25" s="479"/>
      <c r="Q25" s="480">
        <v>33.33</v>
      </c>
    </row>
    <row r="26" spans="1:17" ht="14.4" customHeight="1" x14ac:dyDescent="0.3">
      <c r="A26" s="476" t="s">
        <v>402</v>
      </c>
      <c r="B26" s="477" t="s">
        <v>360</v>
      </c>
      <c r="C26" s="477" t="s">
        <v>361</v>
      </c>
      <c r="D26" s="477" t="s">
        <v>377</v>
      </c>
      <c r="E26" s="477" t="s">
        <v>378</v>
      </c>
      <c r="F26" s="478"/>
      <c r="G26" s="478"/>
      <c r="H26" s="478"/>
      <c r="I26" s="478"/>
      <c r="J26" s="478"/>
      <c r="K26" s="478"/>
      <c r="L26" s="478"/>
      <c r="M26" s="478"/>
      <c r="N26" s="478">
        <v>1</v>
      </c>
      <c r="O26" s="478">
        <v>283</v>
      </c>
      <c r="P26" s="479"/>
      <c r="Q26" s="480">
        <v>283</v>
      </c>
    </row>
    <row r="27" spans="1:17" ht="14.4" customHeight="1" x14ac:dyDescent="0.3">
      <c r="A27" s="476" t="s">
        <v>403</v>
      </c>
      <c r="B27" s="477" t="s">
        <v>360</v>
      </c>
      <c r="C27" s="477" t="s">
        <v>361</v>
      </c>
      <c r="D27" s="477" t="s">
        <v>362</v>
      </c>
      <c r="E27" s="477" t="s">
        <v>363</v>
      </c>
      <c r="F27" s="478"/>
      <c r="G27" s="478"/>
      <c r="H27" s="478"/>
      <c r="I27" s="478"/>
      <c r="J27" s="478"/>
      <c r="K27" s="478"/>
      <c r="L27" s="478"/>
      <c r="M27" s="478"/>
      <c r="N27" s="478">
        <v>2</v>
      </c>
      <c r="O27" s="478">
        <v>284</v>
      </c>
      <c r="P27" s="479"/>
      <c r="Q27" s="480">
        <v>142</v>
      </c>
    </row>
    <row r="28" spans="1:17" ht="14.4" customHeight="1" x14ac:dyDescent="0.3">
      <c r="A28" s="476" t="s">
        <v>403</v>
      </c>
      <c r="B28" s="477" t="s">
        <v>360</v>
      </c>
      <c r="C28" s="477" t="s">
        <v>361</v>
      </c>
      <c r="D28" s="477" t="s">
        <v>367</v>
      </c>
      <c r="E28" s="477" t="s">
        <v>368</v>
      </c>
      <c r="F28" s="478">
        <v>586</v>
      </c>
      <c r="G28" s="478">
        <v>324058</v>
      </c>
      <c r="H28" s="478">
        <v>2.0452525813536644</v>
      </c>
      <c r="I28" s="478">
        <v>553</v>
      </c>
      <c r="J28" s="478">
        <v>286</v>
      </c>
      <c r="K28" s="478">
        <v>158444</v>
      </c>
      <c r="L28" s="478">
        <v>1</v>
      </c>
      <c r="M28" s="478">
        <v>554</v>
      </c>
      <c r="N28" s="478">
        <v>616</v>
      </c>
      <c r="O28" s="478">
        <v>341880</v>
      </c>
      <c r="P28" s="479">
        <v>2.1577339627881145</v>
      </c>
      <c r="Q28" s="480">
        <v>555</v>
      </c>
    </row>
    <row r="29" spans="1:17" ht="14.4" customHeight="1" x14ac:dyDescent="0.3">
      <c r="A29" s="476" t="s">
        <v>403</v>
      </c>
      <c r="B29" s="477" t="s">
        <v>360</v>
      </c>
      <c r="C29" s="477" t="s">
        <v>361</v>
      </c>
      <c r="D29" s="477" t="s">
        <v>369</v>
      </c>
      <c r="E29" s="477" t="s">
        <v>370</v>
      </c>
      <c r="F29" s="478"/>
      <c r="G29" s="478"/>
      <c r="H29" s="478"/>
      <c r="I29" s="478"/>
      <c r="J29" s="478">
        <v>19</v>
      </c>
      <c r="K29" s="478">
        <v>633.34</v>
      </c>
      <c r="L29" s="478">
        <v>1</v>
      </c>
      <c r="M29" s="478">
        <v>33.333684210526314</v>
      </c>
      <c r="N29" s="478"/>
      <c r="O29" s="478"/>
      <c r="P29" s="479"/>
      <c r="Q29" s="480"/>
    </row>
    <row r="30" spans="1:17" ht="14.4" customHeight="1" x14ac:dyDescent="0.3">
      <c r="A30" s="476" t="s">
        <v>403</v>
      </c>
      <c r="B30" s="477" t="s">
        <v>360</v>
      </c>
      <c r="C30" s="477" t="s">
        <v>361</v>
      </c>
      <c r="D30" s="477" t="s">
        <v>369</v>
      </c>
      <c r="E30" s="477" t="s">
        <v>371</v>
      </c>
      <c r="F30" s="478">
        <v>23</v>
      </c>
      <c r="G30" s="478">
        <v>766.66</v>
      </c>
      <c r="H30" s="478"/>
      <c r="I30" s="478">
        <v>33.333043478260869</v>
      </c>
      <c r="J30" s="478"/>
      <c r="K30" s="478"/>
      <c r="L30" s="478"/>
      <c r="M30" s="478"/>
      <c r="N30" s="478">
        <v>69</v>
      </c>
      <c r="O30" s="478">
        <v>2299.9900000000002</v>
      </c>
      <c r="P30" s="479"/>
      <c r="Q30" s="480">
        <v>33.333188405797102</v>
      </c>
    </row>
    <row r="31" spans="1:17" ht="14.4" customHeight="1" x14ac:dyDescent="0.3">
      <c r="A31" s="476" t="s">
        <v>403</v>
      </c>
      <c r="B31" s="477" t="s">
        <v>360</v>
      </c>
      <c r="C31" s="477" t="s">
        <v>361</v>
      </c>
      <c r="D31" s="477" t="s">
        <v>372</v>
      </c>
      <c r="E31" s="477" t="s">
        <v>373</v>
      </c>
      <c r="F31" s="478">
        <v>5</v>
      </c>
      <c r="G31" s="478">
        <v>1860</v>
      </c>
      <c r="H31" s="478">
        <v>0.71237073918039062</v>
      </c>
      <c r="I31" s="478">
        <v>372</v>
      </c>
      <c r="J31" s="478">
        <v>7</v>
      </c>
      <c r="K31" s="478">
        <v>2611</v>
      </c>
      <c r="L31" s="478">
        <v>1</v>
      </c>
      <c r="M31" s="478">
        <v>373</v>
      </c>
      <c r="N31" s="478">
        <v>4</v>
      </c>
      <c r="O31" s="478">
        <v>1496</v>
      </c>
      <c r="P31" s="479">
        <v>0.57296055151283032</v>
      </c>
      <c r="Q31" s="480">
        <v>374</v>
      </c>
    </row>
    <row r="32" spans="1:17" ht="14.4" customHeight="1" x14ac:dyDescent="0.3">
      <c r="A32" s="476" t="s">
        <v>403</v>
      </c>
      <c r="B32" s="477" t="s">
        <v>360</v>
      </c>
      <c r="C32" s="477" t="s">
        <v>361</v>
      </c>
      <c r="D32" s="477" t="s">
        <v>372</v>
      </c>
      <c r="E32" s="477" t="s">
        <v>374</v>
      </c>
      <c r="F32" s="478">
        <v>115</v>
      </c>
      <c r="G32" s="478">
        <v>42780</v>
      </c>
      <c r="H32" s="478">
        <v>1.4517935317473785</v>
      </c>
      <c r="I32" s="478">
        <v>372</v>
      </c>
      <c r="J32" s="478">
        <v>79</v>
      </c>
      <c r="K32" s="478">
        <v>29467</v>
      </c>
      <c r="L32" s="478">
        <v>1</v>
      </c>
      <c r="M32" s="478">
        <v>373</v>
      </c>
      <c r="N32" s="478">
        <v>124</v>
      </c>
      <c r="O32" s="478">
        <v>46376</v>
      </c>
      <c r="P32" s="479">
        <v>1.5738283503580277</v>
      </c>
      <c r="Q32" s="480">
        <v>374</v>
      </c>
    </row>
    <row r="33" spans="1:17" ht="14.4" customHeight="1" x14ac:dyDescent="0.3">
      <c r="A33" s="476" t="s">
        <v>403</v>
      </c>
      <c r="B33" s="477" t="s">
        <v>360</v>
      </c>
      <c r="C33" s="477" t="s">
        <v>361</v>
      </c>
      <c r="D33" s="477" t="s">
        <v>377</v>
      </c>
      <c r="E33" s="477" t="s">
        <v>378</v>
      </c>
      <c r="F33" s="478">
        <v>19</v>
      </c>
      <c r="G33" s="478">
        <v>5358</v>
      </c>
      <c r="H33" s="478">
        <v>0.82316792133968353</v>
      </c>
      <c r="I33" s="478">
        <v>282</v>
      </c>
      <c r="J33" s="478">
        <v>23</v>
      </c>
      <c r="K33" s="478">
        <v>6509</v>
      </c>
      <c r="L33" s="478">
        <v>1</v>
      </c>
      <c r="M33" s="478">
        <v>283</v>
      </c>
      <c r="N33" s="478">
        <v>30</v>
      </c>
      <c r="O33" s="478">
        <v>8490</v>
      </c>
      <c r="P33" s="479">
        <v>1.3043478260869565</v>
      </c>
      <c r="Q33" s="480">
        <v>283</v>
      </c>
    </row>
    <row r="34" spans="1:17" ht="14.4" customHeight="1" x14ac:dyDescent="0.3">
      <c r="A34" s="476" t="s">
        <v>403</v>
      </c>
      <c r="B34" s="477" t="s">
        <v>360</v>
      </c>
      <c r="C34" s="477" t="s">
        <v>361</v>
      </c>
      <c r="D34" s="477" t="s">
        <v>377</v>
      </c>
      <c r="E34" s="477" t="s">
        <v>379</v>
      </c>
      <c r="F34" s="478">
        <v>2</v>
      </c>
      <c r="G34" s="478">
        <v>564</v>
      </c>
      <c r="H34" s="478">
        <v>0.99646643109540634</v>
      </c>
      <c r="I34" s="478">
        <v>282</v>
      </c>
      <c r="J34" s="478">
        <v>2</v>
      </c>
      <c r="K34" s="478">
        <v>566</v>
      </c>
      <c r="L34" s="478">
        <v>1</v>
      </c>
      <c r="M34" s="478">
        <v>283</v>
      </c>
      <c r="N34" s="478">
        <v>1</v>
      </c>
      <c r="O34" s="478">
        <v>283</v>
      </c>
      <c r="P34" s="479">
        <v>0.5</v>
      </c>
      <c r="Q34" s="480">
        <v>283</v>
      </c>
    </row>
    <row r="35" spans="1:17" ht="14.4" customHeight="1" x14ac:dyDescent="0.3">
      <c r="A35" s="476" t="s">
        <v>404</v>
      </c>
      <c r="B35" s="477" t="s">
        <v>360</v>
      </c>
      <c r="C35" s="477" t="s">
        <v>361</v>
      </c>
      <c r="D35" s="477" t="s">
        <v>367</v>
      </c>
      <c r="E35" s="477" t="s">
        <v>368</v>
      </c>
      <c r="F35" s="478">
        <v>4</v>
      </c>
      <c r="G35" s="478">
        <v>2212</v>
      </c>
      <c r="H35" s="478"/>
      <c r="I35" s="478">
        <v>553</v>
      </c>
      <c r="J35" s="478"/>
      <c r="K35" s="478"/>
      <c r="L35" s="478"/>
      <c r="M35" s="478"/>
      <c r="N35" s="478">
        <v>9</v>
      </c>
      <c r="O35" s="478">
        <v>4995</v>
      </c>
      <c r="P35" s="479"/>
      <c r="Q35" s="480">
        <v>555</v>
      </c>
    </row>
    <row r="36" spans="1:17" ht="14.4" customHeight="1" x14ac:dyDescent="0.3">
      <c r="A36" s="476" t="s">
        <v>404</v>
      </c>
      <c r="B36" s="477" t="s">
        <v>360</v>
      </c>
      <c r="C36" s="477" t="s">
        <v>361</v>
      </c>
      <c r="D36" s="477" t="s">
        <v>372</v>
      </c>
      <c r="E36" s="477" t="s">
        <v>373</v>
      </c>
      <c r="F36" s="478">
        <v>1</v>
      </c>
      <c r="G36" s="478">
        <v>372</v>
      </c>
      <c r="H36" s="478"/>
      <c r="I36" s="478">
        <v>372</v>
      </c>
      <c r="J36" s="478"/>
      <c r="K36" s="478"/>
      <c r="L36" s="478"/>
      <c r="M36" s="478"/>
      <c r="N36" s="478">
        <v>1</v>
      </c>
      <c r="O36" s="478">
        <v>374</v>
      </c>
      <c r="P36" s="479"/>
      <c r="Q36" s="480">
        <v>374</v>
      </c>
    </row>
    <row r="37" spans="1:17" ht="14.4" customHeight="1" x14ac:dyDescent="0.3">
      <c r="A37" s="476" t="s">
        <v>405</v>
      </c>
      <c r="B37" s="477" t="s">
        <v>360</v>
      </c>
      <c r="C37" s="477" t="s">
        <v>361</v>
      </c>
      <c r="D37" s="477" t="s">
        <v>362</v>
      </c>
      <c r="E37" s="477" t="s">
        <v>363</v>
      </c>
      <c r="F37" s="478">
        <v>1</v>
      </c>
      <c r="G37" s="478">
        <v>141</v>
      </c>
      <c r="H37" s="478">
        <v>1</v>
      </c>
      <c r="I37" s="478">
        <v>141</v>
      </c>
      <c r="J37" s="478">
        <v>1</v>
      </c>
      <c r="K37" s="478">
        <v>141</v>
      </c>
      <c r="L37" s="478">
        <v>1</v>
      </c>
      <c r="M37" s="478">
        <v>141</v>
      </c>
      <c r="N37" s="478">
        <v>8</v>
      </c>
      <c r="O37" s="478">
        <v>1136</v>
      </c>
      <c r="P37" s="479">
        <v>8.0567375886524815</v>
      </c>
      <c r="Q37" s="480">
        <v>142</v>
      </c>
    </row>
    <row r="38" spans="1:17" ht="14.4" customHeight="1" x14ac:dyDescent="0.3">
      <c r="A38" s="476" t="s">
        <v>405</v>
      </c>
      <c r="B38" s="477" t="s">
        <v>360</v>
      </c>
      <c r="C38" s="477" t="s">
        <v>361</v>
      </c>
      <c r="D38" s="477" t="s">
        <v>362</v>
      </c>
      <c r="E38" s="477" t="s">
        <v>364</v>
      </c>
      <c r="F38" s="478"/>
      <c r="G38" s="478"/>
      <c r="H38" s="478"/>
      <c r="I38" s="478"/>
      <c r="J38" s="478">
        <v>1</v>
      </c>
      <c r="K38" s="478">
        <v>141</v>
      </c>
      <c r="L38" s="478">
        <v>1</v>
      </c>
      <c r="M38" s="478">
        <v>141</v>
      </c>
      <c r="N38" s="478">
        <v>3</v>
      </c>
      <c r="O38" s="478">
        <v>426</v>
      </c>
      <c r="P38" s="479">
        <v>3.021276595744681</v>
      </c>
      <c r="Q38" s="480">
        <v>142</v>
      </c>
    </row>
    <row r="39" spans="1:17" ht="14.4" customHeight="1" x14ac:dyDescent="0.3">
      <c r="A39" s="476" t="s">
        <v>405</v>
      </c>
      <c r="B39" s="477" t="s">
        <v>360</v>
      </c>
      <c r="C39" s="477" t="s">
        <v>361</v>
      </c>
      <c r="D39" s="477" t="s">
        <v>367</v>
      </c>
      <c r="E39" s="477" t="s">
        <v>368</v>
      </c>
      <c r="F39" s="478">
        <v>482</v>
      </c>
      <c r="G39" s="478">
        <v>266546</v>
      </c>
      <c r="H39" s="478">
        <v>3.0070622743682311</v>
      </c>
      <c r="I39" s="478">
        <v>553</v>
      </c>
      <c r="J39" s="478">
        <v>160</v>
      </c>
      <c r="K39" s="478">
        <v>88640</v>
      </c>
      <c r="L39" s="478">
        <v>1</v>
      </c>
      <c r="M39" s="478">
        <v>554</v>
      </c>
      <c r="N39" s="478">
        <v>688</v>
      </c>
      <c r="O39" s="478">
        <v>381840</v>
      </c>
      <c r="P39" s="479">
        <v>4.3077617328519855</v>
      </c>
      <c r="Q39" s="480">
        <v>555</v>
      </c>
    </row>
    <row r="40" spans="1:17" ht="14.4" customHeight="1" x14ac:dyDescent="0.3">
      <c r="A40" s="476" t="s">
        <v>405</v>
      </c>
      <c r="B40" s="477" t="s">
        <v>360</v>
      </c>
      <c r="C40" s="477" t="s">
        <v>361</v>
      </c>
      <c r="D40" s="477" t="s">
        <v>369</v>
      </c>
      <c r="E40" s="477" t="s">
        <v>370</v>
      </c>
      <c r="F40" s="478"/>
      <c r="G40" s="478"/>
      <c r="H40" s="478"/>
      <c r="I40" s="478"/>
      <c r="J40" s="478">
        <v>1</v>
      </c>
      <c r="K40" s="478">
        <v>33.33</v>
      </c>
      <c r="L40" s="478">
        <v>1</v>
      </c>
      <c r="M40" s="478">
        <v>33.33</v>
      </c>
      <c r="N40" s="478"/>
      <c r="O40" s="478"/>
      <c r="P40" s="479"/>
      <c r="Q40" s="480"/>
    </row>
    <row r="41" spans="1:17" ht="14.4" customHeight="1" x14ac:dyDescent="0.3">
      <c r="A41" s="476" t="s">
        <v>405</v>
      </c>
      <c r="B41" s="477" t="s">
        <v>360</v>
      </c>
      <c r="C41" s="477" t="s">
        <v>361</v>
      </c>
      <c r="D41" s="477" t="s">
        <v>369</v>
      </c>
      <c r="E41" s="477" t="s">
        <v>371</v>
      </c>
      <c r="F41" s="478">
        <v>1</v>
      </c>
      <c r="G41" s="478">
        <v>33.33</v>
      </c>
      <c r="H41" s="478"/>
      <c r="I41" s="478">
        <v>33.33</v>
      </c>
      <c r="J41" s="478"/>
      <c r="K41" s="478"/>
      <c r="L41" s="478"/>
      <c r="M41" s="478"/>
      <c r="N41" s="478">
        <v>10</v>
      </c>
      <c r="O41" s="478">
        <v>333.33</v>
      </c>
      <c r="P41" s="479"/>
      <c r="Q41" s="480">
        <v>33.332999999999998</v>
      </c>
    </row>
    <row r="42" spans="1:17" ht="14.4" customHeight="1" x14ac:dyDescent="0.3">
      <c r="A42" s="476" t="s">
        <v>405</v>
      </c>
      <c r="B42" s="477" t="s">
        <v>360</v>
      </c>
      <c r="C42" s="477" t="s">
        <v>361</v>
      </c>
      <c r="D42" s="477" t="s">
        <v>372</v>
      </c>
      <c r="E42" s="477" t="s">
        <v>373</v>
      </c>
      <c r="F42" s="478">
        <v>1</v>
      </c>
      <c r="G42" s="478">
        <v>372</v>
      </c>
      <c r="H42" s="478">
        <v>0.99731903485254692</v>
      </c>
      <c r="I42" s="478">
        <v>372</v>
      </c>
      <c r="J42" s="478">
        <v>1</v>
      </c>
      <c r="K42" s="478">
        <v>373</v>
      </c>
      <c r="L42" s="478">
        <v>1</v>
      </c>
      <c r="M42" s="478">
        <v>373</v>
      </c>
      <c r="N42" s="478"/>
      <c r="O42" s="478"/>
      <c r="P42" s="479"/>
      <c r="Q42" s="480"/>
    </row>
    <row r="43" spans="1:17" ht="14.4" customHeight="1" x14ac:dyDescent="0.3">
      <c r="A43" s="476" t="s">
        <v>405</v>
      </c>
      <c r="B43" s="477" t="s">
        <v>360</v>
      </c>
      <c r="C43" s="477" t="s">
        <v>361</v>
      </c>
      <c r="D43" s="477" t="s">
        <v>372</v>
      </c>
      <c r="E43" s="477" t="s">
        <v>374</v>
      </c>
      <c r="F43" s="478">
        <v>3</v>
      </c>
      <c r="G43" s="478">
        <v>1116</v>
      </c>
      <c r="H43" s="478">
        <v>0.42742244350823438</v>
      </c>
      <c r="I43" s="478">
        <v>372</v>
      </c>
      <c r="J43" s="478">
        <v>7</v>
      </c>
      <c r="K43" s="478">
        <v>2611</v>
      </c>
      <c r="L43" s="478">
        <v>1</v>
      </c>
      <c r="M43" s="478">
        <v>373</v>
      </c>
      <c r="N43" s="478">
        <v>8</v>
      </c>
      <c r="O43" s="478">
        <v>2992</v>
      </c>
      <c r="P43" s="479">
        <v>1.1459211030256606</v>
      </c>
      <c r="Q43" s="480">
        <v>374</v>
      </c>
    </row>
    <row r="44" spans="1:17" ht="14.4" customHeight="1" x14ac:dyDescent="0.3">
      <c r="A44" s="476" t="s">
        <v>405</v>
      </c>
      <c r="B44" s="477" t="s">
        <v>360</v>
      </c>
      <c r="C44" s="477" t="s">
        <v>361</v>
      </c>
      <c r="D44" s="477" t="s">
        <v>377</v>
      </c>
      <c r="E44" s="477" t="s">
        <v>378</v>
      </c>
      <c r="F44" s="478">
        <v>1</v>
      </c>
      <c r="G44" s="478">
        <v>282</v>
      </c>
      <c r="H44" s="478"/>
      <c r="I44" s="478">
        <v>282</v>
      </c>
      <c r="J44" s="478"/>
      <c r="K44" s="478"/>
      <c r="L44" s="478"/>
      <c r="M44" s="478"/>
      <c r="N44" s="478">
        <v>8</v>
      </c>
      <c r="O44" s="478">
        <v>2264</v>
      </c>
      <c r="P44" s="479"/>
      <c r="Q44" s="480">
        <v>283</v>
      </c>
    </row>
    <row r="45" spans="1:17" ht="14.4" customHeight="1" x14ac:dyDescent="0.3">
      <c r="A45" s="476" t="s">
        <v>405</v>
      </c>
      <c r="B45" s="477" t="s">
        <v>360</v>
      </c>
      <c r="C45" s="477" t="s">
        <v>361</v>
      </c>
      <c r="D45" s="477" t="s">
        <v>377</v>
      </c>
      <c r="E45" s="477" t="s">
        <v>379</v>
      </c>
      <c r="F45" s="478">
        <v>3</v>
      </c>
      <c r="G45" s="478">
        <v>846</v>
      </c>
      <c r="H45" s="478"/>
      <c r="I45" s="478">
        <v>282</v>
      </c>
      <c r="J45" s="478"/>
      <c r="K45" s="478"/>
      <c r="L45" s="478"/>
      <c r="M45" s="478"/>
      <c r="N45" s="478">
        <v>1</v>
      </c>
      <c r="O45" s="478">
        <v>283</v>
      </c>
      <c r="P45" s="479"/>
      <c r="Q45" s="480">
        <v>283</v>
      </c>
    </row>
    <row r="46" spans="1:17" ht="14.4" customHeight="1" x14ac:dyDescent="0.3">
      <c r="A46" s="476" t="s">
        <v>406</v>
      </c>
      <c r="B46" s="477" t="s">
        <v>360</v>
      </c>
      <c r="C46" s="477" t="s">
        <v>361</v>
      </c>
      <c r="D46" s="477" t="s">
        <v>362</v>
      </c>
      <c r="E46" s="477" t="s">
        <v>363</v>
      </c>
      <c r="F46" s="478"/>
      <c r="G46" s="478"/>
      <c r="H46" s="478"/>
      <c r="I46" s="478"/>
      <c r="J46" s="478"/>
      <c r="K46" s="478"/>
      <c r="L46" s="478"/>
      <c r="M46" s="478"/>
      <c r="N46" s="478">
        <v>4</v>
      </c>
      <c r="O46" s="478">
        <v>568</v>
      </c>
      <c r="P46" s="479"/>
      <c r="Q46" s="480">
        <v>142</v>
      </c>
    </row>
    <row r="47" spans="1:17" ht="14.4" customHeight="1" x14ac:dyDescent="0.3">
      <c r="A47" s="476" t="s">
        <v>406</v>
      </c>
      <c r="B47" s="477" t="s">
        <v>360</v>
      </c>
      <c r="C47" s="477" t="s">
        <v>361</v>
      </c>
      <c r="D47" s="477" t="s">
        <v>362</v>
      </c>
      <c r="E47" s="477" t="s">
        <v>364</v>
      </c>
      <c r="F47" s="478">
        <v>6</v>
      </c>
      <c r="G47" s="478">
        <v>846</v>
      </c>
      <c r="H47" s="478">
        <v>3</v>
      </c>
      <c r="I47" s="478">
        <v>141</v>
      </c>
      <c r="J47" s="478">
        <v>2</v>
      </c>
      <c r="K47" s="478">
        <v>282</v>
      </c>
      <c r="L47" s="478">
        <v>1</v>
      </c>
      <c r="M47" s="478">
        <v>141</v>
      </c>
      <c r="N47" s="478"/>
      <c r="O47" s="478"/>
      <c r="P47" s="479"/>
      <c r="Q47" s="480"/>
    </row>
    <row r="48" spans="1:17" ht="14.4" customHeight="1" x14ac:dyDescent="0.3">
      <c r="A48" s="476" t="s">
        <v>406</v>
      </c>
      <c r="B48" s="477" t="s">
        <v>360</v>
      </c>
      <c r="C48" s="477" t="s">
        <v>361</v>
      </c>
      <c r="D48" s="477" t="s">
        <v>367</v>
      </c>
      <c r="E48" s="477" t="s">
        <v>368</v>
      </c>
      <c r="F48" s="478">
        <v>443</v>
      </c>
      <c r="G48" s="478">
        <v>244979</v>
      </c>
      <c r="H48" s="478">
        <v>5.9756805542004097</v>
      </c>
      <c r="I48" s="478">
        <v>553</v>
      </c>
      <c r="J48" s="478">
        <v>74</v>
      </c>
      <c r="K48" s="478">
        <v>40996</v>
      </c>
      <c r="L48" s="478">
        <v>1</v>
      </c>
      <c r="M48" s="478">
        <v>554</v>
      </c>
      <c r="N48" s="478">
        <v>230</v>
      </c>
      <c r="O48" s="478">
        <v>127650</v>
      </c>
      <c r="P48" s="479">
        <v>3.1137184115523464</v>
      </c>
      <c r="Q48" s="480">
        <v>555</v>
      </c>
    </row>
    <row r="49" spans="1:17" ht="14.4" customHeight="1" x14ac:dyDescent="0.3">
      <c r="A49" s="476" t="s">
        <v>406</v>
      </c>
      <c r="B49" s="477" t="s">
        <v>360</v>
      </c>
      <c r="C49" s="477" t="s">
        <v>361</v>
      </c>
      <c r="D49" s="477" t="s">
        <v>369</v>
      </c>
      <c r="E49" s="477" t="s">
        <v>371</v>
      </c>
      <c r="F49" s="478">
        <v>6</v>
      </c>
      <c r="G49" s="478">
        <v>200</v>
      </c>
      <c r="H49" s="478"/>
      <c r="I49" s="478">
        <v>33.333333333333336</v>
      </c>
      <c r="J49" s="478"/>
      <c r="K49" s="478"/>
      <c r="L49" s="478"/>
      <c r="M49" s="478"/>
      <c r="N49" s="478">
        <v>2</v>
      </c>
      <c r="O49" s="478">
        <v>66.67</v>
      </c>
      <c r="P49" s="479"/>
      <c r="Q49" s="480">
        <v>33.335000000000001</v>
      </c>
    </row>
    <row r="50" spans="1:17" ht="14.4" customHeight="1" x14ac:dyDescent="0.3">
      <c r="A50" s="476" t="s">
        <v>406</v>
      </c>
      <c r="B50" s="477" t="s">
        <v>360</v>
      </c>
      <c r="C50" s="477" t="s">
        <v>361</v>
      </c>
      <c r="D50" s="477" t="s">
        <v>372</v>
      </c>
      <c r="E50" s="477" t="s">
        <v>373</v>
      </c>
      <c r="F50" s="478">
        <v>1</v>
      </c>
      <c r="G50" s="478">
        <v>372</v>
      </c>
      <c r="H50" s="478">
        <v>0.99731903485254692</v>
      </c>
      <c r="I50" s="478">
        <v>372</v>
      </c>
      <c r="J50" s="478">
        <v>1</v>
      </c>
      <c r="K50" s="478">
        <v>373</v>
      </c>
      <c r="L50" s="478">
        <v>1</v>
      </c>
      <c r="M50" s="478">
        <v>373</v>
      </c>
      <c r="N50" s="478"/>
      <c r="O50" s="478"/>
      <c r="P50" s="479"/>
      <c r="Q50" s="480"/>
    </row>
    <row r="51" spans="1:17" ht="14.4" customHeight="1" x14ac:dyDescent="0.3">
      <c r="A51" s="476" t="s">
        <v>406</v>
      </c>
      <c r="B51" s="477" t="s">
        <v>360</v>
      </c>
      <c r="C51" s="477" t="s">
        <v>361</v>
      </c>
      <c r="D51" s="477" t="s">
        <v>372</v>
      </c>
      <c r="E51" s="477" t="s">
        <v>374</v>
      </c>
      <c r="F51" s="478">
        <v>5</v>
      </c>
      <c r="G51" s="478">
        <v>1860</v>
      </c>
      <c r="H51" s="478">
        <v>2.4932975871313672</v>
      </c>
      <c r="I51" s="478">
        <v>372</v>
      </c>
      <c r="J51" s="478">
        <v>2</v>
      </c>
      <c r="K51" s="478">
        <v>746</v>
      </c>
      <c r="L51" s="478">
        <v>1</v>
      </c>
      <c r="M51" s="478">
        <v>373</v>
      </c>
      <c r="N51" s="478">
        <v>2</v>
      </c>
      <c r="O51" s="478">
        <v>748</v>
      </c>
      <c r="P51" s="479">
        <v>1.0026809651474531</v>
      </c>
      <c r="Q51" s="480">
        <v>374</v>
      </c>
    </row>
    <row r="52" spans="1:17" ht="14.4" customHeight="1" x14ac:dyDescent="0.3">
      <c r="A52" s="476" t="s">
        <v>406</v>
      </c>
      <c r="B52" s="477" t="s">
        <v>360</v>
      </c>
      <c r="C52" s="477" t="s">
        <v>361</v>
      </c>
      <c r="D52" s="477" t="s">
        <v>377</v>
      </c>
      <c r="E52" s="477" t="s">
        <v>378</v>
      </c>
      <c r="F52" s="478">
        <v>4</v>
      </c>
      <c r="G52" s="478">
        <v>1128</v>
      </c>
      <c r="H52" s="478"/>
      <c r="I52" s="478">
        <v>282</v>
      </c>
      <c r="J52" s="478"/>
      <c r="K52" s="478"/>
      <c r="L52" s="478"/>
      <c r="M52" s="478"/>
      <c r="N52" s="478">
        <v>2</v>
      </c>
      <c r="O52" s="478">
        <v>566</v>
      </c>
      <c r="P52" s="479"/>
      <c r="Q52" s="480">
        <v>283</v>
      </c>
    </row>
    <row r="53" spans="1:17" ht="14.4" customHeight="1" x14ac:dyDescent="0.3">
      <c r="A53" s="476" t="s">
        <v>407</v>
      </c>
      <c r="B53" s="477" t="s">
        <v>360</v>
      </c>
      <c r="C53" s="477" t="s">
        <v>361</v>
      </c>
      <c r="D53" s="477" t="s">
        <v>367</v>
      </c>
      <c r="E53" s="477" t="s">
        <v>368</v>
      </c>
      <c r="F53" s="478">
        <v>6</v>
      </c>
      <c r="G53" s="478">
        <v>3318</v>
      </c>
      <c r="H53" s="478"/>
      <c r="I53" s="478">
        <v>553</v>
      </c>
      <c r="J53" s="478"/>
      <c r="K53" s="478"/>
      <c r="L53" s="478"/>
      <c r="M53" s="478"/>
      <c r="N53" s="478"/>
      <c r="O53" s="478"/>
      <c r="P53" s="479"/>
      <c r="Q53" s="480"/>
    </row>
    <row r="54" spans="1:17" ht="14.4" customHeight="1" x14ac:dyDescent="0.3">
      <c r="A54" s="476" t="s">
        <v>407</v>
      </c>
      <c r="B54" s="477" t="s">
        <v>360</v>
      </c>
      <c r="C54" s="477" t="s">
        <v>361</v>
      </c>
      <c r="D54" s="477" t="s">
        <v>372</v>
      </c>
      <c r="E54" s="477" t="s">
        <v>373</v>
      </c>
      <c r="F54" s="478">
        <v>1</v>
      </c>
      <c r="G54" s="478">
        <v>372</v>
      </c>
      <c r="H54" s="478"/>
      <c r="I54" s="478">
        <v>372</v>
      </c>
      <c r="J54" s="478"/>
      <c r="K54" s="478"/>
      <c r="L54" s="478"/>
      <c r="M54" s="478"/>
      <c r="N54" s="478"/>
      <c r="O54" s="478"/>
      <c r="P54" s="479"/>
      <c r="Q54" s="480"/>
    </row>
    <row r="55" spans="1:17" ht="14.4" customHeight="1" x14ac:dyDescent="0.3">
      <c r="A55" s="476" t="s">
        <v>408</v>
      </c>
      <c r="B55" s="477" t="s">
        <v>360</v>
      </c>
      <c r="C55" s="477" t="s">
        <v>361</v>
      </c>
      <c r="D55" s="477" t="s">
        <v>367</v>
      </c>
      <c r="E55" s="477" t="s">
        <v>368</v>
      </c>
      <c r="F55" s="478"/>
      <c r="G55" s="478"/>
      <c r="H55" s="478"/>
      <c r="I55" s="478"/>
      <c r="J55" s="478"/>
      <c r="K55" s="478"/>
      <c r="L55" s="478"/>
      <c r="M55" s="478"/>
      <c r="N55" s="478">
        <v>6</v>
      </c>
      <c r="O55" s="478">
        <v>3330</v>
      </c>
      <c r="P55" s="479"/>
      <c r="Q55" s="480">
        <v>555</v>
      </c>
    </row>
    <row r="56" spans="1:17" ht="14.4" customHeight="1" thickBot="1" x14ac:dyDescent="0.35">
      <c r="A56" s="481" t="s">
        <v>408</v>
      </c>
      <c r="B56" s="482" t="s">
        <v>360</v>
      </c>
      <c r="C56" s="482" t="s">
        <v>361</v>
      </c>
      <c r="D56" s="482" t="s">
        <v>372</v>
      </c>
      <c r="E56" s="482" t="s">
        <v>373</v>
      </c>
      <c r="F56" s="431"/>
      <c r="G56" s="431"/>
      <c r="H56" s="431"/>
      <c r="I56" s="431"/>
      <c r="J56" s="431"/>
      <c r="K56" s="431"/>
      <c r="L56" s="431"/>
      <c r="M56" s="431"/>
      <c r="N56" s="431">
        <v>1</v>
      </c>
      <c r="O56" s="431">
        <v>374</v>
      </c>
      <c r="P56" s="432"/>
      <c r="Q56" s="441">
        <v>374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88" t="s">
        <v>92</v>
      </c>
      <c r="B1" s="288"/>
      <c r="C1" s="289"/>
      <c r="D1" s="289"/>
      <c r="E1" s="289"/>
    </row>
    <row r="2" spans="1:5" ht="14.4" customHeight="1" thickBot="1" x14ac:dyDescent="0.35">
      <c r="A2" s="193" t="s">
        <v>219</v>
      </c>
      <c r="B2" s="120"/>
    </row>
    <row r="3" spans="1:5" ht="14.4" customHeight="1" thickBot="1" x14ac:dyDescent="0.35">
      <c r="A3" s="123"/>
      <c r="C3" s="124" t="s">
        <v>82</v>
      </c>
      <c r="D3" s="125" t="s">
        <v>48</v>
      </c>
      <c r="E3" s="126" t="s">
        <v>50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2269.5967200660707</v>
      </c>
      <c r="D4" s="129">
        <f ca="1">IF(ISERROR(VLOOKUP("Náklady celkem",INDIRECT("HI!$A:$G"),5,0)),0,VLOOKUP("Náklady celkem",INDIRECT("HI!$A:$G"),5,0))</f>
        <v>2434.7250400000003</v>
      </c>
      <c r="E4" s="130">
        <f ca="1">IF(C4=0,0,D4/C4)</f>
        <v>1.072756678961504</v>
      </c>
    </row>
    <row r="5" spans="1:5" ht="14.4" customHeight="1" x14ac:dyDescent="0.3">
      <c r="A5" s="131" t="s">
        <v>106</v>
      </c>
      <c r="B5" s="132"/>
      <c r="C5" s="133"/>
      <c r="D5" s="133"/>
      <c r="E5" s="134"/>
    </row>
    <row r="6" spans="1:5" ht="14.4" customHeight="1" x14ac:dyDescent="0.3">
      <c r="A6" s="135" t="s">
        <v>111</v>
      </c>
      <c r="B6" s="136"/>
      <c r="C6" s="137"/>
      <c r="D6" s="137"/>
      <c r="E6" s="134"/>
    </row>
    <row r="7" spans="1:5" ht="14.4" customHeight="1" x14ac:dyDescent="0.3">
      <c r="A7" s="21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86</v>
      </c>
      <c r="C7" s="137">
        <f>IF(ISERROR(HI!F5),"",HI!F5)</f>
        <v>0</v>
      </c>
      <c r="D7" s="137">
        <f>IF(ISERROR(HI!E5),"",HI!E5)</f>
        <v>0</v>
      </c>
      <c r="E7" s="134">
        <f t="shared" ref="E7:E12" si="0">IF(C7=0,0,D7/C7)</f>
        <v>0</v>
      </c>
    </row>
    <row r="8" spans="1:5" ht="14.4" customHeight="1" x14ac:dyDescent="0.3">
      <c r="A8" s="218" t="str">
        <f>HYPERLINK("#'LŽ Statim'!A1","Podíl statimových žádanek (max. 30%)")</f>
        <v>Podíl statimových žádanek (max. 30%)</v>
      </c>
      <c r="B8" s="216" t="s">
        <v>156</v>
      </c>
      <c r="C8" s="217">
        <v>0.3</v>
      </c>
      <c r="D8" s="217">
        <f>IF('LŽ Statim'!G3="",0,'LŽ Statim'!G3)</f>
        <v>0</v>
      </c>
      <c r="E8" s="134">
        <f>IF(C8=0,0,D8/C8)</f>
        <v>0</v>
      </c>
    </row>
    <row r="9" spans="1:5" ht="14.4" customHeight="1" x14ac:dyDescent="0.3">
      <c r="A9" s="139" t="s">
        <v>107</v>
      </c>
      <c r="B9" s="136"/>
      <c r="C9" s="137"/>
      <c r="D9" s="137"/>
      <c r="E9" s="134"/>
    </row>
    <row r="10" spans="1:5" ht="14.4" customHeight="1" x14ac:dyDescent="0.3">
      <c r="A10" s="139" t="s">
        <v>108</v>
      </c>
      <c r="B10" s="136"/>
      <c r="C10" s="137"/>
      <c r="D10" s="137"/>
      <c r="E10" s="134"/>
    </row>
    <row r="11" spans="1:5" ht="14.4" customHeight="1" x14ac:dyDescent="0.3">
      <c r="A11" s="140" t="s">
        <v>112</v>
      </c>
      <c r="B11" s="136"/>
      <c r="C11" s="133"/>
      <c r="D11" s="133"/>
      <c r="E11" s="134"/>
    </row>
    <row r="12" spans="1:5" ht="14.4" customHeight="1" x14ac:dyDescent="0.3">
      <c r="A12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6" t="s">
        <v>86</v>
      </c>
      <c r="C12" s="137">
        <f>IF(ISERROR(HI!F6),"",HI!F6)</f>
        <v>0</v>
      </c>
      <c r="D12" s="137">
        <f>IF(ISERROR(HI!E6),"",HI!E6)</f>
        <v>0</v>
      </c>
      <c r="E12" s="134">
        <f t="shared" si="0"/>
        <v>0</v>
      </c>
    </row>
    <row r="13" spans="1:5" ht="14.4" customHeight="1" thickBot="1" x14ac:dyDescent="0.35">
      <c r="A13" s="142" t="str">
        <f>HYPERLINK("#HI!A1","Osobní náklady")</f>
        <v>Osobní náklady</v>
      </c>
      <c r="B13" s="136"/>
      <c r="C13" s="133">
        <f ca="1">IF(ISERROR(VLOOKUP("Osobní náklady (Kč) *",INDIRECT("HI!$A:$G"),6,0)),0,VLOOKUP("Osobní náklady (Kč) *",INDIRECT("HI!$A:$G"),6,0))</f>
        <v>2147.3428547363283</v>
      </c>
      <c r="D13" s="133">
        <f ca="1">IF(ISERROR(VLOOKUP("Osobní náklady (Kč) *",INDIRECT("HI!$A:$G"),5,0)),0,VLOOKUP("Osobní náklady (Kč) *",INDIRECT("HI!$A:$G"),5,0))</f>
        <v>2288.8603800000005</v>
      </c>
      <c r="E13" s="134">
        <f ca="1">IF(C13=0,0,D13/C13)</f>
        <v>1.0659035537578601</v>
      </c>
    </row>
    <row r="14" spans="1:5" ht="14.4" customHeight="1" thickBot="1" x14ac:dyDescent="0.35">
      <c r="A14" s="146"/>
      <c r="B14" s="147"/>
      <c r="C14" s="148"/>
      <c r="D14" s="148"/>
      <c r="E14" s="149"/>
    </row>
    <row r="15" spans="1:5" ht="14.4" customHeight="1" thickBot="1" x14ac:dyDescent="0.35">
      <c r="A15" s="150" t="str">
        <f>HYPERLINK("#HI!A1","VÝNOSY CELKEM (v tisících)")</f>
        <v>VÝNOSY CELKEM (v tisících)</v>
      </c>
      <c r="B15" s="151"/>
      <c r="C15" s="152">
        <f ca="1">IF(ISERROR(VLOOKUP("Výnosy celkem",INDIRECT("HI!$A:$G"),6,0)),0,VLOOKUP("Výnosy celkem",INDIRECT("HI!$A:$G"),6,0))</f>
        <v>457.83233999999999</v>
      </c>
      <c r="D15" s="152">
        <f ca="1">IF(ISERROR(VLOOKUP("Výnosy celkem",INDIRECT("HI!$A:$G"),5,0)),0,VLOOKUP("Výnosy celkem",INDIRECT("HI!$A:$G"),5,0))</f>
        <v>575.46966999999995</v>
      </c>
      <c r="E15" s="153">
        <f t="shared" ref="E15:E20" ca="1" si="1">IF(C15=0,0,D15/C15)</f>
        <v>1.2569441250043629</v>
      </c>
    </row>
    <row r="16" spans="1:5" ht="14.4" customHeight="1" x14ac:dyDescent="0.3">
      <c r="A16" s="154" t="str">
        <f>HYPERLINK("#HI!A1","Ambulance (body za výkony + Kč za ZUM a ZULP)")</f>
        <v>Ambulance (body za výkony + Kč za ZUM a ZULP)</v>
      </c>
      <c r="B16" s="132"/>
      <c r="C16" s="133">
        <f ca="1">IF(ISERROR(VLOOKUP("Ambulance *",INDIRECT("HI!$A:$G"),6,0)),0,VLOOKUP("Ambulance *",INDIRECT("HI!$A:$G"),6,0))</f>
        <v>457.83233999999999</v>
      </c>
      <c r="D16" s="133">
        <f ca="1">IF(ISERROR(VLOOKUP("Ambulance *",INDIRECT("HI!$A:$G"),5,0)),0,VLOOKUP("Ambulance *",INDIRECT("HI!$A:$G"),5,0))</f>
        <v>575.46966999999995</v>
      </c>
      <c r="E16" s="134">
        <f t="shared" ca="1" si="1"/>
        <v>1.2569441250043629</v>
      </c>
    </row>
    <row r="17" spans="1:5" ht="14.4" customHeight="1" x14ac:dyDescent="0.3">
      <c r="A17" s="225" t="str">
        <f>HYPERLINK("#'ZV Vykáz.-A'!A1","Zdravotní výkony vykázané u ambulantních pacientů (min. 100 % 2016)")</f>
        <v>Zdravotní výkony vykázané u ambulantních pacientů (min. 100 % 2016)</v>
      </c>
      <c r="B17" s="226" t="s">
        <v>94</v>
      </c>
      <c r="C17" s="138">
        <v>1</v>
      </c>
      <c r="D17" s="138">
        <f>IF(ISERROR(VLOOKUP("Celkem:",'ZV Vykáz.-A'!$A:$AB,10,0)),"",VLOOKUP("Celkem:",'ZV Vykáz.-A'!$A:$AB,10,0))</f>
        <v>1.2569441250043629</v>
      </c>
      <c r="E17" s="134">
        <f t="shared" si="1"/>
        <v>1.2569441250043629</v>
      </c>
    </row>
    <row r="18" spans="1:5" ht="14.4" customHeight="1" x14ac:dyDescent="0.3">
      <c r="A18" s="224" t="str">
        <f>HYPERLINK("#'ZV Vykáz.-A'!A1","Specializovaná ambulantní péče")</f>
        <v>Specializovaná ambulantní péče</v>
      </c>
      <c r="B18" s="226" t="s">
        <v>94</v>
      </c>
      <c r="C18" s="138">
        <v>1</v>
      </c>
      <c r="D18" s="217">
        <f>IF(ISERROR(VLOOKUP("Specializovaná ambulantní péče",'ZV Vykáz.-A'!$A:$AB,10,0)),"",VLOOKUP("Specializovaná ambulantní péče",'ZV Vykáz.-A'!$A:$AB,10,0))</f>
        <v>1.2569441250043629</v>
      </c>
      <c r="E18" s="134">
        <f t="shared" si="1"/>
        <v>1.2569441250043629</v>
      </c>
    </row>
    <row r="19" spans="1:5" ht="14.4" customHeight="1" x14ac:dyDescent="0.3">
      <c r="A19" s="224" t="str">
        <f>HYPERLINK("#'ZV Vykáz.-A'!A1","Ambulantní péče ve vyjmenovaných odbornostech (§9)")</f>
        <v>Ambulantní péče ve vyjmenovaných odbornostech (§9)</v>
      </c>
      <c r="B19" s="226" t="s">
        <v>94</v>
      </c>
      <c r="C19" s="138">
        <v>1</v>
      </c>
      <c r="D19" s="217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4">
        <f>IF(OR(C19=0,D19=""),0,IF(C19="","",D19/C19))</f>
        <v>0</v>
      </c>
    </row>
    <row r="20" spans="1:5" ht="14.4" customHeight="1" x14ac:dyDescent="0.3">
      <c r="A20" s="155" t="str">
        <f>HYPERLINK("#'ZV Vykáz.-H'!A1","Zdravotní výkony vykázané u hospitalizovaných pacientů (max. 85 %)")</f>
        <v>Zdravotní výkony vykázané u hospitalizovaných pacientů (max. 85 %)</v>
      </c>
      <c r="B20" s="226" t="s">
        <v>96</v>
      </c>
      <c r="C20" s="138">
        <v>0.85</v>
      </c>
      <c r="D20" s="138">
        <f>IF(ISERROR(VLOOKUP("Celkem:",'ZV Vykáz.-H'!$A:$S,7,0)),"",VLOOKUP("Celkem:",'ZV Vykáz.-H'!$A:$S,7,0))</f>
        <v>2.7842875828365297</v>
      </c>
      <c r="E20" s="134">
        <f t="shared" si="1"/>
        <v>3.2756324503959173</v>
      </c>
    </row>
    <row r="21" spans="1:5" ht="14.4" customHeight="1" x14ac:dyDescent="0.3">
      <c r="A21" s="156" t="str">
        <f>HYPERLINK("#HI!A1","Hospitalizace (casemix * 30000)")</f>
        <v>Hospitalizace (casemix * 30000)</v>
      </c>
      <c r="B21" s="136"/>
      <c r="C21" s="133">
        <f ca="1">IF(ISERROR(VLOOKUP("Hospitalizace *",INDIRECT("HI!$A:$G"),6,0)),0,VLOOKUP("Hospitalizace *",INDIRECT("HI!$A:$G"),6,0))</f>
        <v>0</v>
      </c>
      <c r="D21" s="133">
        <f ca="1">IF(ISERROR(VLOOKUP("Hospitalizace *",INDIRECT("HI!$A:$G"),5,0)),0,VLOOKUP("Hospitalizace *",INDIRECT("HI!$A:$G"),5,0))</f>
        <v>0</v>
      </c>
      <c r="E21" s="134">
        <f ca="1">IF(C21=0,0,D21/C21)</f>
        <v>0</v>
      </c>
    </row>
    <row r="22" spans="1:5" ht="14.4" customHeight="1" thickBot="1" x14ac:dyDescent="0.35">
      <c r="A22" s="157" t="s">
        <v>109</v>
      </c>
      <c r="B22" s="143"/>
      <c r="C22" s="144"/>
      <c r="D22" s="144"/>
      <c r="E22" s="145"/>
    </row>
    <row r="23" spans="1:5" ht="14.4" customHeight="1" thickBot="1" x14ac:dyDescent="0.35">
      <c r="A23" s="158"/>
      <c r="B23" s="159"/>
      <c r="C23" s="160"/>
      <c r="D23" s="160"/>
      <c r="E23" s="161"/>
    </row>
    <row r="24" spans="1:5" ht="14.4" customHeight="1" thickBot="1" x14ac:dyDescent="0.35">
      <c r="A24" s="162" t="s">
        <v>110</v>
      </c>
      <c r="B24" s="163"/>
      <c r="C24" s="164"/>
      <c r="D24" s="164"/>
      <c r="E24" s="165"/>
    </row>
  </sheetData>
  <mergeCells count="1">
    <mergeCell ref="A1:E1"/>
  </mergeCells>
  <conditionalFormatting sqref="E5">
    <cfRule type="cellIs" dxfId="5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4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6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5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4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99" t="s">
        <v>101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" customHeight="1" thickBot="1" x14ac:dyDescent="0.35">
      <c r="A2" s="193" t="s">
        <v>219</v>
      </c>
      <c r="B2" s="83"/>
      <c r="C2" s="83"/>
      <c r="D2" s="83"/>
      <c r="E2" s="83"/>
      <c r="F2" s="83"/>
    </row>
    <row r="3" spans="1:10" ht="14.4" customHeight="1" x14ac:dyDescent="0.3">
      <c r="A3" s="290"/>
      <c r="B3" s="79">
        <v>2015</v>
      </c>
      <c r="C3" s="40">
        <v>2017</v>
      </c>
      <c r="D3" s="7"/>
      <c r="E3" s="294">
        <v>2018</v>
      </c>
      <c r="F3" s="295"/>
      <c r="G3" s="295"/>
      <c r="H3" s="296"/>
      <c r="I3" s="297">
        <v>2017</v>
      </c>
      <c r="J3" s="298"/>
    </row>
    <row r="4" spans="1:10" ht="14.4" customHeight="1" thickBot="1" x14ac:dyDescent="0.35">
      <c r="A4" s="291"/>
      <c r="B4" s="292" t="s">
        <v>48</v>
      </c>
      <c r="C4" s="293"/>
      <c r="D4" s="7"/>
      <c r="E4" s="100" t="s">
        <v>48</v>
      </c>
      <c r="F4" s="81" t="s">
        <v>49</v>
      </c>
      <c r="G4" s="81" t="s">
        <v>43</v>
      </c>
      <c r="H4" s="82" t="s">
        <v>50</v>
      </c>
      <c r="I4" s="229" t="s">
        <v>164</v>
      </c>
      <c r="J4" s="230" t="s">
        <v>165</v>
      </c>
    </row>
    <row r="5" spans="1:10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0.16800000000000001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1883.21594</v>
      </c>
      <c r="C7" s="31">
        <v>2185.6003599999999</v>
      </c>
      <c r="D7" s="8"/>
      <c r="E7" s="90">
        <v>2288.8603800000005</v>
      </c>
      <c r="F7" s="30">
        <v>2147.3428547363283</v>
      </c>
      <c r="G7" s="91">
        <f>E7-F7</f>
        <v>141.51752526367227</v>
      </c>
      <c r="H7" s="95">
        <f>IF(F7&lt;0.00000001,"",E7/F7)</f>
        <v>1.0659035537578601</v>
      </c>
    </row>
    <row r="8" spans="1:10" ht="14.4" customHeight="1" thickBot="1" x14ac:dyDescent="0.35">
      <c r="A8" s="1" t="s">
        <v>51</v>
      </c>
      <c r="B8" s="11">
        <v>126.95078000000001</v>
      </c>
      <c r="C8" s="33">
        <v>130.10714999999982</v>
      </c>
      <c r="D8" s="8"/>
      <c r="E8" s="92">
        <v>145.86465999999973</v>
      </c>
      <c r="F8" s="32">
        <v>122.25386532974244</v>
      </c>
      <c r="G8" s="93">
        <f>E8-F8</f>
        <v>23.610794670257292</v>
      </c>
      <c r="H8" s="96">
        <f>IF(F8&lt;0.00000001,"",E8/F8)</f>
        <v>1.1931292283198931</v>
      </c>
    </row>
    <row r="9" spans="1:10" ht="14.4" customHeight="1" thickBot="1" x14ac:dyDescent="0.35">
      <c r="A9" s="2" t="s">
        <v>52</v>
      </c>
      <c r="B9" s="3">
        <v>2010.3347199999998</v>
      </c>
      <c r="C9" s="35">
        <v>2315.7075099999997</v>
      </c>
      <c r="D9" s="8"/>
      <c r="E9" s="3">
        <v>2434.7250400000003</v>
      </c>
      <c r="F9" s="34">
        <v>2269.5967200660707</v>
      </c>
      <c r="G9" s="34">
        <f>E9-F9</f>
        <v>165.12831993392956</v>
      </c>
      <c r="H9" s="97">
        <f>IF(F9&lt;0.00000001,"",E9/F9)</f>
        <v>1.072756678961504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452.72734000000003</v>
      </c>
      <c r="C11" s="29">
        <f>IF(ISERROR(VLOOKUP("Celkem:",'ZV Vykáz.-A'!A:H,5,0)),0,VLOOKUP("Celkem:",'ZV Vykáz.-A'!A:H,5,0)/1000)</f>
        <v>457.83233999999999</v>
      </c>
      <c r="D11" s="8"/>
      <c r="E11" s="89">
        <f>IF(ISERROR(VLOOKUP("Celkem:",'ZV Vykáz.-A'!A:H,8,0)),0,VLOOKUP("Celkem:",'ZV Vykáz.-A'!A:H,8,0)/1000)</f>
        <v>575.46966999999995</v>
      </c>
      <c r="F11" s="28">
        <f>C11</f>
        <v>457.83233999999999</v>
      </c>
      <c r="G11" s="88">
        <f>E11-F11</f>
        <v>117.63732999999996</v>
      </c>
      <c r="H11" s="94">
        <f>IF(F11&lt;0.00000001,"",E11/F11)</f>
        <v>1.2569441250043629</v>
      </c>
      <c r="I11" s="88">
        <f>E11-B11</f>
        <v>122.74232999999992</v>
      </c>
      <c r="J11" s="94">
        <f>IF(B11&lt;0.00000001,"",E11/B11)</f>
        <v>1.2711175560989976</v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55</v>
      </c>
      <c r="B13" s="5">
        <f>SUM(B11:B12)</f>
        <v>452.72734000000003</v>
      </c>
      <c r="C13" s="37">
        <f>SUM(C11:C12)</f>
        <v>457.83233999999999</v>
      </c>
      <c r="D13" s="8"/>
      <c r="E13" s="5">
        <f>SUM(E11:E12)</f>
        <v>575.46966999999995</v>
      </c>
      <c r="F13" s="36">
        <f>SUM(F11:F12)</f>
        <v>457.83233999999999</v>
      </c>
      <c r="G13" s="36">
        <f>E13-F13</f>
        <v>117.63732999999996</v>
      </c>
      <c r="H13" s="98">
        <f>IF(F13&lt;0.00000001,"",E13/F13)</f>
        <v>1.2569441250043629</v>
      </c>
      <c r="I13" s="36">
        <f>SUM(I11:I12)</f>
        <v>122.74232999999992</v>
      </c>
      <c r="J13" s="98">
        <f>IF(B13&lt;0.00000001,"",E13/B13)</f>
        <v>1.2711175560989976</v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0.22519998062810159</v>
      </c>
      <c r="C15" s="39">
        <f>IF(C9=0,"",C13/C9)</f>
        <v>0.19770732617263914</v>
      </c>
      <c r="D15" s="8"/>
      <c r="E15" s="6">
        <f>IF(E9=0,"",E13/E9)</f>
        <v>0.2363592030088128</v>
      </c>
      <c r="F15" s="38">
        <f>IF(F9=0,"",F13/F9)</f>
        <v>0.20172409307441719</v>
      </c>
      <c r="G15" s="38">
        <f>IF(ISERROR(F15-E15),"",E15-F15)</f>
        <v>3.4635109934395614E-2</v>
      </c>
      <c r="H15" s="99">
        <f>IF(ISERROR(F15-E15),"",IF(F15&lt;0.00000001,"",E15/F15))</f>
        <v>1.1716954549480538</v>
      </c>
    </row>
    <row r="17" spans="1:8" ht="14.4" customHeight="1" x14ac:dyDescent="0.3">
      <c r="A17" s="85" t="s">
        <v>113</v>
      </c>
    </row>
    <row r="18" spans="1:8" ht="14.4" customHeight="1" x14ac:dyDescent="0.3">
      <c r="A18" s="196" t="s">
        <v>138</v>
      </c>
      <c r="B18" s="197"/>
      <c r="C18" s="197"/>
      <c r="D18" s="197"/>
      <c r="E18" s="197"/>
      <c r="F18" s="197"/>
      <c r="G18" s="197"/>
      <c r="H18" s="197"/>
    </row>
    <row r="19" spans="1:8" x14ac:dyDescent="0.3">
      <c r="A19" s="195" t="s">
        <v>137</v>
      </c>
      <c r="B19" s="197"/>
      <c r="C19" s="197"/>
      <c r="D19" s="197"/>
      <c r="E19" s="197"/>
      <c r="F19" s="197"/>
      <c r="G19" s="197"/>
      <c r="H19" s="197"/>
    </row>
    <row r="20" spans="1:8" ht="14.4" customHeight="1" x14ac:dyDescent="0.3">
      <c r="A20" s="86" t="s">
        <v>157</v>
      </c>
    </row>
    <row r="21" spans="1:8" ht="14.4" customHeight="1" x14ac:dyDescent="0.3">
      <c r="A21" s="86" t="s">
        <v>114</v>
      </c>
    </row>
    <row r="22" spans="1:8" ht="14.4" customHeight="1" x14ac:dyDescent="0.3">
      <c r="A22" s="87" t="s">
        <v>197</v>
      </c>
    </row>
    <row r="23" spans="1:8" ht="14.4" customHeight="1" x14ac:dyDescent="0.3">
      <c r="A23" s="87" t="s">
        <v>115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8" operator="greaterThan">
      <formula>0</formula>
    </cfRule>
  </conditionalFormatting>
  <conditionalFormatting sqref="G11:G13 G15">
    <cfRule type="cellIs" dxfId="42" priority="7" operator="lessThan">
      <formula>0</formula>
    </cfRule>
  </conditionalFormatting>
  <conditionalFormatting sqref="H5:H9">
    <cfRule type="cellIs" dxfId="41" priority="6" operator="greaterThan">
      <formula>1</formula>
    </cfRule>
  </conditionalFormatting>
  <conditionalFormatting sqref="H11:H13 H15">
    <cfRule type="cellIs" dxfId="40" priority="5" operator="lessThan">
      <formula>1</formula>
    </cfRule>
  </conditionalFormatting>
  <conditionalFormatting sqref="I11:I13">
    <cfRule type="cellIs" dxfId="39" priority="4" operator="lessThan">
      <formula>0</formula>
    </cfRule>
  </conditionalFormatting>
  <conditionalFormatting sqref="J11:J13">
    <cfRule type="cellIs" dxfId="38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88" t="s">
        <v>79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" customHeight="1" x14ac:dyDescent="0.3">
      <c r="A2" s="193" t="s">
        <v>219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57</v>
      </c>
      <c r="C3" s="169" t="s">
        <v>58</v>
      </c>
      <c r="D3" s="169" t="s">
        <v>59</v>
      </c>
      <c r="E3" s="168" t="s">
        <v>60</v>
      </c>
      <c r="F3" s="169" t="s">
        <v>61</v>
      </c>
      <c r="G3" s="169" t="s">
        <v>62</v>
      </c>
      <c r="H3" s="169" t="s">
        <v>63</v>
      </c>
      <c r="I3" s="169" t="s">
        <v>64</v>
      </c>
      <c r="J3" s="169" t="s">
        <v>65</v>
      </c>
      <c r="K3" s="169" t="s">
        <v>66</v>
      </c>
      <c r="L3" s="169" t="s">
        <v>67</v>
      </c>
      <c r="M3" s="169" t="s">
        <v>68</v>
      </c>
    </row>
    <row r="4" spans="1:13" ht="14.4" customHeight="1" x14ac:dyDescent="0.3">
      <c r="A4" s="167" t="s">
        <v>56</v>
      </c>
      <c r="B4" s="170">
        <f>(B10+B8)/B6</f>
        <v>0.20003769529601173</v>
      </c>
      <c r="C4" s="170">
        <f t="shared" ref="C4:M4" si="0">(C10+C8)/C6</f>
        <v>0.19901749643227329</v>
      </c>
      <c r="D4" s="170">
        <f t="shared" si="0"/>
        <v>0.19451184242495187</v>
      </c>
      <c r="E4" s="170">
        <f t="shared" si="0"/>
        <v>0.21976817487908415</v>
      </c>
      <c r="F4" s="170">
        <f t="shared" si="0"/>
        <v>0.24470756341079791</v>
      </c>
      <c r="G4" s="170">
        <f t="shared" si="0"/>
        <v>0.25642106789011759</v>
      </c>
      <c r="H4" s="170">
        <f t="shared" si="0"/>
        <v>0.21691962801680456</v>
      </c>
      <c r="I4" s="170">
        <f t="shared" si="0"/>
        <v>0.21691962801680456</v>
      </c>
      <c r="J4" s="170">
        <f t="shared" si="0"/>
        <v>0.21691962801680456</v>
      </c>
      <c r="K4" s="170">
        <f t="shared" si="0"/>
        <v>0.21691962801680456</v>
      </c>
      <c r="L4" s="170">
        <f t="shared" si="0"/>
        <v>0.21691962801680456</v>
      </c>
      <c r="M4" s="170">
        <f t="shared" si="0"/>
        <v>0.21691962801680456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347.31124</v>
      </c>
      <c r="C5" s="170">
        <f>IF(ISERROR(VLOOKUP($A5,'Man Tab'!$A:$Q,COLUMN()+2,0)),0,VLOOKUP($A5,'Man Tab'!$A:$Q,COLUMN()+2,0))</f>
        <v>342.91118999999998</v>
      </c>
      <c r="D5" s="170">
        <f>IF(ISERROR(VLOOKUP($A5,'Man Tab'!$A:$Q,COLUMN()+2,0)),0,VLOOKUP($A5,'Man Tab'!$A:$Q,COLUMN()+2,0))</f>
        <v>352.526420000001</v>
      </c>
      <c r="E5" s="170">
        <f>IF(ISERROR(VLOOKUP($A5,'Man Tab'!$A:$Q,COLUMN()+2,0)),0,VLOOKUP($A5,'Man Tab'!$A:$Q,COLUMN()+2,0))</f>
        <v>337.22498000000098</v>
      </c>
      <c r="F5" s="170">
        <f>IF(ISERROR(VLOOKUP($A5,'Man Tab'!$A:$Q,COLUMN()+2,0)),0,VLOOKUP($A5,'Man Tab'!$A:$Q,COLUMN()+2,0))</f>
        <v>345.73225000000002</v>
      </c>
      <c r="G5" s="170">
        <f>IF(ISERROR(VLOOKUP($A5,'Man Tab'!$A:$Q,COLUMN()+2,0)),0,VLOOKUP($A5,'Man Tab'!$A:$Q,COLUMN()+2,0))</f>
        <v>333.95170999999999</v>
      </c>
      <c r="H5" s="170">
        <f>IF(ISERROR(VLOOKUP($A5,'Man Tab'!$A:$Q,COLUMN()+2,0)),0,VLOOKUP($A5,'Man Tab'!$A:$Q,COLUMN()+2,0))</f>
        <v>375.06725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52</v>
      </c>
      <c r="B6" s="172">
        <f>B5</f>
        <v>347.31124</v>
      </c>
      <c r="C6" s="172">
        <f t="shared" ref="C6:M6" si="1">C5+B6</f>
        <v>690.22243000000003</v>
      </c>
      <c r="D6" s="172">
        <f t="shared" si="1"/>
        <v>1042.7488500000011</v>
      </c>
      <c r="E6" s="172">
        <f t="shared" si="1"/>
        <v>1379.9738300000022</v>
      </c>
      <c r="F6" s="172">
        <f t="shared" si="1"/>
        <v>1725.7060800000022</v>
      </c>
      <c r="G6" s="172">
        <f t="shared" si="1"/>
        <v>2059.657790000002</v>
      </c>
      <c r="H6" s="172">
        <f t="shared" si="1"/>
        <v>2434.7250400000021</v>
      </c>
      <c r="I6" s="172">
        <f t="shared" si="1"/>
        <v>2434.7250400000021</v>
      </c>
      <c r="J6" s="172">
        <f t="shared" si="1"/>
        <v>2434.7250400000021</v>
      </c>
      <c r="K6" s="172">
        <f t="shared" si="1"/>
        <v>2434.7250400000021</v>
      </c>
      <c r="L6" s="172">
        <f t="shared" si="1"/>
        <v>2434.7250400000021</v>
      </c>
      <c r="M6" s="172">
        <f t="shared" si="1"/>
        <v>2434.7250400000021</v>
      </c>
    </row>
    <row r="7" spans="1:13" ht="14.4" customHeight="1" x14ac:dyDescent="0.3">
      <c r="A7" s="171" t="s">
        <v>77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53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78</v>
      </c>
      <c r="B9" s="171">
        <v>69475.34</v>
      </c>
      <c r="C9" s="171">
        <v>67891</v>
      </c>
      <c r="D9" s="171">
        <v>65460.66</v>
      </c>
      <c r="E9" s="171">
        <v>100447.33</v>
      </c>
      <c r="F9" s="171">
        <v>119019</v>
      </c>
      <c r="G9" s="171">
        <v>105846.32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54</v>
      </c>
      <c r="B10" s="172">
        <f>B9/1000</f>
        <v>69.475340000000003</v>
      </c>
      <c r="C10" s="172">
        <f t="shared" ref="C10:M10" si="3">C9/1000+B10</f>
        <v>137.36634000000001</v>
      </c>
      <c r="D10" s="172">
        <f t="shared" si="3"/>
        <v>202.827</v>
      </c>
      <c r="E10" s="172">
        <f t="shared" si="3"/>
        <v>303.27433000000002</v>
      </c>
      <c r="F10" s="172">
        <f t="shared" si="3"/>
        <v>422.29333000000003</v>
      </c>
      <c r="G10" s="172">
        <f t="shared" si="3"/>
        <v>528.13965000000007</v>
      </c>
      <c r="H10" s="172">
        <f t="shared" si="3"/>
        <v>528.13965000000007</v>
      </c>
      <c r="I10" s="172">
        <f t="shared" si="3"/>
        <v>528.13965000000007</v>
      </c>
      <c r="J10" s="172">
        <f t="shared" si="3"/>
        <v>528.13965000000007</v>
      </c>
      <c r="K10" s="172">
        <f t="shared" si="3"/>
        <v>528.13965000000007</v>
      </c>
      <c r="L10" s="172">
        <f t="shared" si="3"/>
        <v>528.13965000000007</v>
      </c>
      <c r="M10" s="172">
        <f t="shared" si="3"/>
        <v>528.13965000000007</v>
      </c>
    </row>
    <row r="11" spans="1:13" ht="14.4" customHeight="1" x14ac:dyDescent="0.3">
      <c r="A11" s="167"/>
      <c r="B11" s="167" t="s">
        <v>69</v>
      </c>
      <c r="C11" s="167">
        <f ca="1">IF(MONTH(TODAY())=1,12,MONTH(TODAY())-1)</f>
        <v>7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0.20172409307441719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0.20172409307441719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300" t="s">
        <v>221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73" customFormat="1" ht="14.4" customHeight="1" thickBot="1" x14ac:dyDescent="0.3">
      <c r="A2" s="193" t="s">
        <v>219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301" t="s">
        <v>5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09"/>
      <c r="Q3" s="111"/>
    </row>
    <row r="4" spans="1:17" ht="14.4" customHeight="1" x14ac:dyDescent="0.3">
      <c r="A4" s="60"/>
      <c r="B4" s="20">
        <v>2018</v>
      </c>
      <c r="C4" s="110" t="s">
        <v>6</v>
      </c>
      <c r="D4" s="223" t="s">
        <v>198</v>
      </c>
      <c r="E4" s="223" t="s">
        <v>199</v>
      </c>
      <c r="F4" s="223" t="s">
        <v>200</v>
      </c>
      <c r="G4" s="223" t="s">
        <v>201</v>
      </c>
      <c r="H4" s="223" t="s">
        <v>202</v>
      </c>
      <c r="I4" s="223" t="s">
        <v>203</v>
      </c>
      <c r="J4" s="223" t="s">
        <v>204</v>
      </c>
      <c r="K4" s="223" t="s">
        <v>205</v>
      </c>
      <c r="L4" s="223" t="s">
        <v>206</v>
      </c>
      <c r="M4" s="223" t="s">
        <v>207</v>
      </c>
      <c r="N4" s="223" t="s">
        <v>208</v>
      </c>
      <c r="O4" s="223" t="s">
        <v>209</v>
      </c>
      <c r="P4" s="303" t="s">
        <v>3</v>
      </c>
      <c r="Q4" s="304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220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220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220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220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220</v>
      </c>
    </row>
    <row r="11" spans="1:17" ht="14.4" customHeight="1" x14ac:dyDescent="0.3">
      <c r="A11" s="15" t="s">
        <v>15</v>
      </c>
      <c r="B11" s="46">
        <v>9.1628049235080002</v>
      </c>
      <c r="C11" s="47">
        <v>0.76356707695899995</v>
      </c>
      <c r="D11" s="47">
        <v>0.76461000000000001</v>
      </c>
      <c r="E11" s="47">
        <v>0.43542999999999998</v>
      </c>
      <c r="F11" s="47">
        <v>2.61788</v>
      </c>
      <c r="G11" s="47">
        <v>0.115</v>
      </c>
      <c r="H11" s="47">
        <v>0.30248000000000003</v>
      </c>
      <c r="I11" s="47">
        <v>0</v>
      </c>
      <c r="J11" s="47">
        <v>0.88129000000000002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5.1166900000000002</v>
      </c>
      <c r="Q11" s="70">
        <v>0.95729076899999999</v>
      </c>
    </row>
    <row r="12" spans="1:17" ht="14.4" customHeight="1" x14ac:dyDescent="0.3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220</v>
      </c>
    </row>
    <row r="13" spans="1:17" ht="14.4" customHeight="1" x14ac:dyDescent="0.3">
      <c r="A13" s="15" t="s">
        <v>17</v>
      </c>
      <c r="B13" s="46">
        <v>2.287292651295</v>
      </c>
      <c r="C13" s="47">
        <v>0.19060772094100001</v>
      </c>
      <c r="D13" s="47">
        <v>0.56144000000000005</v>
      </c>
      <c r="E13" s="47">
        <v>0.62436000000000003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1.1858</v>
      </c>
      <c r="Q13" s="70">
        <v>0.88873629653300001</v>
      </c>
    </row>
    <row r="14" spans="1:17" ht="14.4" customHeight="1" x14ac:dyDescent="0.3">
      <c r="A14" s="15" t="s">
        <v>18</v>
      </c>
      <c r="B14" s="46">
        <v>144.47571074754899</v>
      </c>
      <c r="C14" s="47">
        <v>12.039642562295001</v>
      </c>
      <c r="D14" s="47">
        <v>16.683</v>
      </c>
      <c r="E14" s="47">
        <v>15.102</v>
      </c>
      <c r="F14" s="47">
        <v>15.115</v>
      </c>
      <c r="G14" s="47">
        <v>10.587999999999999</v>
      </c>
      <c r="H14" s="47">
        <v>9.5340000000000007</v>
      </c>
      <c r="I14" s="47">
        <v>8.0489999999999995</v>
      </c>
      <c r="J14" s="47">
        <v>10.385999999999999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85.456999999999994</v>
      </c>
      <c r="Q14" s="70">
        <v>1.01399545659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220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220</v>
      </c>
    </row>
    <row r="17" spans="1:17" ht="14.4" customHeight="1" x14ac:dyDescent="0.3">
      <c r="A17" s="15" t="s">
        <v>21</v>
      </c>
      <c r="B17" s="46">
        <v>1.190799967524</v>
      </c>
      <c r="C17" s="47">
        <v>9.9233330627000002E-2</v>
      </c>
      <c r="D17" s="47">
        <v>0</v>
      </c>
      <c r="E17" s="47">
        <v>0</v>
      </c>
      <c r="F17" s="47">
        <v>1.4719599999999999</v>
      </c>
      <c r="G17" s="47">
        <v>0</v>
      </c>
      <c r="H17" s="47">
        <v>9.2850699999999993</v>
      </c>
      <c r="I17" s="47">
        <v>0.57848999999999995</v>
      </c>
      <c r="J17" s="47">
        <v>1.40198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12.737500000000001</v>
      </c>
      <c r="Q17" s="70">
        <v>18.337012832730998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1.347</v>
      </c>
      <c r="E18" s="47">
        <v>0.59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1.9370000000000001</v>
      </c>
      <c r="Q18" s="70" t="s">
        <v>220</v>
      </c>
    </row>
    <row r="19" spans="1:17" ht="14.4" customHeight="1" x14ac:dyDescent="0.3">
      <c r="A19" s="15" t="s">
        <v>23</v>
      </c>
      <c r="B19" s="46">
        <v>29.189242695968002</v>
      </c>
      <c r="C19" s="47">
        <v>2.4324368913300001</v>
      </c>
      <c r="D19" s="47">
        <v>1.8077099999999999</v>
      </c>
      <c r="E19" s="47">
        <v>1.63731</v>
      </c>
      <c r="F19" s="47">
        <v>9.7748699999999999</v>
      </c>
      <c r="G19" s="47">
        <v>3.4453</v>
      </c>
      <c r="H19" s="47">
        <v>1.9244300000000001</v>
      </c>
      <c r="I19" s="47">
        <v>2.09212</v>
      </c>
      <c r="J19" s="47">
        <v>2.87893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23.560669999999998</v>
      </c>
      <c r="Q19" s="70">
        <v>1.3837193523889999</v>
      </c>
    </row>
    <row r="20" spans="1:17" ht="14.4" customHeight="1" x14ac:dyDescent="0.3">
      <c r="A20" s="15" t="s">
        <v>24</v>
      </c>
      <c r="B20" s="46">
        <v>3681.1589999999901</v>
      </c>
      <c r="C20" s="47">
        <v>306.763249999999</v>
      </c>
      <c r="D20" s="47">
        <v>322.73748000000001</v>
      </c>
      <c r="E20" s="47">
        <v>321.11209000000002</v>
      </c>
      <c r="F20" s="47">
        <v>321.73671000000098</v>
      </c>
      <c r="G20" s="47">
        <v>321.26668000000097</v>
      </c>
      <c r="H20" s="47">
        <v>322.87626999999998</v>
      </c>
      <c r="I20" s="47">
        <v>321.4221</v>
      </c>
      <c r="J20" s="47">
        <v>357.70904999999999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2288.8603800000001</v>
      </c>
      <c r="Q20" s="70">
        <v>1.0659036057469999</v>
      </c>
    </row>
    <row r="21" spans="1:17" ht="14.4" customHeight="1" x14ac:dyDescent="0.3">
      <c r="A21" s="16" t="s">
        <v>25</v>
      </c>
      <c r="B21" s="46">
        <v>22.024555452819001</v>
      </c>
      <c r="C21" s="47">
        <v>1.835379621068</v>
      </c>
      <c r="D21" s="47">
        <v>1.81</v>
      </c>
      <c r="E21" s="47">
        <v>1.81</v>
      </c>
      <c r="F21" s="47">
        <v>1.81</v>
      </c>
      <c r="G21" s="47">
        <v>1.81</v>
      </c>
      <c r="H21" s="47">
        <v>1.81</v>
      </c>
      <c r="I21" s="47">
        <v>1.81</v>
      </c>
      <c r="J21" s="47">
        <v>1.81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12.67</v>
      </c>
      <c r="Q21" s="70">
        <v>0.986172004539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220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220</v>
      </c>
    </row>
    <row r="24" spans="1:17" ht="14.4" customHeight="1" x14ac:dyDescent="0.3">
      <c r="A24" s="16" t="s">
        <v>28</v>
      </c>
      <c r="B24" s="46">
        <v>1.247647293674</v>
      </c>
      <c r="C24" s="47">
        <v>0.103970607806</v>
      </c>
      <c r="D24" s="47">
        <v>1.599999999999</v>
      </c>
      <c r="E24" s="47">
        <v>1.6</v>
      </c>
      <c r="F24" s="47">
        <v>0</v>
      </c>
      <c r="G24" s="47">
        <v>0</v>
      </c>
      <c r="H24" s="47">
        <v>5.6843418860808002E-14</v>
      </c>
      <c r="I24" s="47">
        <v>0</v>
      </c>
      <c r="J24" s="47">
        <v>5.6843418860808002E-14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3.2</v>
      </c>
      <c r="Q24" s="70"/>
    </row>
    <row r="25" spans="1:17" ht="14.4" customHeight="1" x14ac:dyDescent="0.3">
      <c r="A25" s="17" t="s">
        <v>29</v>
      </c>
      <c r="B25" s="49">
        <v>3890.73705373233</v>
      </c>
      <c r="C25" s="50">
        <v>324.22808781102799</v>
      </c>
      <c r="D25" s="50">
        <v>347.31124</v>
      </c>
      <c r="E25" s="50">
        <v>342.91118999999998</v>
      </c>
      <c r="F25" s="50">
        <v>352.526420000001</v>
      </c>
      <c r="G25" s="50">
        <v>337.22498000000098</v>
      </c>
      <c r="H25" s="50">
        <v>345.73225000000002</v>
      </c>
      <c r="I25" s="50">
        <v>333.95170999999999</v>
      </c>
      <c r="J25" s="50">
        <v>375.06725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2434.7250399999998</v>
      </c>
      <c r="Q25" s="71">
        <v>1.0727567287749999</v>
      </c>
    </row>
    <row r="26" spans="1:17" ht="14.4" customHeight="1" x14ac:dyDescent="0.3">
      <c r="A26" s="15" t="s">
        <v>30</v>
      </c>
      <c r="B26" s="46">
        <v>531.26276105456304</v>
      </c>
      <c r="C26" s="47">
        <v>44.271896754545999</v>
      </c>
      <c r="D26" s="47">
        <v>42.591059999999999</v>
      </c>
      <c r="E26" s="47">
        <v>42.913139999999999</v>
      </c>
      <c r="F26" s="47">
        <v>41.783880000000003</v>
      </c>
      <c r="G26" s="47">
        <v>45.116300000000003</v>
      </c>
      <c r="H26" s="47">
        <v>40.447519999999997</v>
      </c>
      <c r="I26" s="47">
        <v>54.71846</v>
      </c>
      <c r="J26" s="47">
        <v>45.788710000000002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313.35906999999997</v>
      </c>
      <c r="Q26" s="70">
        <v>1.011151197717</v>
      </c>
    </row>
    <row r="27" spans="1:17" ht="14.4" customHeight="1" x14ac:dyDescent="0.3">
      <c r="A27" s="18" t="s">
        <v>31</v>
      </c>
      <c r="B27" s="49">
        <v>4421.9998147869001</v>
      </c>
      <c r="C27" s="50">
        <v>368.49998456557501</v>
      </c>
      <c r="D27" s="50">
        <v>389.90230000000003</v>
      </c>
      <c r="E27" s="50">
        <v>385.82432999999997</v>
      </c>
      <c r="F27" s="50">
        <v>394.31030000000101</v>
      </c>
      <c r="G27" s="50">
        <v>382.34128000000101</v>
      </c>
      <c r="H27" s="50">
        <v>386.17977000000002</v>
      </c>
      <c r="I27" s="50">
        <v>388.67016999999998</v>
      </c>
      <c r="J27" s="50">
        <v>420.85595999999998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2748.0841099999998</v>
      </c>
      <c r="Q27" s="71">
        <v>1.06535538868</v>
      </c>
    </row>
    <row r="28" spans="1:17" ht="14.4" customHeight="1" x14ac:dyDescent="0.3">
      <c r="A28" s="16" t="s">
        <v>32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220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220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113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218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36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300" t="s">
        <v>37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1" s="55" customFormat="1" ht="14.4" customHeight="1" thickBot="1" x14ac:dyDescent="0.35">
      <c r="A2" s="193" t="s">
        <v>219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301" t="s">
        <v>38</v>
      </c>
      <c r="C3" s="302"/>
      <c r="D3" s="302"/>
      <c r="E3" s="302"/>
      <c r="F3" s="308" t="s">
        <v>39</v>
      </c>
      <c r="G3" s="302"/>
      <c r="H3" s="302"/>
      <c r="I3" s="302"/>
      <c r="J3" s="302"/>
      <c r="K3" s="309"/>
    </row>
    <row r="4" spans="1:11" ht="14.4" customHeight="1" x14ac:dyDescent="0.3">
      <c r="A4" s="60"/>
      <c r="B4" s="306"/>
      <c r="C4" s="307"/>
      <c r="D4" s="307"/>
      <c r="E4" s="307"/>
      <c r="F4" s="310" t="s">
        <v>214</v>
      </c>
      <c r="G4" s="312" t="s">
        <v>40</v>
      </c>
      <c r="H4" s="112" t="s">
        <v>105</v>
      </c>
      <c r="I4" s="310" t="s">
        <v>41</v>
      </c>
      <c r="J4" s="312" t="s">
        <v>216</v>
      </c>
      <c r="K4" s="313" t="s">
        <v>217</v>
      </c>
    </row>
    <row r="5" spans="1:11" ht="42" thickBot="1" x14ac:dyDescent="0.35">
      <c r="A5" s="61"/>
      <c r="B5" s="24" t="s">
        <v>210</v>
      </c>
      <c r="C5" s="25" t="s">
        <v>211</v>
      </c>
      <c r="D5" s="26" t="s">
        <v>212</v>
      </c>
      <c r="E5" s="26" t="s">
        <v>213</v>
      </c>
      <c r="F5" s="311"/>
      <c r="G5" s="311"/>
      <c r="H5" s="25" t="s">
        <v>215</v>
      </c>
      <c r="I5" s="311"/>
      <c r="J5" s="311"/>
      <c r="K5" s="314"/>
    </row>
    <row r="6" spans="1:11" ht="14.4" customHeight="1" thickBot="1" x14ac:dyDescent="0.35">
      <c r="A6" s="406" t="s">
        <v>222</v>
      </c>
      <c r="B6" s="388">
        <v>3565.8989128151402</v>
      </c>
      <c r="C6" s="388">
        <v>3813.2061199999998</v>
      </c>
      <c r="D6" s="389">
        <v>247.30720718486199</v>
      </c>
      <c r="E6" s="390">
        <v>1.069353398184</v>
      </c>
      <c r="F6" s="388">
        <v>3890.73705373233</v>
      </c>
      <c r="G6" s="389">
        <v>2269.5966146771898</v>
      </c>
      <c r="H6" s="391">
        <v>375.06725</v>
      </c>
      <c r="I6" s="388">
        <v>2434.7250399999998</v>
      </c>
      <c r="J6" s="389">
        <v>165.12842532280899</v>
      </c>
      <c r="K6" s="392">
        <v>0.62577475845200004</v>
      </c>
    </row>
    <row r="7" spans="1:11" ht="14.4" customHeight="1" thickBot="1" x14ac:dyDescent="0.35">
      <c r="A7" s="407" t="s">
        <v>223</v>
      </c>
      <c r="B7" s="388">
        <v>162.66389688734901</v>
      </c>
      <c r="C7" s="388">
        <v>152.95975000000001</v>
      </c>
      <c r="D7" s="389">
        <v>-9.7041468873479992</v>
      </c>
      <c r="E7" s="390">
        <v>0.94034234348800005</v>
      </c>
      <c r="F7" s="388">
        <v>155.92580832235399</v>
      </c>
      <c r="G7" s="389">
        <v>90.956721521372998</v>
      </c>
      <c r="H7" s="391">
        <v>11.267289999999999</v>
      </c>
      <c r="I7" s="388">
        <v>91.75949</v>
      </c>
      <c r="J7" s="389">
        <v>0.80276847862699996</v>
      </c>
      <c r="K7" s="392">
        <v>0.588481733635</v>
      </c>
    </row>
    <row r="8" spans="1:11" ht="14.4" customHeight="1" thickBot="1" x14ac:dyDescent="0.35">
      <c r="A8" s="408" t="s">
        <v>224</v>
      </c>
      <c r="B8" s="388">
        <v>13.159990276766999</v>
      </c>
      <c r="C8" s="388">
        <v>10.43075</v>
      </c>
      <c r="D8" s="389">
        <v>-2.7292402767669999</v>
      </c>
      <c r="E8" s="390">
        <v>0.79261076798899999</v>
      </c>
      <c r="F8" s="388">
        <v>11.450097574803999</v>
      </c>
      <c r="G8" s="389">
        <v>6.6792235853020001</v>
      </c>
      <c r="H8" s="391">
        <v>0.88129000000000002</v>
      </c>
      <c r="I8" s="388">
        <v>6.3024899999999997</v>
      </c>
      <c r="J8" s="389">
        <v>-0.37673358530200002</v>
      </c>
      <c r="K8" s="392">
        <v>0.550431117187</v>
      </c>
    </row>
    <row r="9" spans="1:11" ht="14.4" customHeight="1" thickBot="1" x14ac:dyDescent="0.35">
      <c r="A9" s="409" t="s">
        <v>225</v>
      </c>
      <c r="B9" s="393">
        <v>2.6015981587000001E-2</v>
      </c>
      <c r="C9" s="393">
        <v>0</v>
      </c>
      <c r="D9" s="394">
        <v>-2.6015981587000001E-2</v>
      </c>
      <c r="E9" s="395">
        <v>0</v>
      </c>
      <c r="F9" s="393">
        <v>0</v>
      </c>
      <c r="G9" s="394">
        <v>0</v>
      </c>
      <c r="H9" s="396">
        <v>0</v>
      </c>
      <c r="I9" s="393">
        <v>0</v>
      </c>
      <c r="J9" s="394">
        <v>0</v>
      </c>
      <c r="K9" s="397">
        <v>0</v>
      </c>
    </row>
    <row r="10" spans="1:11" ht="14.4" customHeight="1" thickBot="1" x14ac:dyDescent="0.35">
      <c r="A10" s="410" t="s">
        <v>226</v>
      </c>
      <c r="B10" s="388">
        <v>2.6015981587000001E-2</v>
      </c>
      <c r="C10" s="388">
        <v>0</v>
      </c>
      <c r="D10" s="389">
        <v>-2.6015981587000001E-2</v>
      </c>
      <c r="E10" s="390">
        <v>0</v>
      </c>
      <c r="F10" s="388">
        <v>0</v>
      </c>
      <c r="G10" s="389">
        <v>0</v>
      </c>
      <c r="H10" s="391">
        <v>0</v>
      </c>
      <c r="I10" s="388">
        <v>0</v>
      </c>
      <c r="J10" s="389">
        <v>0</v>
      </c>
      <c r="K10" s="392">
        <v>0</v>
      </c>
    </row>
    <row r="11" spans="1:11" ht="14.4" customHeight="1" thickBot="1" x14ac:dyDescent="0.35">
      <c r="A11" s="409" t="s">
        <v>227</v>
      </c>
      <c r="B11" s="393">
        <v>11.13397429518</v>
      </c>
      <c r="C11" s="393">
        <v>8.38584</v>
      </c>
      <c r="D11" s="394">
        <v>-2.7481342951799999</v>
      </c>
      <c r="E11" s="395">
        <v>0.75317580027300002</v>
      </c>
      <c r="F11" s="393">
        <v>9.1628049235080002</v>
      </c>
      <c r="G11" s="394">
        <v>5.3449695387130003</v>
      </c>
      <c r="H11" s="396">
        <v>0.88129000000000002</v>
      </c>
      <c r="I11" s="393">
        <v>5.1166900000000002</v>
      </c>
      <c r="J11" s="394">
        <v>-0.228279538713</v>
      </c>
      <c r="K11" s="397">
        <v>0.55841961524999995</v>
      </c>
    </row>
    <row r="12" spans="1:11" ht="14.4" customHeight="1" thickBot="1" x14ac:dyDescent="0.35">
      <c r="A12" s="410" t="s">
        <v>228</v>
      </c>
      <c r="B12" s="388">
        <v>0</v>
      </c>
      <c r="C12" s="388">
        <v>0.11899999999999999</v>
      </c>
      <c r="D12" s="389">
        <v>0.11899999999999999</v>
      </c>
      <c r="E12" s="398" t="s">
        <v>229</v>
      </c>
      <c r="F12" s="388">
        <v>0</v>
      </c>
      <c r="G12" s="389">
        <v>0</v>
      </c>
      <c r="H12" s="391">
        <v>0</v>
      </c>
      <c r="I12" s="388">
        <v>0</v>
      </c>
      <c r="J12" s="389">
        <v>0</v>
      </c>
      <c r="K12" s="399" t="s">
        <v>220</v>
      </c>
    </row>
    <row r="13" spans="1:11" ht="14.4" customHeight="1" thickBot="1" x14ac:dyDescent="0.35">
      <c r="A13" s="410" t="s">
        <v>230</v>
      </c>
      <c r="B13" s="388">
        <v>0</v>
      </c>
      <c r="C13" s="388">
        <v>0.11962</v>
      </c>
      <c r="D13" s="389">
        <v>0.11962</v>
      </c>
      <c r="E13" s="398" t="s">
        <v>229</v>
      </c>
      <c r="F13" s="388">
        <v>0</v>
      </c>
      <c r="G13" s="389">
        <v>0</v>
      </c>
      <c r="H13" s="391">
        <v>0</v>
      </c>
      <c r="I13" s="388">
        <v>0</v>
      </c>
      <c r="J13" s="389">
        <v>0</v>
      </c>
      <c r="K13" s="399" t="s">
        <v>220</v>
      </c>
    </row>
    <row r="14" spans="1:11" ht="14.4" customHeight="1" thickBot="1" x14ac:dyDescent="0.35">
      <c r="A14" s="410" t="s">
        <v>231</v>
      </c>
      <c r="B14" s="388">
        <v>1.6191333473759999</v>
      </c>
      <c r="C14" s="388">
        <v>1.7938000000000001</v>
      </c>
      <c r="D14" s="389">
        <v>0.17466665262299999</v>
      </c>
      <c r="E14" s="390">
        <v>1.1078766322160001</v>
      </c>
      <c r="F14" s="388">
        <v>1.7250610238649999</v>
      </c>
      <c r="G14" s="389">
        <v>1.0062855972539999</v>
      </c>
      <c r="H14" s="391">
        <v>0</v>
      </c>
      <c r="I14" s="388">
        <v>0.34993000000000002</v>
      </c>
      <c r="J14" s="389">
        <v>-0.65635559725399995</v>
      </c>
      <c r="K14" s="392">
        <v>0.20285079493300001</v>
      </c>
    </row>
    <row r="15" spans="1:11" ht="14.4" customHeight="1" thickBot="1" x14ac:dyDescent="0.35">
      <c r="A15" s="410" t="s">
        <v>232</v>
      </c>
      <c r="B15" s="388">
        <v>5</v>
      </c>
      <c r="C15" s="388">
        <v>3.2206000000000001</v>
      </c>
      <c r="D15" s="389">
        <v>-1.7794000000000001</v>
      </c>
      <c r="E15" s="390">
        <v>0.64412000000000003</v>
      </c>
      <c r="F15" s="388">
        <v>5</v>
      </c>
      <c r="G15" s="389">
        <v>2.9166666666659999</v>
      </c>
      <c r="H15" s="391">
        <v>0.60499999999999998</v>
      </c>
      <c r="I15" s="388">
        <v>3.43506</v>
      </c>
      <c r="J15" s="389">
        <v>0.51839333333299997</v>
      </c>
      <c r="K15" s="392">
        <v>0.68701199999999996</v>
      </c>
    </row>
    <row r="16" spans="1:11" ht="14.4" customHeight="1" thickBot="1" x14ac:dyDescent="0.35">
      <c r="A16" s="410" t="s">
        <v>233</v>
      </c>
      <c r="B16" s="388">
        <v>1.8359810398809999</v>
      </c>
      <c r="C16" s="388">
        <v>0.14499999999999999</v>
      </c>
      <c r="D16" s="389">
        <v>-1.6909810398809999</v>
      </c>
      <c r="E16" s="390">
        <v>7.8976850441000002E-2</v>
      </c>
      <c r="F16" s="388">
        <v>0.13108270061800001</v>
      </c>
      <c r="G16" s="389">
        <v>7.6464908693000003E-2</v>
      </c>
      <c r="H16" s="391">
        <v>0</v>
      </c>
      <c r="I16" s="388">
        <v>0.31369999999999998</v>
      </c>
      <c r="J16" s="389">
        <v>0.23723509130600001</v>
      </c>
      <c r="K16" s="392">
        <v>2.393145689862</v>
      </c>
    </row>
    <row r="17" spans="1:11" ht="14.4" customHeight="1" thickBot="1" x14ac:dyDescent="0.35">
      <c r="A17" s="410" t="s">
        <v>234</v>
      </c>
      <c r="B17" s="388">
        <v>1.3090744554680001</v>
      </c>
      <c r="C17" s="388">
        <v>0.79035999999899997</v>
      </c>
      <c r="D17" s="389">
        <v>-0.51871445546799999</v>
      </c>
      <c r="E17" s="390">
        <v>0.60375481065799996</v>
      </c>
      <c r="F17" s="388">
        <v>0.30666119902400002</v>
      </c>
      <c r="G17" s="389">
        <v>0.17888569943099999</v>
      </c>
      <c r="H17" s="391">
        <v>0</v>
      </c>
      <c r="I17" s="388">
        <v>0.74170999999999998</v>
      </c>
      <c r="J17" s="389">
        <v>0.56282430056800004</v>
      </c>
      <c r="K17" s="392">
        <v>2.4186626881979998</v>
      </c>
    </row>
    <row r="18" spans="1:11" ht="14.4" customHeight="1" thickBot="1" x14ac:dyDescent="0.35">
      <c r="A18" s="410" t="s">
        <v>235</v>
      </c>
      <c r="B18" s="388">
        <v>1.3697854524540001</v>
      </c>
      <c r="C18" s="388">
        <v>2.19746</v>
      </c>
      <c r="D18" s="389">
        <v>0.82767454754500003</v>
      </c>
      <c r="E18" s="390">
        <v>1.6042366314100001</v>
      </c>
      <c r="F18" s="388">
        <v>2</v>
      </c>
      <c r="G18" s="389">
        <v>1.1666666666659999</v>
      </c>
      <c r="H18" s="391">
        <v>0.27628999999999998</v>
      </c>
      <c r="I18" s="388">
        <v>0.27628999999999998</v>
      </c>
      <c r="J18" s="389">
        <v>-0.89037666666600002</v>
      </c>
      <c r="K18" s="392">
        <v>0.13814499999999999</v>
      </c>
    </row>
    <row r="19" spans="1:11" ht="14.4" customHeight="1" thickBot="1" x14ac:dyDescent="0.35">
      <c r="A19" s="409" t="s">
        <v>236</v>
      </c>
      <c r="B19" s="393">
        <v>2</v>
      </c>
      <c r="C19" s="393">
        <v>2.0449099999999998</v>
      </c>
      <c r="D19" s="394">
        <v>4.4909999999E-2</v>
      </c>
      <c r="E19" s="395">
        <v>1.0224549999999999</v>
      </c>
      <c r="F19" s="393">
        <v>2.287292651295</v>
      </c>
      <c r="G19" s="394">
        <v>1.334254046589</v>
      </c>
      <c r="H19" s="396">
        <v>0</v>
      </c>
      <c r="I19" s="393">
        <v>1.1858</v>
      </c>
      <c r="J19" s="394">
        <v>-0.14845404658899999</v>
      </c>
      <c r="K19" s="397">
        <v>0.51842950630999995</v>
      </c>
    </row>
    <row r="20" spans="1:11" ht="14.4" customHeight="1" thickBot="1" x14ac:dyDescent="0.35">
      <c r="A20" s="410" t="s">
        <v>237</v>
      </c>
      <c r="B20" s="388">
        <v>1</v>
      </c>
      <c r="C20" s="388">
        <v>0</v>
      </c>
      <c r="D20" s="389">
        <v>-1</v>
      </c>
      <c r="E20" s="390">
        <v>0</v>
      </c>
      <c r="F20" s="388">
        <v>0</v>
      </c>
      <c r="G20" s="389">
        <v>0</v>
      </c>
      <c r="H20" s="391">
        <v>0</v>
      </c>
      <c r="I20" s="388">
        <v>0</v>
      </c>
      <c r="J20" s="389">
        <v>0</v>
      </c>
      <c r="K20" s="392">
        <v>7</v>
      </c>
    </row>
    <row r="21" spans="1:11" ht="14.4" customHeight="1" thickBot="1" x14ac:dyDescent="0.35">
      <c r="A21" s="410" t="s">
        <v>238</v>
      </c>
      <c r="B21" s="388">
        <v>1</v>
      </c>
      <c r="C21" s="388">
        <v>2.0449099999999998</v>
      </c>
      <c r="D21" s="389">
        <v>1.04491</v>
      </c>
      <c r="E21" s="390">
        <v>2.0449099999990001</v>
      </c>
      <c r="F21" s="388">
        <v>2.287292651295</v>
      </c>
      <c r="G21" s="389">
        <v>1.334254046589</v>
      </c>
      <c r="H21" s="391">
        <v>0</v>
      </c>
      <c r="I21" s="388">
        <v>1.1858</v>
      </c>
      <c r="J21" s="389">
        <v>-0.14845404658899999</v>
      </c>
      <c r="K21" s="392">
        <v>0.51842950630999995</v>
      </c>
    </row>
    <row r="22" spans="1:11" ht="14.4" customHeight="1" thickBot="1" x14ac:dyDescent="0.35">
      <c r="A22" s="408" t="s">
        <v>18</v>
      </c>
      <c r="B22" s="388">
        <v>149.503906610581</v>
      </c>
      <c r="C22" s="388">
        <v>142.529</v>
      </c>
      <c r="D22" s="389">
        <v>-6.9749066105809998</v>
      </c>
      <c r="E22" s="390">
        <v>0.95334632539899999</v>
      </c>
      <c r="F22" s="388">
        <v>144.47571074754899</v>
      </c>
      <c r="G22" s="389">
        <v>84.277497936070006</v>
      </c>
      <c r="H22" s="391">
        <v>10.385999999999999</v>
      </c>
      <c r="I22" s="388">
        <v>85.456999999999994</v>
      </c>
      <c r="J22" s="389">
        <v>1.1795020639289999</v>
      </c>
      <c r="K22" s="392">
        <v>0.59149734967699996</v>
      </c>
    </row>
    <row r="23" spans="1:11" ht="14.4" customHeight="1" thickBot="1" x14ac:dyDescent="0.35">
      <c r="A23" s="409" t="s">
        <v>239</v>
      </c>
      <c r="B23" s="393">
        <v>149.503906610581</v>
      </c>
      <c r="C23" s="393">
        <v>142.529</v>
      </c>
      <c r="D23" s="394">
        <v>-6.9749066105809998</v>
      </c>
      <c r="E23" s="395">
        <v>0.95334632539899999</v>
      </c>
      <c r="F23" s="393">
        <v>144.47571074754899</v>
      </c>
      <c r="G23" s="394">
        <v>84.277497936070006</v>
      </c>
      <c r="H23" s="396">
        <v>10.385999999999999</v>
      </c>
      <c r="I23" s="393">
        <v>85.456999999999994</v>
      </c>
      <c r="J23" s="394">
        <v>1.1795020639289999</v>
      </c>
      <c r="K23" s="397">
        <v>0.59149734967699996</v>
      </c>
    </row>
    <row r="24" spans="1:11" ht="14.4" customHeight="1" thickBot="1" x14ac:dyDescent="0.35">
      <c r="A24" s="410" t="s">
        <v>240</v>
      </c>
      <c r="B24" s="388">
        <v>24.999999999999002</v>
      </c>
      <c r="C24" s="388">
        <v>25.224</v>
      </c>
      <c r="D24" s="389">
        <v>0.224</v>
      </c>
      <c r="E24" s="390">
        <v>1.0089600000000001</v>
      </c>
      <c r="F24" s="388">
        <v>24.936078608548002</v>
      </c>
      <c r="G24" s="389">
        <v>14.546045854986</v>
      </c>
      <c r="H24" s="391">
        <v>2.2909999999999999</v>
      </c>
      <c r="I24" s="388">
        <v>14.771000000000001</v>
      </c>
      <c r="J24" s="389">
        <v>0.22495414501300001</v>
      </c>
      <c r="K24" s="392">
        <v>0.59235456512100004</v>
      </c>
    </row>
    <row r="25" spans="1:11" ht="14.4" customHeight="1" thickBot="1" x14ac:dyDescent="0.35">
      <c r="A25" s="410" t="s">
        <v>241</v>
      </c>
      <c r="B25" s="388">
        <v>58.503906610580998</v>
      </c>
      <c r="C25" s="388">
        <v>53.183999999999997</v>
      </c>
      <c r="D25" s="389">
        <v>-5.3199066105809996</v>
      </c>
      <c r="E25" s="390">
        <v>0.90906749790200003</v>
      </c>
      <c r="F25" s="388">
        <v>56.554263551082002</v>
      </c>
      <c r="G25" s="389">
        <v>32.989987071464</v>
      </c>
      <c r="H25" s="391">
        <v>5.98</v>
      </c>
      <c r="I25" s="388">
        <v>35.453000000000003</v>
      </c>
      <c r="J25" s="389">
        <v>2.463012928535</v>
      </c>
      <c r="K25" s="392">
        <v>0.62688465508799995</v>
      </c>
    </row>
    <row r="26" spans="1:11" ht="14.4" customHeight="1" thickBot="1" x14ac:dyDescent="0.35">
      <c r="A26" s="410" t="s">
        <v>242</v>
      </c>
      <c r="B26" s="388">
        <v>65.999999999999005</v>
      </c>
      <c r="C26" s="388">
        <v>64.120999999999995</v>
      </c>
      <c r="D26" s="389">
        <v>-1.8789999999989999</v>
      </c>
      <c r="E26" s="390">
        <v>0.97153030302999999</v>
      </c>
      <c r="F26" s="388">
        <v>62.985368587918003</v>
      </c>
      <c r="G26" s="389">
        <v>36.741465009617997</v>
      </c>
      <c r="H26" s="391">
        <v>2.1150000000000002</v>
      </c>
      <c r="I26" s="388">
        <v>35.232999999999997</v>
      </c>
      <c r="J26" s="389">
        <v>-1.5084650096179999</v>
      </c>
      <c r="K26" s="392">
        <v>0.55938388216000001</v>
      </c>
    </row>
    <row r="27" spans="1:11" ht="14.4" customHeight="1" thickBot="1" x14ac:dyDescent="0.35">
      <c r="A27" s="411" t="s">
        <v>243</v>
      </c>
      <c r="B27" s="393">
        <v>29.235015927788002</v>
      </c>
      <c r="C27" s="393">
        <v>31.356909999999999</v>
      </c>
      <c r="D27" s="394">
        <v>2.121894072211</v>
      </c>
      <c r="E27" s="395">
        <v>1.072580568365</v>
      </c>
      <c r="F27" s="393">
        <v>30.380042663491999</v>
      </c>
      <c r="G27" s="394">
        <v>17.721691553704002</v>
      </c>
      <c r="H27" s="396">
        <v>4.2809100000000004</v>
      </c>
      <c r="I27" s="393">
        <v>38.235169999999997</v>
      </c>
      <c r="J27" s="394">
        <v>20.513478446295</v>
      </c>
      <c r="K27" s="397">
        <v>1.258562090366</v>
      </c>
    </row>
    <row r="28" spans="1:11" ht="14.4" customHeight="1" thickBot="1" x14ac:dyDescent="0.35">
      <c r="A28" s="408" t="s">
        <v>21</v>
      </c>
      <c r="B28" s="388">
        <v>2.124120602439</v>
      </c>
      <c r="C28" s="388">
        <v>1.4449799999999999</v>
      </c>
      <c r="D28" s="389">
        <v>-0.67914060243899999</v>
      </c>
      <c r="E28" s="390">
        <v>0.680272108062</v>
      </c>
      <c r="F28" s="388">
        <v>1.190799967524</v>
      </c>
      <c r="G28" s="389">
        <v>0.694633314389</v>
      </c>
      <c r="H28" s="391">
        <v>1.40198</v>
      </c>
      <c r="I28" s="388">
        <v>12.737500000000001</v>
      </c>
      <c r="J28" s="389">
        <v>12.042866685610001</v>
      </c>
      <c r="K28" s="392">
        <v>0</v>
      </c>
    </row>
    <row r="29" spans="1:11" ht="14.4" customHeight="1" thickBot="1" x14ac:dyDescent="0.35">
      <c r="A29" s="412" t="s">
        <v>244</v>
      </c>
      <c r="B29" s="388">
        <v>2.124120602439</v>
      </c>
      <c r="C29" s="388">
        <v>1.4449799999999999</v>
      </c>
      <c r="D29" s="389">
        <v>-0.67914060243899999</v>
      </c>
      <c r="E29" s="390">
        <v>0.680272108062</v>
      </c>
      <c r="F29" s="388">
        <v>1.190799967524</v>
      </c>
      <c r="G29" s="389">
        <v>0.694633314389</v>
      </c>
      <c r="H29" s="391">
        <v>1.40198</v>
      </c>
      <c r="I29" s="388">
        <v>12.737500000000001</v>
      </c>
      <c r="J29" s="389">
        <v>12.042866685610001</v>
      </c>
      <c r="K29" s="392">
        <v>0</v>
      </c>
    </row>
    <row r="30" spans="1:11" ht="14.4" customHeight="1" thickBot="1" x14ac:dyDescent="0.35">
      <c r="A30" s="410" t="s">
        <v>245</v>
      </c>
      <c r="B30" s="388">
        <v>0.124120602439</v>
      </c>
      <c r="C30" s="388">
        <v>0.27366000000000001</v>
      </c>
      <c r="D30" s="389">
        <v>0.14953939756000001</v>
      </c>
      <c r="E30" s="390">
        <v>2.2047911033330001</v>
      </c>
      <c r="F30" s="388">
        <v>0.11328915218299999</v>
      </c>
      <c r="G30" s="389">
        <v>6.6085338773000005E-2</v>
      </c>
      <c r="H30" s="391">
        <v>0.23530000000000001</v>
      </c>
      <c r="I30" s="388">
        <v>0.23530000000000001</v>
      </c>
      <c r="J30" s="389">
        <v>0.16921466122600001</v>
      </c>
      <c r="K30" s="392">
        <v>2.0769861497390001</v>
      </c>
    </row>
    <row r="31" spans="1:11" ht="14.4" customHeight="1" thickBot="1" x14ac:dyDescent="0.35">
      <c r="A31" s="410" t="s">
        <v>246</v>
      </c>
      <c r="B31" s="388">
        <v>0</v>
      </c>
      <c r="C31" s="388">
        <v>0</v>
      </c>
      <c r="D31" s="389">
        <v>0</v>
      </c>
      <c r="E31" s="390">
        <v>1</v>
      </c>
      <c r="F31" s="388">
        <v>0</v>
      </c>
      <c r="G31" s="389">
        <v>0</v>
      </c>
      <c r="H31" s="391">
        <v>0</v>
      </c>
      <c r="I31" s="388">
        <v>8.7193699999999996</v>
      </c>
      <c r="J31" s="389">
        <v>8.7193699999999996</v>
      </c>
      <c r="K31" s="399" t="s">
        <v>229</v>
      </c>
    </row>
    <row r="32" spans="1:11" ht="14.4" customHeight="1" thickBot="1" x14ac:dyDescent="0.35">
      <c r="A32" s="410" t="s">
        <v>247</v>
      </c>
      <c r="B32" s="388">
        <v>1.9999999999989999</v>
      </c>
      <c r="C32" s="388">
        <v>1.1713199999999999</v>
      </c>
      <c r="D32" s="389">
        <v>-0.82867999999899999</v>
      </c>
      <c r="E32" s="390">
        <v>0.58565999999999996</v>
      </c>
      <c r="F32" s="388">
        <v>1.077510815341</v>
      </c>
      <c r="G32" s="389">
        <v>0.62854797561499998</v>
      </c>
      <c r="H32" s="391">
        <v>1.1666799999999999</v>
      </c>
      <c r="I32" s="388">
        <v>3.7828300000000001</v>
      </c>
      <c r="J32" s="389">
        <v>3.154282024384</v>
      </c>
      <c r="K32" s="392">
        <v>3.5107118612080002</v>
      </c>
    </row>
    <row r="33" spans="1:11" ht="14.4" customHeight="1" thickBot="1" x14ac:dyDescent="0.35">
      <c r="A33" s="413" t="s">
        <v>22</v>
      </c>
      <c r="B33" s="393">
        <v>0</v>
      </c>
      <c r="C33" s="393">
        <v>3.3530000000000002</v>
      </c>
      <c r="D33" s="394">
        <v>3.3530000000000002</v>
      </c>
      <c r="E33" s="400" t="s">
        <v>220</v>
      </c>
      <c r="F33" s="393">
        <v>0</v>
      </c>
      <c r="G33" s="394">
        <v>0</v>
      </c>
      <c r="H33" s="396">
        <v>0</v>
      </c>
      <c r="I33" s="393">
        <v>1.9370000000000001</v>
      </c>
      <c r="J33" s="394">
        <v>1.9370000000000001</v>
      </c>
      <c r="K33" s="401" t="s">
        <v>220</v>
      </c>
    </row>
    <row r="34" spans="1:11" ht="14.4" customHeight="1" thickBot="1" x14ac:dyDescent="0.35">
      <c r="A34" s="409" t="s">
        <v>248</v>
      </c>
      <c r="B34" s="393">
        <v>0</v>
      </c>
      <c r="C34" s="393">
        <v>3.3530000000000002</v>
      </c>
      <c r="D34" s="394">
        <v>3.3530000000000002</v>
      </c>
      <c r="E34" s="400" t="s">
        <v>220</v>
      </c>
      <c r="F34" s="393">
        <v>0</v>
      </c>
      <c r="G34" s="394">
        <v>0</v>
      </c>
      <c r="H34" s="396">
        <v>0</v>
      </c>
      <c r="I34" s="393">
        <v>1.9370000000000001</v>
      </c>
      <c r="J34" s="394">
        <v>1.9370000000000001</v>
      </c>
      <c r="K34" s="401" t="s">
        <v>220</v>
      </c>
    </row>
    <row r="35" spans="1:11" ht="14.4" customHeight="1" thickBot="1" x14ac:dyDescent="0.35">
      <c r="A35" s="410" t="s">
        <v>249</v>
      </c>
      <c r="B35" s="388">
        <v>0</v>
      </c>
      <c r="C35" s="388">
        <v>3.3530000000000002</v>
      </c>
      <c r="D35" s="389">
        <v>3.3530000000000002</v>
      </c>
      <c r="E35" s="398" t="s">
        <v>220</v>
      </c>
      <c r="F35" s="388">
        <v>0</v>
      </c>
      <c r="G35" s="389">
        <v>0</v>
      </c>
      <c r="H35" s="391">
        <v>0</v>
      </c>
      <c r="I35" s="388">
        <v>1.9370000000000001</v>
      </c>
      <c r="J35" s="389">
        <v>1.9370000000000001</v>
      </c>
      <c r="K35" s="399" t="s">
        <v>220</v>
      </c>
    </row>
    <row r="36" spans="1:11" ht="14.4" customHeight="1" thickBot="1" x14ac:dyDescent="0.35">
      <c r="A36" s="408" t="s">
        <v>23</v>
      </c>
      <c r="B36" s="388">
        <v>27.110895325348</v>
      </c>
      <c r="C36" s="388">
        <v>26.55893</v>
      </c>
      <c r="D36" s="389">
        <v>-0.55196532534800002</v>
      </c>
      <c r="E36" s="390">
        <v>0.97964046119699999</v>
      </c>
      <c r="F36" s="388">
        <v>29.189242695968002</v>
      </c>
      <c r="G36" s="389">
        <v>17.027058239314002</v>
      </c>
      <c r="H36" s="391">
        <v>2.87893</v>
      </c>
      <c r="I36" s="388">
        <v>23.560669999999998</v>
      </c>
      <c r="J36" s="389">
        <v>6.5336117606849999</v>
      </c>
      <c r="K36" s="392">
        <v>0.80716962222699995</v>
      </c>
    </row>
    <row r="37" spans="1:11" ht="14.4" customHeight="1" thickBot="1" x14ac:dyDescent="0.35">
      <c r="A37" s="409" t="s">
        <v>250</v>
      </c>
      <c r="B37" s="393">
        <v>5.1108953253480003</v>
      </c>
      <c r="C37" s="393">
        <v>4.83772</v>
      </c>
      <c r="D37" s="394">
        <v>-0.27317532534799999</v>
      </c>
      <c r="E37" s="395">
        <v>0.94655039714900002</v>
      </c>
      <c r="F37" s="393">
        <v>4.9705299658640003</v>
      </c>
      <c r="G37" s="394">
        <v>2.89947581342</v>
      </c>
      <c r="H37" s="396">
        <v>0.44078000000000001</v>
      </c>
      <c r="I37" s="393">
        <v>1.68973</v>
      </c>
      <c r="J37" s="394">
        <v>-1.2097458134200001</v>
      </c>
      <c r="K37" s="397">
        <v>0.33994966565000001</v>
      </c>
    </row>
    <row r="38" spans="1:11" ht="14.4" customHeight="1" thickBot="1" x14ac:dyDescent="0.35">
      <c r="A38" s="410" t="s">
        <v>251</v>
      </c>
      <c r="B38" s="388">
        <v>9.2530361953000004E-2</v>
      </c>
      <c r="C38" s="388">
        <v>5.8900000000000001E-2</v>
      </c>
      <c r="D38" s="389">
        <v>-3.3630361953000003E-2</v>
      </c>
      <c r="E38" s="390">
        <v>0.636547817997</v>
      </c>
      <c r="F38" s="388">
        <v>5.5946743638999999E-2</v>
      </c>
      <c r="G38" s="389">
        <v>3.2635600456000002E-2</v>
      </c>
      <c r="H38" s="391">
        <v>0</v>
      </c>
      <c r="I38" s="388">
        <v>9.69E-2</v>
      </c>
      <c r="J38" s="389">
        <v>6.4264399543000006E-2</v>
      </c>
      <c r="K38" s="392">
        <v>1.7320042900920001</v>
      </c>
    </row>
    <row r="39" spans="1:11" ht="14.4" customHeight="1" thickBot="1" x14ac:dyDescent="0.35">
      <c r="A39" s="410" t="s">
        <v>252</v>
      </c>
      <c r="B39" s="388">
        <v>5.0183649633940002</v>
      </c>
      <c r="C39" s="388">
        <v>4.7788199999999996</v>
      </c>
      <c r="D39" s="389">
        <v>-0.239544963394</v>
      </c>
      <c r="E39" s="390">
        <v>0.95226633273100003</v>
      </c>
      <c r="F39" s="388">
        <v>4.9145832222239996</v>
      </c>
      <c r="G39" s="389">
        <v>2.866840212964</v>
      </c>
      <c r="H39" s="391">
        <v>0.44078000000000001</v>
      </c>
      <c r="I39" s="388">
        <v>1.59283</v>
      </c>
      <c r="J39" s="389">
        <v>-1.2740102129640001</v>
      </c>
      <c r="K39" s="392">
        <v>0.324102762732</v>
      </c>
    </row>
    <row r="40" spans="1:11" ht="14.4" customHeight="1" thickBot="1" x14ac:dyDescent="0.35">
      <c r="A40" s="409" t="s">
        <v>253</v>
      </c>
      <c r="B40" s="393">
        <v>4</v>
      </c>
      <c r="C40" s="393">
        <v>3.78</v>
      </c>
      <c r="D40" s="394">
        <v>-0.22</v>
      </c>
      <c r="E40" s="395">
        <v>0.94499999999899997</v>
      </c>
      <c r="F40" s="393">
        <v>3.9752112676050002</v>
      </c>
      <c r="G40" s="394">
        <v>2.3188732394359999</v>
      </c>
      <c r="H40" s="396">
        <v>0.94499999999999995</v>
      </c>
      <c r="I40" s="393">
        <v>2.835</v>
      </c>
      <c r="J40" s="394">
        <v>0.516126760563</v>
      </c>
      <c r="K40" s="397">
        <v>0.71316964285700002</v>
      </c>
    </row>
    <row r="41" spans="1:11" ht="14.4" customHeight="1" thickBot="1" x14ac:dyDescent="0.35">
      <c r="A41" s="410" t="s">
        <v>254</v>
      </c>
      <c r="B41" s="388">
        <v>4</v>
      </c>
      <c r="C41" s="388">
        <v>3.78</v>
      </c>
      <c r="D41" s="389">
        <v>-0.22</v>
      </c>
      <c r="E41" s="390">
        <v>0.94499999999899997</v>
      </c>
      <c r="F41" s="388">
        <v>3.9752112676050002</v>
      </c>
      <c r="G41" s="389">
        <v>2.3188732394359999</v>
      </c>
      <c r="H41" s="391">
        <v>0.94499999999999995</v>
      </c>
      <c r="I41" s="388">
        <v>2.835</v>
      </c>
      <c r="J41" s="389">
        <v>0.516126760563</v>
      </c>
      <c r="K41" s="392">
        <v>0.71316964285700002</v>
      </c>
    </row>
    <row r="42" spans="1:11" ht="14.4" customHeight="1" thickBot="1" x14ac:dyDescent="0.35">
      <c r="A42" s="409" t="s">
        <v>255</v>
      </c>
      <c r="B42" s="393">
        <v>18</v>
      </c>
      <c r="C42" s="393">
        <v>17.241209999999999</v>
      </c>
      <c r="D42" s="394">
        <v>-0.75878999999999996</v>
      </c>
      <c r="E42" s="395">
        <v>0.95784499999999995</v>
      </c>
      <c r="F42" s="393">
        <v>19.569821208876</v>
      </c>
      <c r="G42" s="394">
        <v>11.415729038511</v>
      </c>
      <c r="H42" s="396">
        <v>1.49315</v>
      </c>
      <c r="I42" s="393">
        <v>10.780239999999999</v>
      </c>
      <c r="J42" s="394">
        <v>-0.63548903851100003</v>
      </c>
      <c r="K42" s="397">
        <v>0.550860423554</v>
      </c>
    </row>
    <row r="43" spans="1:11" ht="14.4" customHeight="1" thickBot="1" x14ac:dyDescent="0.35">
      <c r="A43" s="410" t="s">
        <v>256</v>
      </c>
      <c r="B43" s="388">
        <v>18</v>
      </c>
      <c r="C43" s="388">
        <v>17.241209999999999</v>
      </c>
      <c r="D43" s="389">
        <v>-0.75878999999999996</v>
      </c>
      <c r="E43" s="390">
        <v>0.95784499999999995</v>
      </c>
      <c r="F43" s="388">
        <v>19.569821208876</v>
      </c>
      <c r="G43" s="389">
        <v>11.415729038511</v>
      </c>
      <c r="H43" s="391">
        <v>1.49315</v>
      </c>
      <c r="I43" s="388">
        <v>10.780239999999999</v>
      </c>
      <c r="J43" s="389">
        <v>-0.63548903851100003</v>
      </c>
      <c r="K43" s="392">
        <v>0.550860423554</v>
      </c>
    </row>
    <row r="44" spans="1:11" ht="14.4" customHeight="1" thickBot="1" x14ac:dyDescent="0.35">
      <c r="A44" s="409" t="s">
        <v>257</v>
      </c>
      <c r="B44" s="393">
        <v>0</v>
      </c>
      <c r="C44" s="393">
        <v>0.7</v>
      </c>
      <c r="D44" s="394">
        <v>0.7</v>
      </c>
      <c r="E44" s="400" t="s">
        <v>220</v>
      </c>
      <c r="F44" s="393">
        <v>0.67368025362200001</v>
      </c>
      <c r="G44" s="394">
        <v>0.392980147946</v>
      </c>
      <c r="H44" s="396">
        <v>0</v>
      </c>
      <c r="I44" s="393">
        <v>4.1779999999999999</v>
      </c>
      <c r="J44" s="394">
        <v>3.7850198520529998</v>
      </c>
      <c r="K44" s="397">
        <v>6.2017551761909999</v>
      </c>
    </row>
    <row r="45" spans="1:11" ht="14.4" customHeight="1" thickBot="1" x14ac:dyDescent="0.35">
      <c r="A45" s="410" t="s">
        <v>258</v>
      </c>
      <c r="B45" s="388">
        <v>0</v>
      </c>
      <c r="C45" s="388">
        <v>0</v>
      </c>
      <c r="D45" s="389">
        <v>0</v>
      </c>
      <c r="E45" s="398" t="s">
        <v>220</v>
      </c>
      <c r="F45" s="388">
        <v>0</v>
      </c>
      <c r="G45" s="389">
        <v>0</v>
      </c>
      <c r="H45" s="391">
        <v>0</v>
      </c>
      <c r="I45" s="388">
        <v>3.9780000000000002</v>
      </c>
      <c r="J45" s="389">
        <v>3.9780000000000002</v>
      </c>
      <c r="K45" s="399" t="s">
        <v>229</v>
      </c>
    </row>
    <row r="46" spans="1:11" ht="14.4" customHeight="1" thickBot="1" x14ac:dyDescent="0.35">
      <c r="A46" s="410" t="s">
        <v>259</v>
      </c>
      <c r="B46" s="388">
        <v>0</v>
      </c>
      <c r="C46" s="388">
        <v>0.7</v>
      </c>
      <c r="D46" s="389">
        <v>0.7</v>
      </c>
      <c r="E46" s="398" t="s">
        <v>229</v>
      </c>
      <c r="F46" s="388">
        <v>0.67368025362200001</v>
      </c>
      <c r="G46" s="389">
        <v>0.392980147946</v>
      </c>
      <c r="H46" s="391">
        <v>0</v>
      </c>
      <c r="I46" s="388">
        <v>0.2</v>
      </c>
      <c r="J46" s="389">
        <v>-0.19298014794599999</v>
      </c>
      <c r="K46" s="392">
        <v>0.29687674371400002</v>
      </c>
    </row>
    <row r="47" spans="1:11" ht="14.4" customHeight="1" thickBot="1" x14ac:dyDescent="0.35">
      <c r="A47" s="409" t="s">
        <v>260</v>
      </c>
      <c r="B47" s="393">
        <v>0</v>
      </c>
      <c r="C47" s="393">
        <v>0</v>
      </c>
      <c r="D47" s="394">
        <v>0</v>
      </c>
      <c r="E47" s="395">
        <v>1</v>
      </c>
      <c r="F47" s="393">
        <v>0</v>
      </c>
      <c r="G47" s="394">
        <v>0</v>
      </c>
      <c r="H47" s="396">
        <v>0</v>
      </c>
      <c r="I47" s="393">
        <v>4.0777000000000001</v>
      </c>
      <c r="J47" s="394">
        <v>4.0777000000000001</v>
      </c>
      <c r="K47" s="401" t="s">
        <v>220</v>
      </c>
    </row>
    <row r="48" spans="1:11" ht="14.4" customHeight="1" thickBot="1" x14ac:dyDescent="0.35">
      <c r="A48" s="410" t="s">
        <v>261</v>
      </c>
      <c r="B48" s="388">
        <v>0</v>
      </c>
      <c r="C48" s="388">
        <v>0</v>
      </c>
      <c r="D48" s="389">
        <v>0</v>
      </c>
      <c r="E48" s="390">
        <v>1</v>
      </c>
      <c r="F48" s="388">
        <v>0</v>
      </c>
      <c r="G48" s="389">
        <v>0</v>
      </c>
      <c r="H48" s="391">
        <v>0</v>
      </c>
      <c r="I48" s="388">
        <v>4.0777000000000001</v>
      </c>
      <c r="J48" s="389">
        <v>4.0777000000000001</v>
      </c>
      <c r="K48" s="399" t="s">
        <v>229</v>
      </c>
    </row>
    <row r="49" spans="1:11" ht="14.4" customHeight="1" thickBot="1" x14ac:dyDescent="0.35">
      <c r="A49" s="407" t="s">
        <v>24</v>
      </c>
      <c r="B49" s="388">
        <v>3353</v>
      </c>
      <c r="C49" s="388">
        <v>3600.6854600000001</v>
      </c>
      <c r="D49" s="389">
        <v>247.68546000000001</v>
      </c>
      <c r="E49" s="390">
        <v>1.0738698061430001</v>
      </c>
      <c r="F49" s="388">
        <v>3681.1589999999901</v>
      </c>
      <c r="G49" s="389">
        <v>2147.3427499999998</v>
      </c>
      <c r="H49" s="391">
        <v>357.70904999999999</v>
      </c>
      <c r="I49" s="388">
        <v>2288.8603800000001</v>
      </c>
      <c r="J49" s="389">
        <v>141.51763000000699</v>
      </c>
      <c r="K49" s="392">
        <v>0.62177710335199998</v>
      </c>
    </row>
    <row r="50" spans="1:11" ht="14.4" customHeight="1" thickBot="1" x14ac:dyDescent="0.35">
      <c r="A50" s="413" t="s">
        <v>262</v>
      </c>
      <c r="B50" s="393">
        <v>2468</v>
      </c>
      <c r="C50" s="393">
        <v>2649.5549999999998</v>
      </c>
      <c r="D50" s="394">
        <v>181.55499999999901</v>
      </c>
      <c r="E50" s="395">
        <v>1.073563614262</v>
      </c>
      <c r="F50" s="393">
        <v>2708.4389999999898</v>
      </c>
      <c r="G50" s="394">
        <v>1579.92275</v>
      </c>
      <c r="H50" s="396">
        <v>265.04899999999998</v>
      </c>
      <c r="I50" s="393">
        <v>1685.0160000000001</v>
      </c>
      <c r="J50" s="394">
        <v>105.09325000000599</v>
      </c>
      <c r="K50" s="397">
        <v>0.62213548099100002</v>
      </c>
    </row>
    <row r="51" spans="1:11" ht="14.4" customHeight="1" thickBot="1" x14ac:dyDescent="0.35">
      <c r="A51" s="409" t="s">
        <v>263</v>
      </c>
      <c r="B51" s="393">
        <v>2461</v>
      </c>
      <c r="C51" s="393">
        <v>2641.6010000000001</v>
      </c>
      <c r="D51" s="394">
        <v>180.600999999999</v>
      </c>
      <c r="E51" s="395">
        <v>1.0733852092639999</v>
      </c>
      <c r="F51" s="393">
        <v>2701.99999999999</v>
      </c>
      <c r="G51" s="394">
        <v>1576.1666666666599</v>
      </c>
      <c r="H51" s="396">
        <v>256.93599999999998</v>
      </c>
      <c r="I51" s="393">
        <v>1676.903</v>
      </c>
      <c r="J51" s="394">
        <v>100.736333333339</v>
      </c>
      <c r="K51" s="397">
        <v>0.62061547002200002</v>
      </c>
    </row>
    <row r="52" spans="1:11" ht="14.4" customHeight="1" thickBot="1" x14ac:dyDescent="0.35">
      <c r="A52" s="410" t="s">
        <v>264</v>
      </c>
      <c r="B52" s="388">
        <v>2461</v>
      </c>
      <c r="C52" s="388">
        <v>2641.6010000000001</v>
      </c>
      <c r="D52" s="389">
        <v>180.600999999999</v>
      </c>
      <c r="E52" s="390">
        <v>1.0733852092639999</v>
      </c>
      <c r="F52" s="388">
        <v>2701.99999999999</v>
      </c>
      <c r="G52" s="389">
        <v>1576.1666666666599</v>
      </c>
      <c r="H52" s="391">
        <v>256.93599999999998</v>
      </c>
      <c r="I52" s="388">
        <v>1676.903</v>
      </c>
      <c r="J52" s="389">
        <v>100.736333333339</v>
      </c>
      <c r="K52" s="392">
        <v>0.62061547002200002</v>
      </c>
    </row>
    <row r="53" spans="1:11" ht="14.4" customHeight="1" thickBot="1" x14ac:dyDescent="0.35">
      <c r="A53" s="409" t="s">
        <v>265</v>
      </c>
      <c r="B53" s="393">
        <v>7</v>
      </c>
      <c r="C53" s="393">
        <v>7.9539999999999997</v>
      </c>
      <c r="D53" s="394">
        <v>0.95399999999899998</v>
      </c>
      <c r="E53" s="395">
        <v>1.136285714285</v>
      </c>
      <c r="F53" s="393">
        <v>6.4390000000000001</v>
      </c>
      <c r="G53" s="394">
        <v>3.7560833333330002</v>
      </c>
      <c r="H53" s="396">
        <v>8.1129999999999995</v>
      </c>
      <c r="I53" s="393">
        <v>8.1129999999999995</v>
      </c>
      <c r="J53" s="394">
        <v>4.3569166666659997</v>
      </c>
      <c r="K53" s="397">
        <v>1.2599782574930001</v>
      </c>
    </row>
    <row r="54" spans="1:11" ht="14.4" customHeight="1" thickBot="1" x14ac:dyDescent="0.35">
      <c r="A54" s="410" t="s">
        <v>266</v>
      </c>
      <c r="B54" s="388">
        <v>7</v>
      </c>
      <c r="C54" s="388">
        <v>7.9539999999999997</v>
      </c>
      <c r="D54" s="389">
        <v>0.95399999999899998</v>
      </c>
      <c r="E54" s="390">
        <v>1.136285714285</v>
      </c>
      <c r="F54" s="388">
        <v>6.4390000000000001</v>
      </c>
      <c r="G54" s="389">
        <v>3.7560833333330002</v>
      </c>
      <c r="H54" s="391">
        <v>8.1129999999999995</v>
      </c>
      <c r="I54" s="388">
        <v>8.1129999999999995</v>
      </c>
      <c r="J54" s="389">
        <v>4.3569166666659997</v>
      </c>
      <c r="K54" s="392">
        <v>1.2599782574930001</v>
      </c>
    </row>
    <row r="55" spans="1:11" ht="14.4" customHeight="1" thickBot="1" x14ac:dyDescent="0.35">
      <c r="A55" s="408" t="s">
        <v>267</v>
      </c>
      <c r="B55" s="388">
        <v>835.99999999999898</v>
      </c>
      <c r="C55" s="388">
        <v>898.13905</v>
      </c>
      <c r="D55" s="389">
        <v>62.139050000000999</v>
      </c>
      <c r="E55" s="390">
        <v>1.074329007177</v>
      </c>
      <c r="F55" s="388">
        <v>918.68</v>
      </c>
      <c r="G55" s="389">
        <v>535.89666666666596</v>
      </c>
      <c r="H55" s="391">
        <v>87.358379999999997</v>
      </c>
      <c r="I55" s="388">
        <v>570.14716000000101</v>
      </c>
      <c r="J55" s="389">
        <v>34.250493333333999</v>
      </c>
      <c r="K55" s="392">
        <v>0.62061562241400003</v>
      </c>
    </row>
    <row r="56" spans="1:11" ht="14.4" customHeight="1" thickBot="1" x14ac:dyDescent="0.35">
      <c r="A56" s="409" t="s">
        <v>268</v>
      </c>
      <c r="B56" s="393">
        <v>220.99999999999901</v>
      </c>
      <c r="C56" s="393">
        <v>237.7388</v>
      </c>
      <c r="D56" s="394">
        <v>16.738800000000001</v>
      </c>
      <c r="E56" s="395">
        <v>1.07574117647</v>
      </c>
      <c r="F56" s="393">
        <v>243.180000000001</v>
      </c>
      <c r="G56" s="394">
        <v>141.85499999999999</v>
      </c>
      <c r="H56" s="396">
        <v>23.124379999999999</v>
      </c>
      <c r="I56" s="393">
        <v>150.92141000000001</v>
      </c>
      <c r="J56" s="394">
        <v>9.0664099999989993</v>
      </c>
      <c r="K56" s="397">
        <v>0.62061604572700002</v>
      </c>
    </row>
    <row r="57" spans="1:11" ht="14.4" customHeight="1" thickBot="1" x14ac:dyDescent="0.35">
      <c r="A57" s="410" t="s">
        <v>269</v>
      </c>
      <c r="B57" s="388">
        <v>220.99999999999901</v>
      </c>
      <c r="C57" s="388">
        <v>237.7388</v>
      </c>
      <c r="D57" s="389">
        <v>16.738800000000001</v>
      </c>
      <c r="E57" s="390">
        <v>1.07574117647</v>
      </c>
      <c r="F57" s="388">
        <v>243.180000000001</v>
      </c>
      <c r="G57" s="389">
        <v>141.85499999999999</v>
      </c>
      <c r="H57" s="391">
        <v>23.124379999999999</v>
      </c>
      <c r="I57" s="388">
        <v>150.92141000000001</v>
      </c>
      <c r="J57" s="389">
        <v>9.0664099999989993</v>
      </c>
      <c r="K57" s="392">
        <v>0.62061604572700002</v>
      </c>
    </row>
    <row r="58" spans="1:11" ht="14.4" customHeight="1" thickBot="1" x14ac:dyDescent="0.35">
      <c r="A58" s="409" t="s">
        <v>270</v>
      </c>
      <c r="B58" s="393">
        <v>615</v>
      </c>
      <c r="C58" s="393">
        <v>660.40025000000003</v>
      </c>
      <c r="D58" s="394">
        <v>45.40025</v>
      </c>
      <c r="E58" s="395">
        <v>1.0738215447149999</v>
      </c>
      <c r="F58" s="393">
        <v>675.49999999999898</v>
      </c>
      <c r="G58" s="394">
        <v>394.041666666666</v>
      </c>
      <c r="H58" s="396">
        <v>64.233999999999995</v>
      </c>
      <c r="I58" s="393">
        <v>419.22575000000001</v>
      </c>
      <c r="J58" s="394">
        <v>25.184083333334002</v>
      </c>
      <c r="K58" s="397">
        <v>0.62061547002200002</v>
      </c>
    </row>
    <row r="59" spans="1:11" ht="14.4" customHeight="1" thickBot="1" x14ac:dyDescent="0.35">
      <c r="A59" s="410" t="s">
        <v>271</v>
      </c>
      <c r="B59" s="388">
        <v>615</v>
      </c>
      <c r="C59" s="388">
        <v>660.40025000000003</v>
      </c>
      <c r="D59" s="389">
        <v>45.40025</v>
      </c>
      <c r="E59" s="390">
        <v>1.0738215447149999</v>
      </c>
      <c r="F59" s="388">
        <v>675.49999999999898</v>
      </c>
      <c r="G59" s="389">
        <v>394.041666666666</v>
      </c>
      <c r="H59" s="391">
        <v>64.233999999999995</v>
      </c>
      <c r="I59" s="388">
        <v>419.22575000000001</v>
      </c>
      <c r="J59" s="389">
        <v>25.184083333334002</v>
      </c>
      <c r="K59" s="392">
        <v>0.62061547002200002</v>
      </c>
    </row>
    <row r="60" spans="1:11" ht="14.4" customHeight="1" thickBot="1" x14ac:dyDescent="0.35">
      <c r="A60" s="408" t="s">
        <v>272</v>
      </c>
      <c r="B60" s="388">
        <v>49</v>
      </c>
      <c r="C60" s="388">
        <v>52.991410000000002</v>
      </c>
      <c r="D60" s="389">
        <v>3.991409999999</v>
      </c>
      <c r="E60" s="390">
        <v>1.081457346938</v>
      </c>
      <c r="F60" s="388">
        <v>54.04</v>
      </c>
      <c r="G60" s="389">
        <v>31.523333333332999</v>
      </c>
      <c r="H60" s="391">
        <v>5.3016699999999997</v>
      </c>
      <c r="I60" s="388">
        <v>33.697220000000002</v>
      </c>
      <c r="J60" s="389">
        <v>2.1738866666660002</v>
      </c>
      <c r="K60" s="392">
        <v>0.62356069577999995</v>
      </c>
    </row>
    <row r="61" spans="1:11" ht="14.4" customHeight="1" thickBot="1" x14ac:dyDescent="0.35">
      <c r="A61" s="409" t="s">
        <v>273</v>
      </c>
      <c r="B61" s="393">
        <v>49</v>
      </c>
      <c r="C61" s="393">
        <v>52.991410000000002</v>
      </c>
      <c r="D61" s="394">
        <v>3.991409999999</v>
      </c>
      <c r="E61" s="395">
        <v>1.081457346938</v>
      </c>
      <c r="F61" s="393">
        <v>54.04</v>
      </c>
      <c r="G61" s="394">
        <v>31.523333333332999</v>
      </c>
      <c r="H61" s="396">
        <v>5.3016699999999997</v>
      </c>
      <c r="I61" s="393">
        <v>33.697220000000002</v>
      </c>
      <c r="J61" s="394">
        <v>2.1738866666660002</v>
      </c>
      <c r="K61" s="397">
        <v>0.62356069577999995</v>
      </c>
    </row>
    <row r="62" spans="1:11" ht="14.4" customHeight="1" thickBot="1" x14ac:dyDescent="0.35">
      <c r="A62" s="410" t="s">
        <v>274</v>
      </c>
      <c r="B62" s="388">
        <v>49</v>
      </c>
      <c r="C62" s="388">
        <v>52.991410000000002</v>
      </c>
      <c r="D62" s="389">
        <v>3.991409999999</v>
      </c>
      <c r="E62" s="390">
        <v>1.081457346938</v>
      </c>
      <c r="F62" s="388">
        <v>54.04</v>
      </c>
      <c r="G62" s="389">
        <v>31.523333333332999</v>
      </c>
      <c r="H62" s="391">
        <v>5.3016699999999997</v>
      </c>
      <c r="I62" s="388">
        <v>33.697220000000002</v>
      </c>
      <c r="J62" s="389">
        <v>2.1738866666660002</v>
      </c>
      <c r="K62" s="392">
        <v>0.62356069577999995</v>
      </c>
    </row>
    <row r="63" spans="1:11" ht="14.4" customHeight="1" thickBot="1" x14ac:dyDescent="0.35">
      <c r="A63" s="407" t="s">
        <v>275</v>
      </c>
      <c r="B63" s="388">
        <v>0</v>
      </c>
      <c r="C63" s="388">
        <v>3.1</v>
      </c>
      <c r="D63" s="389">
        <v>3.1</v>
      </c>
      <c r="E63" s="398" t="s">
        <v>220</v>
      </c>
      <c r="F63" s="388">
        <v>1.247647293674</v>
      </c>
      <c r="G63" s="389">
        <v>0.72779425464299996</v>
      </c>
      <c r="H63" s="391">
        <v>0</v>
      </c>
      <c r="I63" s="388">
        <v>3.2</v>
      </c>
      <c r="J63" s="389">
        <v>2.4722057453559998</v>
      </c>
      <c r="K63" s="392">
        <v>2.5648274285710002</v>
      </c>
    </row>
    <row r="64" spans="1:11" ht="14.4" customHeight="1" thickBot="1" x14ac:dyDescent="0.35">
      <c r="A64" s="408" t="s">
        <v>276</v>
      </c>
      <c r="B64" s="388">
        <v>0</v>
      </c>
      <c r="C64" s="388">
        <v>3.1</v>
      </c>
      <c r="D64" s="389">
        <v>3.1</v>
      </c>
      <c r="E64" s="398" t="s">
        <v>220</v>
      </c>
      <c r="F64" s="388">
        <v>1.247647293674</v>
      </c>
      <c r="G64" s="389">
        <v>0.72779425464299996</v>
      </c>
      <c r="H64" s="391">
        <v>0</v>
      </c>
      <c r="I64" s="388">
        <v>3.2</v>
      </c>
      <c r="J64" s="389">
        <v>2.4722057453559998</v>
      </c>
      <c r="K64" s="392">
        <v>2.5648274285710002</v>
      </c>
    </row>
    <row r="65" spans="1:11" ht="14.4" customHeight="1" thickBot="1" x14ac:dyDescent="0.35">
      <c r="A65" s="412" t="s">
        <v>277</v>
      </c>
      <c r="B65" s="388">
        <v>0</v>
      </c>
      <c r="C65" s="388">
        <v>1.5</v>
      </c>
      <c r="D65" s="389">
        <v>1.5</v>
      </c>
      <c r="E65" s="398" t="s">
        <v>229</v>
      </c>
      <c r="F65" s="388">
        <v>1.247647293674</v>
      </c>
      <c r="G65" s="389">
        <v>0.72779425464299996</v>
      </c>
      <c r="H65" s="391">
        <v>0</v>
      </c>
      <c r="I65" s="388">
        <v>1.6</v>
      </c>
      <c r="J65" s="389">
        <v>0.87220574535600004</v>
      </c>
      <c r="K65" s="392">
        <v>1.2824137142850001</v>
      </c>
    </row>
    <row r="66" spans="1:11" ht="14.4" customHeight="1" thickBot="1" x14ac:dyDescent="0.35">
      <c r="A66" s="410" t="s">
        <v>278</v>
      </c>
      <c r="B66" s="388">
        <v>0</v>
      </c>
      <c r="C66" s="388">
        <v>1.5</v>
      </c>
      <c r="D66" s="389">
        <v>1.5</v>
      </c>
      <c r="E66" s="398" t="s">
        <v>229</v>
      </c>
      <c r="F66" s="388">
        <v>1.247647293674</v>
      </c>
      <c r="G66" s="389">
        <v>0.72779425464299996</v>
      </c>
      <c r="H66" s="391">
        <v>0</v>
      </c>
      <c r="I66" s="388">
        <v>1.6</v>
      </c>
      <c r="J66" s="389">
        <v>0.87220574535600004</v>
      </c>
      <c r="K66" s="392">
        <v>1.2824137142850001</v>
      </c>
    </row>
    <row r="67" spans="1:11" ht="14.4" customHeight="1" thickBot="1" x14ac:dyDescent="0.35">
      <c r="A67" s="412" t="s">
        <v>279</v>
      </c>
      <c r="B67" s="388">
        <v>0</v>
      </c>
      <c r="C67" s="388">
        <v>1.6</v>
      </c>
      <c r="D67" s="389">
        <v>1.6</v>
      </c>
      <c r="E67" s="398" t="s">
        <v>220</v>
      </c>
      <c r="F67" s="388">
        <v>0</v>
      </c>
      <c r="G67" s="389">
        <v>0</v>
      </c>
      <c r="H67" s="391">
        <v>0</v>
      </c>
      <c r="I67" s="388">
        <v>1.6</v>
      </c>
      <c r="J67" s="389">
        <v>1.6</v>
      </c>
      <c r="K67" s="399" t="s">
        <v>220</v>
      </c>
    </row>
    <row r="68" spans="1:11" ht="14.4" customHeight="1" thickBot="1" x14ac:dyDescent="0.35">
      <c r="A68" s="410" t="s">
        <v>280</v>
      </c>
      <c r="B68" s="388">
        <v>0</v>
      </c>
      <c r="C68" s="388">
        <v>1.6</v>
      </c>
      <c r="D68" s="389">
        <v>1.6</v>
      </c>
      <c r="E68" s="398" t="s">
        <v>220</v>
      </c>
      <c r="F68" s="388">
        <v>0</v>
      </c>
      <c r="G68" s="389">
        <v>0</v>
      </c>
      <c r="H68" s="391">
        <v>0</v>
      </c>
      <c r="I68" s="388">
        <v>1.6</v>
      </c>
      <c r="J68" s="389">
        <v>1.6</v>
      </c>
      <c r="K68" s="399" t="s">
        <v>220</v>
      </c>
    </row>
    <row r="69" spans="1:11" ht="14.4" customHeight="1" thickBot="1" x14ac:dyDescent="0.35">
      <c r="A69" s="407" t="s">
        <v>281</v>
      </c>
      <c r="B69" s="388">
        <v>21</v>
      </c>
      <c r="C69" s="388">
        <v>25.103999999999999</v>
      </c>
      <c r="D69" s="389">
        <v>4.103999999999</v>
      </c>
      <c r="E69" s="390">
        <v>1.195428571428</v>
      </c>
      <c r="F69" s="388">
        <v>22.024555452819001</v>
      </c>
      <c r="G69" s="389">
        <v>12.847657347477</v>
      </c>
      <c r="H69" s="391">
        <v>1.81</v>
      </c>
      <c r="I69" s="388">
        <v>12.67</v>
      </c>
      <c r="J69" s="389">
        <v>-0.17765734747699999</v>
      </c>
      <c r="K69" s="392">
        <v>0.57526700264800001</v>
      </c>
    </row>
    <row r="70" spans="1:11" ht="14.4" customHeight="1" thickBot="1" x14ac:dyDescent="0.35">
      <c r="A70" s="408" t="s">
        <v>282</v>
      </c>
      <c r="B70" s="388">
        <v>21</v>
      </c>
      <c r="C70" s="388">
        <v>20.724</v>
      </c>
      <c r="D70" s="389">
        <v>-0.27600000000000002</v>
      </c>
      <c r="E70" s="390">
        <v>0.98685714285699999</v>
      </c>
      <c r="F70" s="388">
        <v>22.024555452819001</v>
      </c>
      <c r="G70" s="389">
        <v>12.847657347477</v>
      </c>
      <c r="H70" s="391">
        <v>1.81</v>
      </c>
      <c r="I70" s="388">
        <v>12.67</v>
      </c>
      <c r="J70" s="389">
        <v>-0.17765734747699999</v>
      </c>
      <c r="K70" s="392">
        <v>0.57526700264800001</v>
      </c>
    </row>
    <row r="71" spans="1:11" ht="14.4" customHeight="1" thickBot="1" x14ac:dyDescent="0.35">
      <c r="A71" s="409" t="s">
        <v>283</v>
      </c>
      <c r="B71" s="393">
        <v>21</v>
      </c>
      <c r="C71" s="393">
        <v>20.724</v>
      </c>
      <c r="D71" s="394">
        <v>-0.27600000000000002</v>
      </c>
      <c r="E71" s="395">
        <v>0.98685714285699999</v>
      </c>
      <c r="F71" s="393">
        <v>22.024555452819001</v>
      </c>
      <c r="G71" s="394">
        <v>12.847657347477</v>
      </c>
      <c r="H71" s="396">
        <v>1.81</v>
      </c>
      <c r="I71" s="393">
        <v>12.67</v>
      </c>
      <c r="J71" s="394">
        <v>-0.17765734747699999</v>
      </c>
      <c r="K71" s="397">
        <v>0.57526700264800001</v>
      </c>
    </row>
    <row r="72" spans="1:11" ht="14.4" customHeight="1" thickBot="1" x14ac:dyDescent="0.35">
      <c r="A72" s="410" t="s">
        <v>284</v>
      </c>
      <c r="B72" s="388">
        <v>18</v>
      </c>
      <c r="C72" s="388">
        <v>18.12</v>
      </c>
      <c r="D72" s="389">
        <v>0.119999999999</v>
      </c>
      <c r="E72" s="390">
        <v>1.006666666666</v>
      </c>
      <c r="F72" s="388">
        <v>19.257138815145002</v>
      </c>
      <c r="G72" s="389">
        <v>11.233330975501</v>
      </c>
      <c r="H72" s="391">
        <v>1.5740000000000001</v>
      </c>
      <c r="I72" s="388">
        <v>11.018000000000001</v>
      </c>
      <c r="J72" s="389">
        <v>-0.215330975501</v>
      </c>
      <c r="K72" s="392">
        <v>0.57215145540300005</v>
      </c>
    </row>
    <row r="73" spans="1:11" ht="14.4" customHeight="1" thickBot="1" x14ac:dyDescent="0.35">
      <c r="A73" s="410" t="s">
        <v>285</v>
      </c>
      <c r="B73" s="388">
        <v>3</v>
      </c>
      <c r="C73" s="388">
        <v>2.6040000000000001</v>
      </c>
      <c r="D73" s="389">
        <v>-0.39600000000000002</v>
      </c>
      <c r="E73" s="390">
        <v>0.86799999999900002</v>
      </c>
      <c r="F73" s="388">
        <v>2.7674166376730001</v>
      </c>
      <c r="G73" s="389">
        <v>1.6143263719759999</v>
      </c>
      <c r="H73" s="391">
        <v>0.23599999999999999</v>
      </c>
      <c r="I73" s="388">
        <v>1.6519999999999999</v>
      </c>
      <c r="J73" s="389">
        <v>3.7673628022999998E-2</v>
      </c>
      <c r="K73" s="392">
        <v>0.59694661711200003</v>
      </c>
    </row>
    <row r="74" spans="1:11" ht="14.4" customHeight="1" thickBot="1" x14ac:dyDescent="0.35">
      <c r="A74" s="408" t="s">
        <v>286</v>
      </c>
      <c r="B74" s="388">
        <v>0</v>
      </c>
      <c r="C74" s="388">
        <v>4.38</v>
      </c>
      <c r="D74" s="389">
        <v>4.38</v>
      </c>
      <c r="E74" s="398" t="s">
        <v>229</v>
      </c>
      <c r="F74" s="388">
        <v>0</v>
      </c>
      <c r="G74" s="389">
        <v>0</v>
      </c>
      <c r="H74" s="391">
        <v>0</v>
      </c>
      <c r="I74" s="388">
        <v>0</v>
      </c>
      <c r="J74" s="389">
        <v>0</v>
      </c>
      <c r="K74" s="399" t="s">
        <v>220</v>
      </c>
    </row>
    <row r="75" spans="1:11" ht="14.4" customHeight="1" thickBot="1" x14ac:dyDescent="0.35">
      <c r="A75" s="409" t="s">
        <v>287</v>
      </c>
      <c r="B75" s="393">
        <v>0</v>
      </c>
      <c r="C75" s="393">
        <v>4.38</v>
      </c>
      <c r="D75" s="394">
        <v>4.38</v>
      </c>
      <c r="E75" s="400" t="s">
        <v>229</v>
      </c>
      <c r="F75" s="393">
        <v>0</v>
      </c>
      <c r="G75" s="394">
        <v>0</v>
      </c>
      <c r="H75" s="396">
        <v>0</v>
      </c>
      <c r="I75" s="393">
        <v>0</v>
      </c>
      <c r="J75" s="394">
        <v>0</v>
      </c>
      <c r="K75" s="401" t="s">
        <v>220</v>
      </c>
    </row>
    <row r="76" spans="1:11" ht="14.4" customHeight="1" thickBot="1" x14ac:dyDescent="0.35">
      <c r="A76" s="410" t="s">
        <v>288</v>
      </c>
      <c r="B76" s="388">
        <v>0</v>
      </c>
      <c r="C76" s="388">
        <v>4.38</v>
      </c>
      <c r="D76" s="389">
        <v>4.38</v>
      </c>
      <c r="E76" s="398" t="s">
        <v>229</v>
      </c>
      <c r="F76" s="388">
        <v>0</v>
      </c>
      <c r="G76" s="389">
        <v>0</v>
      </c>
      <c r="H76" s="391">
        <v>0</v>
      </c>
      <c r="I76" s="388">
        <v>0</v>
      </c>
      <c r="J76" s="389">
        <v>0</v>
      </c>
      <c r="K76" s="399" t="s">
        <v>220</v>
      </c>
    </row>
    <row r="77" spans="1:11" ht="14.4" customHeight="1" thickBot="1" x14ac:dyDescent="0.35">
      <c r="A77" s="406" t="s">
        <v>289</v>
      </c>
      <c r="B77" s="388">
        <v>2518.9065441647999</v>
      </c>
      <c r="C77" s="388">
        <v>1927.3844300000001</v>
      </c>
      <c r="D77" s="389">
        <v>-591.52211416480395</v>
      </c>
      <c r="E77" s="390">
        <v>0.76516710572799995</v>
      </c>
      <c r="F77" s="388">
        <v>1926.7649449140499</v>
      </c>
      <c r="G77" s="389">
        <v>1123.9462178665301</v>
      </c>
      <c r="H77" s="391">
        <v>184.81251</v>
      </c>
      <c r="I77" s="388">
        <v>1779.70955</v>
      </c>
      <c r="J77" s="389">
        <v>655.76333213347198</v>
      </c>
      <c r="K77" s="392">
        <v>0.92367756362599995</v>
      </c>
    </row>
    <row r="78" spans="1:11" ht="14.4" customHeight="1" thickBot="1" x14ac:dyDescent="0.35">
      <c r="A78" s="407" t="s">
        <v>290</v>
      </c>
      <c r="B78" s="388">
        <v>2513.8388968996701</v>
      </c>
      <c r="C78" s="388">
        <v>1927.3844300000001</v>
      </c>
      <c r="D78" s="389">
        <v>-586.45446689967298</v>
      </c>
      <c r="E78" s="390">
        <v>0.76670960592399995</v>
      </c>
      <c r="F78" s="388">
        <v>1926.7649449140499</v>
      </c>
      <c r="G78" s="389">
        <v>1123.9462178665301</v>
      </c>
      <c r="H78" s="391">
        <v>184.81251</v>
      </c>
      <c r="I78" s="388">
        <v>1773.92445</v>
      </c>
      <c r="J78" s="389">
        <v>649.97823213347203</v>
      </c>
      <c r="K78" s="392">
        <v>0.92067506972299995</v>
      </c>
    </row>
    <row r="79" spans="1:11" ht="14.4" customHeight="1" thickBot="1" x14ac:dyDescent="0.35">
      <c r="A79" s="408" t="s">
        <v>291</v>
      </c>
      <c r="B79" s="388">
        <v>2513.8388968996701</v>
      </c>
      <c r="C79" s="388">
        <v>1927.3844300000001</v>
      </c>
      <c r="D79" s="389">
        <v>-586.45446689967298</v>
      </c>
      <c r="E79" s="390">
        <v>0.76670960592399995</v>
      </c>
      <c r="F79" s="388">
        <v>1926.7649449140499</v>
      </c>
      <c r="G79" s="389">
        <v>1123.9462178665301</v>
      </c>
      <c r="H79" s="391">
        <v>184.81251</v>
      </c>
      <c r="I79" s="388">
        <v>1773.92445</v>
      </c>
      <c r="J79" s="389">
        <v>649.97823213347203</v>
      </c>
      <c r="K79" s="392">
        <v>0.92067506972299995</v>
      </c>
    </row>
    <row r="80" spans="1:11" ht="14.4" customHeight="1" thickBot="1" x14ac:dyDescent="0.35">
      <c r="A80" s="409" t="s">
        <v>292</v>
      </c>
      <c r="B80" s="393">
        <v>1</v>
      </c>
      <c r="C80" s="393">
        <v>0</v>
      </c>
      <c r="D80" s="394">
        <v>-1</v>
      </c>
      <c r="E80" s="395">
        <v>0</v>
      </c>
      <c r="F80" s="393">
        <v>0</v>
      </c>
      <c r="G80" s="394">
        <v>0</v>
      </c>
      <c r="H80" s="396">
        <v>0</v>
      </c>
      <c r="I80" s="393">
        <v>0</v>
      </c>
      <c r="J80" s="394">
        <v>0</v>
      </c>
      <c r="K80" s="397">
        <v>0</v>
      </c>
    </row>
    <row r="81" spans="1:11" ht="14.4" customHeight="1" thickBot="1" x14ac:dyDescent="0.35">
      <c r="A81" s="410" t="s">
        <v>293</v>
      </c>
      <c r="B81" s="388">
        <v>1</v>
      </c>
      <c r="C81" s="388">
        <v>0</v>
      </c>
      <c r="D81" s="389">
        <v>-1</v>
      </c>
      <c r="E81" s="390">
        <v>0</v>
      </c>
      <c r="F81" s="388">
        <v>0</v>
      </c>
      <c r="G81" s="389">
        <v>0</v>
      </c>
      <c r="H81" s="391">
        <v>0</v>
      </c>
      <c r="I81" s="388">
        <v>0</v>
      </c>
      <c r="J81" s="389">
        <v>0</v>
      </c>
      <c r="K81" s="392">
        <v>0</v>
      </c>
    </row>
    <row r="82" spans="1:11" ht="14.4" customHeight="1" thickBot="1" x14ac:dyDescent="0.35">
      <c r="A82" s="409" t="s">
        <v>294</v>
      </c>
      <c r="B82" s="393">
        <v>11.838896899672999</v>
      </c>
      <c r="C82" s="393">
        <v>7.25868</v>
      </c>
      <c r="D82" s="394">
        <v>-4.5802168996730002</v>
      </c>
      <c r="E82" s="395">
        <v>0.61312131201999998</v>
      </c>
      <c r="F82" s="393">
        <v>0</v>
      </c>
      <c r="G82" s="394">
        <v>0</v>
      </c>
      <c r="H82" s="396">
        <v>0</v>
      </c>
      <c r="I82" s="393">
        <v>0</v>
      </c>
      <c r="J82" s="394">
        <v>0</v>
      </c>
      <c r="K82" s="401" t="s">
        <v>220</v>
      </c>
    </row>
    <row r="83" spans="1:11" ht="14.4" customHeight="1" thickBot="1" x14ac:dyDescent="0.35">
      <c r="A83" s="410" t="s">
        <v>295</v>
      </c>
      <c r="B83" s="388">
        <v>11.838896899672999</v>
      </c>
      <c r="C83" s="388">
        <v>7.25868</v>
      </c>
      <c r="D83" s="389">
        <v>-4.5802168996730002</v>
      </c>
      <c r="E83" s="390">
        <v>0.61312131201999998</v>
      </c>
      <c r="F83" s="388">
        <v>0</v>
      </c>
      <c r="G83" s="389">
        <v>0</v>
      </c>
      <c r="H83" s="391">
        <v>0</v>
      </c>
      <c r="I83" s="388">
        <v>0</v>
      </c>
      <c r="J83" s="389">
        <v>0</v>
      </c>
      <c r="K83" s="399" t="s">
        <v>220</v>
      </c>
    </row>
    <row r="84" spans="1:11" ht="14.4" customHeight="1" thickBot="1" x14ac:dyDescent="0.35">
      <c r="A84" s="409" t="s">
        <v>296</v>
      </c>
      <c r="B84" s="393">
        <v>0</v>
      </c>
      <c r="C84" s="393">
        <v>0.81921999999999995</v>
      </c>
      <c r="D84" s="394">
        <v>0.81921999999999995</v>
      </c>
      <c r="E84" s="400" t="s">
        <v>229</v>
      </c>
      <c r="F84" s="393">
        <v>0.76415386440300004</v>
      </c>
      <c r="G84" s="394">
        <v>0.44575642090200002</v>
      </c>
      <c r="H84" s="396">
        <v>0</v>
      </c>
      <c r="I84" s="393">
        <v>0</v>
      </c>
      <c r="J84" s="394">
        <v>-0.44575642090200002</v>
      </c>
      <c r="K84" s="397">
        <v>0</v>
      </c>
    </row>
    <row r="85" spans="1:11" ht="14.4" customHeight="1" thickBot="1" x14ac:dyDescent="0.35">
      <c r="A85" s="410" t="s">
        <v>297</v>
      </c>
      <c r="B85" s="388">
        <v>0</v>
      </c>
      <c r="C85" s="388">
        <v>0.81921999999999995</v>
      </c>
      <c r="D85" s="389">
        <v>0.81921999999999995</v>
      </c>
      <c r="E85" s="398" t="s">
        <v>229</v>
      </c>
      <c r="F85" s="388">
        <v>0.76415386440300004</v>
      </c>
      <c r="G85" s="389">
        <v>0.44575642090200002</v>
      </c>
      <c r="H85" s="391">
        <v>0</v>
      </c>
      <c r="I85" s="388">
        <v>0</v>
      </c>
      <c r="J85" s="389">
        <v>-0.44575642090200002</v>
      </c>
      <c r="K85" s="392">
        <v>0</v>
      </c>
    </row>
    <row r="86" spans="1:11" ht="14.4" customHeight="1" thickBot="1" x14ac:dyDescent="0.35">
      <c r="A86" s="409" t="s">
        <v>298</v>
      </c>
      <c r="B86" s="393">
        <v>2501</v>
      </c>
      <c r="C86" s="393">
        <v>1857.2704699999999</v>
      </c>
      <c r="D86" s="394">
        <v>-643.72952999999904</v>
      </c>
      <c r="E86" s="395">
        <v>0.74261114354199997</v>
      </c>
      <c r="F86" s="393">
        <v>1926.0007910496399</v>
      </c>
      <c r="G86" s="394">
        <v>1123.50046144563</v>
      </c>
      <c r="H86" s="396">
        <v>176.56432000000001</v>
      </c>
      <c r="I86" s="393">
        <v>1699.4184700000001</v>
      </c>
      <c r="J86" s="394">
        <v>575.91800855437396</v>
      </c>
      <c r="K86" s="397">
        <v>0.88235606023400004</v>
      </c>
    </row>
    <row r="87" spans="1:11" ht="14.4" customHeight="1" thickBot="1" x14ac:dyDescent="0.35">
      <c r="A87" s="410" t="s">
        <v>299</v>
      </c>
      <c r="B87" s="388">
        <v>1057</v>
      </c>
      <c r="C87" s="388">
        <v>629.52682000000004</v>
      </c>
      <c r="D87" s="389">
        <v>-427.47318000000001</v>
      </c>
      <c r="E87" s="390">
        <v>0.59557882686800001</v>
      </c>
      <c r="F87" s="388">
        <v>678.51229149528001</v>
      </c>
      <c r="G87" s="389">
        <v>395.79883670558002</v>
      </c>
      <c r="H87" s="391">
        <v>109.83225</v>
      </c>
      <c r="I87" s="388">
        <v>727.04553999999996</v>
      </c>
      <c r="J87" s="389">
        <v>331.24670329442</v>
      </c>
      <c r="K87" s="392">
        <v>1.071528915707</v>
      </c>
    </row>
    <row r="88" spans="1:11" ht="14.4" customHeight="1" thickBot="1" x14ac:dyDescent="0.35">
      <c r="A88" s="410" t="s">
        <v>300</v>
      </c>
      <c r="B88" s="388">
        <v>1444</v>
      </c>
      <c r="C88" s="388">
        <v>1227.7436499999999</v>
      </c>
      <c r="D88" s="389">
        <v>-216.256349999999</v>
      </c>
      <c r="E88" s="390">
        <v>0.85023798476400003</v>
      </c>
      <c r="F88" s="388">
        <v>1247.48849955436</v>
      </c>
      <c r="G88" s="389">
        <v>727.70162474004496</v>
      </c>
      <c r="H88" s="391">
        <v>66.732069999999993</v>
      </c>
      <c r="I88" s="388">
        <v>972.37293</v>
      </c>
      <c r="J88" s="389">
        <v>244.67130525995501</v>
      </c>
      <c r="K88" s="392">
        <v>0.77946444423899997</v>
      </c>
    </row>
    <row r="89" spans="1:11" ht="14.4" customHeight="1" thickBot="1" x14ac:dyDescent="0.35">
      <c r="A89" s="409" t="s">
        <v>301</v>
      </c>
      <c r="B89" s="393">
        <v>0</v>
      </c>
      <c r="C89" s="393">
        <v>62.036059999999999</v>
      </c>
      <c r="D89" s="394">
        <v>62.036059999999999</v>
      </c>
      <c r="E89" s="400" t="s">
        <v>220</v>
      </c>
      <c r="F89" s="393">
        <v>0</v>
      </c>
      <c r="G89" s="394">
        <v>0</v>
      </c>
      <c r="H89" s="396">
        <v>8.2481899999999992</v>
      </c>
      <c r="I89" s="393">
        <v>74.505979999999994</v>
      </c>
      <c r="J89" s="394">
        <v>74.505979999999994</v>
      </c>
      <c r="K89" s="401" t="s">
        <v>220</v>
      </c>
    </row>
    <row r="90" spans="1:11" ht="14.4" customHeight="1" thickBot="1" x14ac:dyDescent="0.35">
      <c r="A90" s="410" t="s">
        <v>302</v>
      </c>
      <c r="B90" s="388">
        <v>0</v>
      </c>
      <c r="C90" s="388">
        <v>43.506160000000001</v>
      </c>
      <c r="D90" s="389">
        <v>43.506160000000001</v>
      </c>
      <c r="E90" s="398" t="s">
        <v>220</v>
      </c>
      <c r="F90" s="388">
        <v>0</v>
      </c>
      <c r="G90" s="389">
        <v>0</v>
      </c>
      <c r="H90" s="391">
        <v>0</v>
      </c>
      <c r="I90" s="388">
        <v>20.574400000000001</v>
      </c>
      <c r="J90" s="389">
        <v>20.574400000000001</v>
      </c>
      <c r="K90" s="399" t="s">
        <v>220</v>
      </c>
    </row>
    <row r="91" spans="1:11" ht="14.4" customHeight="1" thickBot="1" x14ac:dyDescent="0.35">
      <c r="A91" s="410" t="s">
        <v>303</v>
      </c>
      <c r="B91" s="388">
        <v>0</v>
      </c>
      <c r="C91" s="388">
        <v>18.529900000000001</v>
      </c>
      <c r="D91" s="389">
        <v>18.529900000000001</v>
      </c>
      <c r="E91" s="398" t="s">
        <v>220</v>
      </c>
      <c r="F91" s="388">
        <v>0</v>
      </c>
      <c r="G91" s="389">
        <v>0</v>
      </c>
      <c r="H91" s="391">
        <v>8.2481899999999992</v>
      </c>
      <c r="I91" s="388">
        <v>53.931579999999997</v>
      </c>
      <c r="J91" s="389">
        <v>53.931579999999997</v>
      </c>
      <c r="K91" s="399" t="s">
        <v>220</v>
      </c>
    </row>
    <row r="92" spans="1:11" ht="14.4" customHeight="1" thickBot="1" x14ac:dyDescent="0.35">
      <c r="A92" s="407" t="s">
        <v>304</v>
      </c>
      <c r="B92" s="388">
        <v>5.0676472651309998</v>
      </c>
      <c r="C92" s="388">
        <v>0</v>
      </c>
      <c r="D92" s="389">
        <v>-5.0676472651309998</v>
      </c>
      <c r="E92" s="390">
        <v>0</v>
      </c>
      <c r="F92" s="388">
        <v>0</v>
      </c>
      <c r="G92" s="389">
        <v>0</v>
      </c>
      <c r="H92" s="391">
        <v>0</v>
      </c>
      <c r="I92" s="388">
        <v>5.7850999999999999</v>
      </c>
      <c r="J92" s="389">
        <v>5.7850999999999999</v>
      </c>
      <c r="K92" s="399" t="s">
        <v>220</v>
      </c>
    </row>
    <row r="93" spans="1:11" ht="14.4" customHeight="1" thickBot="1" x14ac:dyDescent="0.35">
      <c r="A93" s="413" t="s">
        <v>305</v>
      </c>
      <c r="B93" s="393">
        <v>5.0676472651309998</v>
      </c>
      <c r="C93" s="393">
        <v>0</v>
      </c>
      <c r="D93" s="394">
        <v>-5.0676472651309998</v>
      </c>
      <c r="E93" s="395">
        <v>0</v>
      </c>
      <c r="F93" s="393">
        <v>0</v>
      </c>
      <c r="G93" s="394">
        <v>0</v>
      </c>
      <c r="H93" s="396">
        <v>0</v>
      </c>
      <c r="I93" s="393">
        <v>5.7850999999999999</v>
      </c>
      <c r="J93" s="394">
        <v>5.7850999999999999</v>
      </c>
      <c r="K93" s="401" t="s">
        <v>220</v>
      </c>
    </row>
    <row r="94" spans="1:11" ht="14.4" customHeight="1" thickBot="1" x14ac:dyDescent="0.35">
      <c r="A94" s="409" t="s">
        <v>306</v>
      </c>
      <c r="B94" s="393">
        <v>0</v>
      </c>
      <c r="C94" s="393">
        <v>0</v>
      </c>
      <c r="D94" s="394">
        <v>0</v>
      </c>
      <c r="E94" s="400" t="s">
        <v>220</v>
      </c>
      <c r="F94" s="393">
        <v>0</v>
      </c>
      <c r="G94" s="394">
        <v>0</v>
      </c>
      <c r="H94" s="396">
        <v>0</v>
      </c>
      <c r="I94" s="393">
        <v>-1E-4</v>
      </c>
      <c r="J94" s="394">
        <v>-1E-4</v>
      </c>
      <c r="K94" s="401" t="s">
        <v>220</v>
      </c>
    </row>
    <row r="95" spans="1:11" ht="14.4" customHeight="1" thickBot="1" x14ac:dyDescent="0.35">
      <c r="A95" s="410" t="s">
        <v>307</v>
      </c>
      <c r="B95" s="388">
        <v>0</v>
      </c>
      <c r="C95" s="388">
        <v>0</v>
      </c>
      <c r="D95" s="389">
        <v>0</v>
      </c>
      <c r="E95" s="398" t="s">
        <v>220</v>
      </c>
      <c r="F95" s="388">
        <v>0</v>
      </c>
      <c r="G95" s="389">
        <v>0</v>
      </c>
      <c r="H95" s="391">
        <v>0</v>
      </c>
      <c r="I95" s="388">
        <v>-1E-4</v>
      </c>
      <c r="J95" s="389">
        <v>-1E-4</v>
      </c>
      <c r="K95" s="399" t="s">
        <v>229</v>
      </c>
    </row>
    <row r="96" spans="1:11" ht="14.4" customHeight="1" thickBot="1" x14ac:dyDescent="0.35">
      <c r="A96" s="409" t="s">
        <v>308</v>
      </c>
      <c r="B96" s="393">
        <v>5.0676472651309998</v>
      </c>
      <c r="C96" s="393">
        <v>0</v>
      </c>
      <c r="D96" s="394">
        <v>-5.0676472651309998</v>
      </c>
      <c r="E96" s="395">
        <v>0</v>
      </c>
      <c r="F96" s="393">
        <v>0</v>
      </c>
      <c r="G96" s="394">
        <v>0</v>
      </c>
      <c r="H96" s="396">
        <v>0</v>
      </c>
      <c r="I96" s="393">
        <v>5.7851999999999997</v>
      </c>
      <c r="J96" s="394">
        <v>5.7851999999999997</v>
      </c>
      <c r="K96" s="401" t="s">
        <v>229</v>
      </c>
    </row>
    <row r="97" spans="1:11" ht="14.4" customHeight="1" thickBot="1" x14ac:dyDescent="0.35">
      <c r="A97" s="410" t="s">
        <v>309</v>
      </c>
      <c r="B97" s="388">
        <v>5.0676472651309998</v>
      </c>
      <c r="C97" s="388">
        <v>0</v>
      </c>
      <c r="D97" s="389">
        <v>-5.0676472651309998</v>
      </c>
      <c r="E97" s="390">
        <v>0</v>
      </c>
      <c r="F97" s="388">
        <v>0</v>
      </c>
      <c r="G97" s="389">
        <v>0</v>
      </c>
      <c r="H97" s="391">
        <v>0</v>
      </c>
      <c r="I97" s="388">
        <v>5.7851999999999997</v>
      </c>
      <c r="J97" s="389">
        <v>5.7851999999999997</v>
      </c>
      <c r="K97" s="399" t="s">
        <v>229</v>
      </c>
    </row>
    <row r="98" spans="1:11" ht="14.4" customHeight="1" thickBot="1" x14ac:dyDescent="0.35">
      <c r="A98" s="406" t="s">
        <v>310</v>
      </c>
      <c r="B98" s="388">
        <v>440.28554719296602</v>
      </c>
      <c r="C98" s="388">
        <v>473.50857000000002</v>
      </c>
      <c r="D98" s="389">
        <v>33.223022807033999</v>
      </c>
      <c r="E98" s="390">
        <v>1.075457900035</v>
      </c>
      <c r="F98" s="388">
        <v>531.26276105456304</v>
      </c>
      <c r="G98" s="389">
        <v>309.90327728182803</v>
      </c>
      <c r="H98" s="391">
        <v>45.788710000000002</v>
      </c>
      <c r="I98" s="388">
        <v>313.35906999999997</v>
      </c>
      <c r="J98" s="389">
        <v>3.4557927181710002</v>
      </c>
      <c r="K98" s="392">
        <v>0.58983819866800002</v>
      </c>
    </row>
    <row r="99" spans="1:11" ht="14.4" customHeight="1" thickBot="1" x14ac:dyDescent="0.35">
      <c r="A99" s="411" t="s">
        <v>311</v>
      </c>
      <c r="B99" s="393">
        <v>440.28554719296602</v>
      </c>
      <c r="C99" s="393">
        <v>473.50857000000002</v>
      </c>
      <c r="D99" s="394">
        <v>33.223022807033999</v>
      </c>
      <c r="E99" s="395">
        <v>1.075457900035</v>
      </c>
      <c r="F99" s="393">
        <v>531.26276105456304</v>
      </c>
      <c r="G99" s="394">
        <v>309.90327728182803</v>
      </c>
      <c r="H99" s="396">
        <v>45.788710000000002</v>
      </c>
      <c r="I99" s="393">
        <v>313.35906999999997</v>
      </c>
      <c r="J99" s="394">
        <v>3.4557927181710002</v>
      </c>
      <c r="K99" s="397">
        <v>0.58983819866800002</v>
      </c>
    </row>
    <row r="100" spans="1:11" ht="14.4" customHeight="1" thickBot="1" x14ac:dyDescent="0.35">
      <c r="A100" s="413" t="s">
        <v>30</v>
      </c>
      <c r="B100" s="393">
        <v>440.28554719296602</v>
      </c>
      <c r="C100" s="393">
        <v>473.50857000000002</v>
      </c>
      <c r="D100" s="394">
        <v>33.223022807033999</v>
      </c>
      <c r="E100" s="395">
        <v>1.075457900035</v>
      </c>
      <c r="F100" s="393">
        <v>531.26276105456304</v>
      </c>
      <c r="G100" s="394">
        <v>309.90327728182803</v>
      </c>
      <c r="H100" s="396">
        <v>45.788710000000002</v>
      </c>
      <c r="I100" s="393">
        <v>313.35906999999997</v>
      </c>
      <c r="J100" s="394">
        <v>3.4557927181710002</v>
      </c>
      <c r="K100" s="397">
        <v>0.58983819866800002</v>
      </c>
    </row>
    <row r="101" spans="1:11" ht="14.4" customHeight="1" thickBot="1" x14ac:dyDescent="0.35">
      <c r="A101" s="409" t="s">
        <v>312</v>
      </c>
      <c r="B101" s="393">
        <v>6.7666194913769999</v>
      </c>
      <c r="C101" s="393">
        <v>7.2960000000000003</v>
      </c>
      <c r="D101" s="394">
        <v>0.52938050862200003</v>
      </c>
      <c r="E101" s="395">
        <v>1.0782341181290001</v>
      </c>
      <c r="F101" s="393">
        <v>4.3126787440239998</v>
      </c>
      <c r="G101" s="394">
        <v>2.515729267347</v>
      </c>
      <c r="H101" s="396">
        <v>0</v>
      </c>
      <c r="I101" s="393">
        <v>2.274</v>
      </c>
      <c r="J101" s="394">
        <v>-0.24172926734700001</v>
      </c>
      <c r="K101" s="397">
        <v>0.52728249307899999</v>
      </c>
    </row>
    <row r="102" spans="1:11" ht="14.4" customHeight="1" thickBot="1" x14ac:dyDescent="0.35">
      <c r="A102" s="410" t="s">
        <v>313</v>
      </c>
      <c r="B102" s="388">
        <v>6.7666194913769999</v>
      </c>
      <c r="C102" s="388">
        <v>7.2960000000000003</v>
      </c>
      <c r="D102" s="389">
        <v>0.52938050862200003</v>
      </c>
      <c r="E102" s="390">
        <v>1.0782341181290001</v>
      </c>
      <c r="F102" s="388">
        <v>4.3126787440239998</v>
      </c>
      <c r="G102" s="389">
        <v>2.515729267347</v>
      </c>
      <c r="H102" s="391">
        <v>0</v>
      </c>
      <c r="I102" s="388">
        <v>2.274</v>
      </c>
      <c r="J102" s="389">
        <v>-0.24172926734700001</v>
      </c>
      <c r="K102" s="392">
        <v>0.52728249307899999</v>
      </c>
    </row>
    <row r="103" spans="1:11" ht="14.4" customHeight="1" thickBot="1" x14ac:dyDescent="0.35">
      <c r="A103" s="409" t="s">
        <v>314</v>
      </c>
      <c r="B103" s="393">
        <v>0.39345567570899997</v>
      </c>
      <c r="C103" s="393">
        <v>7.3499999999999996E-2</v>
      </c>
      <c r="D103" s="394">
        <v>-0.31995567570900002</v>
      </c>
      <c r="E103" s="395">
        <v>0.18680630255799999</v>
      </c>
      <c r="F103" s="393">
        <v>0</v>
      </c>
      <c r="G103" s="394">
        <v>0</v>
      </c>
      <c r="H103" s="396">
        <v>0</v>
      </c>
      <c r="I103" s="393">
        <v>0</v>
      </c>
      <c r="J103" s="394">
        <v>0</v>
      </c>
      <c r="K103" s="397">
        <v>0</v>
      </c>
    </row>
    <row r="104" spans="1:11" ht="14.4" customHeight="1" thickBot="1" x14ac:dyDescent="0.35">
      <c r="A104" s="410" t="s">
        <v>315</v>
      </c>
      <c r="B104" s="388">
        <v>0.39345567570899997</v>
      </c>
      <c r="C104" s="388">
        <v>7.3499999999999996E-2</v>
      </c>
      <c r="D104" s="389">
        <v>-0.31995567570900002</v>
      </c>
      <c r="E104" s="390">
        <v>0.18680630255799999</v>
      </c>
      <c r="F104" s="388">
        <v>0</v>
      </c>
      <c r="G104" s="389">
        <v>0</v>
      </c>
      <c r="H104" s="391">
        <v>0</v>
      </c>
      <c r="I104" s="388">
        <v>0</v>
      </c>
      <c r="J104" s="389">
        <v>0</v>
      </c>
      <c r="K104" s="392">
        <v>0</v>
      </c>
    </row>
    <row r="105" spans="1:11" ht="14.4" customHeight="1" thickBot="1" x14ac:dyDescent="0.35">
      <c r="A105" s="409" t="s">
        <v>316</v>
      </c>
      <c r="B105" s="393">
        <v>1.691866545791</v>
      </c>
      <c r="C105" s="393">
        <v>2.2406999999999999</v>
      </c>
      <c r="D105" s="394">
        <v>0.548833454208</v>
      </c>
      <c r="E105" s="395">
        <v>1.324395240022</v>
      </c>
      <c r="F105" s="393">
        <v>2.2260016179640001</v>
      </c>
      <c r="G105" s="394">
        <v>1.2985009438120001</v>
      </c>
      <c r="H105" s="396">
        <v>0.12529999999999999</v>
      </c>
      <c r="I105" s="393">
        <v>1.3274999999999999</v>
      </c>
      <c r="J105" s="394">
        <v>2.8999056187000001E-2</v>
      </c>
      <c r="K105" s="397">
        <v>0.596360752519</v>
      </c>
    </row>
    <row r="106" spans="1:11" ht="14.4" customHeight="1" thickBot="1" x14ac:dyDescent="0.35">
      <c r="A106" s="410" t="s">
        <v>317</v>
      </c>
      <c r="B106" s="388">
        <v>1.691866545791</v>
      </c>
      <c r="C106" s="388">
        <v>2.2406999999999999</v>
      </c>
      <c r="D106" s="389">
        <v>0.548833454208</v>
      </c>
      <c r="E106" s="390">
        <v>1.324395240022</v>
      </c>
      <c r="F106" s="388">
        <v>2.2260016179640001</v>
      </c>
      <c r="G106" s="389">
        <v>1.2985009438120001</v>
      </c>
      <c r="H106" s="391">
        <v>0.12529999999999999</v>
      </c>
      <c r="I106" s="388">
        <v>1.3274999999999999</v>
      </c>
      <c r="J106" s="389">
        <v>2.8999056187000001E-2</v>
      </c>
      <c r="K106" s="392">
        <v>0.596360752519</v>
      </c>
    </row>
    <row r="107" spans="1:11" ht="14.4" customHeight="1" thickBot="1" x14ac:dyDescent="0.35">
      <c r="A107" s="409" t="s">
        <v>318</v>
      </c>
      <c r="B107" s="393">
        <v>91.343141290572007</v>
      </c>
      <c r="C107" s="393">
        <v>93.674040000000005</v>
      </c>
      <c r="D107" s="394">
        <v>2.3308987094270002</v>
      </c>
      <c r="E107" s="395">
        <v>1.025518048498</v>
      </c>
      <c r="F107" s="393">
        <v>133.88959628331199</v>
      </c>
      <c r="G107" s="394">
        <v>78.102264498598004</v>
      </c>
      <c r="H107" s="396">
        <v>7.91974</v>
      </c>
      <c r="I107" s="393">
        <v>66.885419999999996</v>
      </c>
      <c r="J107" s="394">
        <v>-11.216844498598</v>
      </c>
      <c r="K107" s="397">
        <v>0.49955651414800001</v>
      </c>
    </row>
    <row r="108" spans="1:11" ht="14.4" customHeight="1" thickBot="1" x14ac:dyDescent="0.35">
      <c r="A108" s="410" t="s">
        <v>319</v>
      </c>
      <c r="B108" s="388">
        <v>91.343141290572007</v>
      </c>
      <c r="C108" s="388">
        <v>93.674040000000005</v>
      </c>
      <c r="D108" s="389">
        <v>2.3308987094270002</v>
      </c>
      <c r="E108" s="390">
        <v>1.025518048498</v>
      </c>
      <c r="F108" s="388">
        <v>133.88959628331199</v>
      </c>
      <c r="G108" s="389">
        <v>78.102264498598004</v>
      </c>
      <c r="H108" s="391">
        <v>7.91974</v>
      </c>
      <c r="I108" s="388">
        <v>66.885419999999996</v>
      </c>
      <c r="J108" s="389">
        <v>-11.216844498598</v>
      </c>
      <c r="K108" s="392">
        <v>0.49955651414800001</v>
      </c>
    </row>
    <row r="109" spans="1:11" ht="14.4" customHeight="1" thickBot="1" x14ac:dyDescent="0.35">
      <c r="A109" s="409" t="s">
        <v>320</v>
      </c>
      <c r="B109" s="393">
        <v>340.09046418951499</v>
      </c>
      <c r="C109" s="393">
        <v>370.22433000000001</v>
      </c>
      <c r="D109" s="394">
        <v>30.133865810484998</v>
      </c>
      <c r="E109" s="395">
        <v>1.088605441738</v>
      </c>
      <c r="F109" s="393">
        <v>390.83448440926202</v>
      </c>
      <c r="G109" s="394">
        <v>227.98678257206899</v>
      </c>
      <c r="H109" s="396">
        <v>37.743670000000002</v>
      </c>
      <c r="I109" s="393">
        <v>242.87215</v>
      </c>
      <c r="J109" s="394">
        <v>14.885367427929999</v>
      </c>
      <c r="K109" s="397">
        <v>0.62141944912299996</v>
      </c>
    </row>
    <row r="110" spans="1:11" ht="14.4" customHeight="1" thickBot="1" x14ac:dyDescent="0.35">
      <c r="A110" s="410" t="s">
        <v>321</v>
      </c>
      <c r="B110" s="388">
        <v>340.09046418951499</v>
      </c>
      <c r="C110" s="388">
        <v>370.22433000000001</v>
      </c>
      <c r="D110" s="389">
        <v>30.133865810484998</v>
      </c>
      <c r="E110" s="390">
        <v>1.088605441738</v>
      </c>
      <c r="F110" s="388">
        <v>390.83448440926202</v>
      </c>
      <c r="G110" s="389">
        <v>227.98678257206899</v>
      </c>
      <c r="H110" s="391">
        <v>37.743670000000002</v>
      </c>
      <c r="I110" s="388">
        <v>242.87215</v>
      </c>
      <c r="J110" s="389">
        <v>14.885367427929999</v>
      </c>
      <c r="K110" s="392">
        <v>0.62141944912299996</v>
      </c>
    </row>
    <row r="111" spans="1:11" ht="14.4" customHeight="1" thickBot="1" x14ac:dyDescent="0.35">
      <c r="A111" s="414"/>
      <c r="B111" s="388">
        <v>-1487.2779158433</v>
      </c>
      <c r="C111" s="388">
        <v>-2359.3302600000002</v>
      </c>
      <c r="D111" s="389">
        <v>-872.052344156701</v>
      </c>
      <c r="E111" s="390">
        <v>1.5863412176480001</v>
      </c>
      <c r="F111" s="388">
        <v>-2495.2348698728501</v>
      </c>
      <c r="G111" s="389">
        <v>-1455.5536740924899</v>
      </c>
      <c r="H111" s="391">
        <v>-236.04345000000001</v>
      </c>
      <c r="I111" s="388">
        <v>-968.37456000000304</v>
      </c>
      <c r="J111" s="389">
        <v>487.179114092492</v>
      </c>
      <c r="K111" s="392">
        <v>0.38808954286899999</v>
      </c>
    </row>
    <row r="112" spans="1:11" ht="14.4" customHeight="1" thickBot="1" x14ac:dyDescent="0.35">
      <c r="A112" s="415" t="s">
        <v>42</v>
      </c>
      <c r="B112" s="402">
        <v>-1487.2779158433</v>
      </c>
      <c r="C112" s="402">
        <v>-2359.3302600000002</v>
      </c>
      <c r="D112" s="403">
        <v>-872.052344156701</v>
      </c>
      <c r="E112" s="404">
        <v>-1.37964419249</v>
      </c>
      <c r="F112" s="402">
        <v>-2495.2348698728501</v>
      </c>
      <c r="G112" s="403">
        <v>-1455.5536740924899</v>
      </c>
      <c r="H112" s="402">
        <v>-236.04345000000001</v>
      </c>
      <c r="I112" s="402">
        <v>-968.37456000000304</v>
      </c>
      <c r="J112" s="403">
        <v>487.17911409249098</v>
      </c>
      <c r="K112" s="405">
        <v>0.38808954286899999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18" t="s">
        <v>102</v>
      </c>
      <c r="B1" s="319"/>
      <c r="C1" s="319"/>
      <c r="D1" s="319"/>
      <c r="E1" s="319"/>
      <c r="F1" s="319"/>
      <c r="G1" s="289"/>
      <c r="H1" s="320"/>
      <c r="I1" s="320"/>
    </row>
    <row r="2" spans="1:10" ht="14.4" customHeight="1" thickBot="1" x14ac:dyDescent="0.35">
      <c r="A2" s="193" t="s">
        <v>219</v>
      </c>
      <c r="B2" s="175"/>
      <c r="C2" s="175"/>
      <c r="D2" s="175"/>
      <c r="E2" s="175"/>
      <c r="F2" s="175"/>
    </row>
    <row r="3" spans="1:10" ht="14.4" customHeight="1" thickBot="1" x14ac:dyDescent="0.35">
      <c r="A3" s="193"/>
      <c r="B3" s="232"/>
      <c r="C3" s="231">
        <v>2015</v>
      </c>
      <c r="D3" s="200">
        <v>2017</v>
      </c>
      <c r="E3" s="7"/>
      <c r="F3" s="297">
        <v>2018</v>
      </c>
      <c r="G3" s="315"/>
      <c r="H3" s="315"/>
      <c r="I3" s="298"/>
    </row>
    <row r="4" spans="1:10" ht="14.4" customHeight="1" thickBot="1" x14ac:dyDescent="0.35">
      <c r="A4" s="204" t="s">
        <v>0</v>
      </c>
      <c r="B4" s="205" t="s">
        <v>145</v>
      </c>
      <c r="C4" s="316" t="s">
        <v>48</v>
      </c>
      <c r="D4" s="317"/>
      <c r="E4" s="206"/>
      <c r="F4" s="201" t="s">
        <v>48</v>
      </c>
      <c r="G4" s="202" t="s">
        <v>49</v>
      </c>
      <c r="H4" s="202" t="s">
        <v>43</v>
      </c>
      <c r="I4" s="203" t="s">
        <v>50</v>
      </c>
    </row>
    <row r="5" spans="1:10" ht="14.4" customHeight="1" x14ac:dyDescent="0.3">
      <c r="A5" s="416" t="s">
        <v>322</v>
      </c>
      <c r="B5" s="417" t="s">
        <v>323</v>
      </c>
      <c r="C5" s="418" t="s">
        <v>324</v>
      </c>
      <c r="D5" s="418" t="s">
        <v>324</v>
      </c>
      <c r="E5" s="418"/>
      <c r="F5" s="418" t="s">
        <v>324</v>
      </c>
      <c r="G5" s="418" t="s">
        <v>324</v>
      </c>
      <c r="H5" s="418" t="s">
        <v>324</v>
      </c>
      <c r="I5" s="419" t="s">
        <v>324</v>
      </c>
      <c r="J5" s="420" t="s">
        <v>44</v>
      </c>
    </row>
    <row r="6" spans="1:10" ht="14.4" customHeight="1" x14ac:dyDescent="0.3">
      <c r="A6" s="416" t="s">
        <v>322</v>
      </c>
      <c r="B6" s="417" t="s">
        <v>325</v>
      </c>
      <c r="C6" s="418">
        <v>0</v>
      </c>
      <c r="D6" s="418">
        <v>0</v>
      </c>
      <c r="E6" s="418"/>
      <c r="F6" s="418">
        <v>0</v>
      </c>
      <c r="G6" s="418">
        <v>0</v>
      </c>
      <c r="H6" s="418">
        <v>0</v>
      </c>
      <c r="I6" s="419" t="s">
        <v>324</v>
      </c>
      <c r="J6" s="420" t="s">
        <v>1</v>
      </c>
    </row>
    <row r="7" spans="1:10" ht="14.4" customHeight="1" x14ac:dyDescent="0.3">
      <c r="A7" s="416" t="s">
        <v>322</v>
      </c>
      <c r="B7" s="417" t="s">
        <v>326</v>
      </c>
      <c r="C7" s="418">
        <v>0</v>
      </c>
      <c r="D7" s="418">
        <v>0</v>
      </c>
      <c r="E7" s="418"/>
      <c r="F7" s="418">
        <v>0</v>
      </c>
      <c r="G7" s="418">
        <v>0</v>
      </c>
      <c r="H7" s="418">
        <v>0</v>
      </c>
      <c r="I7" s="419" t="s">
        <v>324</v>
      </c>
      <c r="J7" s="420" t="s">
        <v>327</v>
      </c>
    </row>
    <row r="9" spans="1:10" ht="14.4" customHeight="1" x14ac:dyDescent="0.3">
      <c r="A9" s="416" t="s">
        <v>322</v>
      </c>
      <c r="B9" s="417" t="s">
        <v>323</v>
      </c>
      <c r="C9" s="418" t="s">
        <v>324</v>
      </c>
      <c r="D9" s="418" t="s">
        <v>324</v>
      </c>
      <c r="E9" s="418"/>
      <c r="F9" s="418" t="s">
        <v>324</v>
      </c>
      <c r="G9" s="418" t="s">
        <v>324</v>
      </c>
      <c r="H9" s="418" t="s">
        <v>324</v>
      </c>
      <c r="I9" s="419" t="s">
        <v>324</v>
      </c>
      <c r="J9" s="420" t="s">
        <v>44</v>
      </c>
    </row>
    <row r="10" spans="1:10" ht="14.4" customHeight="1" x14ac:dyDescent="0.3">
      <c r="A10" s="416" t="s">
        <v>328</v>
      </c>
      <c r="B10" s="417" t="s">
        <v>329</v>
      </c>
      <c r="C10" s="418" t="s">
        <v>324</v>
      </c>
      <c r="D10" s="418" t="s">
        <v>324</v>
      </c>
      <c r="E10" s="418"/>
      <c r="F10" s="418" t="s">
        <v>324</v>
      </c>
      <c r="G10" s="418" t="s">
        <v>324</v>
      </c>
      <c r="H10" s="418" t="s">
        <v>324</v>
      </c>
      <c r="I10" s="419" t="s">
        <v>324</v>
      </c>
      <c r="J10" s="420" t="s">
        <v>0</v>
      </c>
    </row>
    <row r="11" spans="1:10" ht="14.4" customHeight="1" x14ac:dyDescent="0.3">
      <c r="A11" s="416" t="s">
        <v>328</v>
      </c>
      <c r="B11" s="417" t="s">
        <v>325</v>
      </c>
      <c r="C11" s="418">
        <v>0</v>
      </c>
      <c r="D11" s="418">
        <v>0</v>
      </c>
      <c r="E11" s="418"/>
      <c r="F11" s="418">
        <v>0</v>
      </c>
      <c r="G11" s="418">
        <v>0</v>
      </c>
      <c r="H11" s="418">
        <v>0</v>
      </c>
      <c r="I11" s="419" t="s">
        <v>324</v>
      </c>
      <c r="J11" s="420" t="s">
        <v>1</v>
      </c>
    </row>
    <row r="12" spans="1:10" ht="14.4" customHeight="1" x14ac:dyDescent="0.3">
      <c r="A12" s="416" t="s">
        <v>328</v>
      </c>
      <c r="B12" s="417" t="s">
        <v>330</v>
      </c>
      <c r="C12" s="418">
        <v>0</v>
      </c>
      <c r="D12" s="418">
        <v>0</v>
      </c>
      <c r="E12" s="418"/>
      <c r="F12" s="418">
        <v>0</v>
      </c>
      <c r="G12" s="418">
        <v>0</v>
      </c>
      <c r="H12" s="418">
        <v>0</v>
      </c>
      <c r="I12" s="419" t="s">
        <v>324</v>
      </c>
      <c r="J12" s="420" t="s">
        <v>331</v>
      </c>
    </row>
    <row r="13" spans="1:10" ht="14.4" customHeight="1" x14ac:dyDescent="0.3">
      <c r="A13" s="416" t="s">
        <v>324</v>
      </c>
      <c r="B13" s="417" t="s">
        <v>324</v>
      </c>
      <c r="C13" s="418" t="s">
        <v>324</v>
      </c>
      <c r="D13" s="418" t="s">
        <v>324</v>
      </c>
      <c r="E13" s="418"/>
      <c r="F13" s="418" t="s">
        <v>324</v>
      </c>
      <c r="G13" s="418" t="s">
        <v>324</v>
      </c>
      <c r="H13" s="418" t="s">
        <v>324</v>
      </c>
      <c r="I13" s="419" t="s">
        <v>324</v>
      </c>
      <c r="J13" s="420" t="s">
        <v>332</v>
      </c>
    </row>
    <row r="14" spans="1:10" ht="14.4" customHeight="1" x14ac:dyDescent="0.3">
      <c r="A14" s="416" t="s">
        <v>322</v>
      </c>
      <c r="B14" s="417" t="s">
        <v>326</v>
      </c>
      <c r="C14" s="418">
        <v>0</v>
      </c>
      <c r="D14" s="418">
        <v>0</v>
      </c>
      <c r="E14" s="418"/>
      <c r="F14" s="418">
        <v>0</v>
      </c>
      <c r="G14" s="418">
        <v>0</v>
      </c>
      <c r="H14" s="418">
        <v>0</v>
      </c>
      <c r="I14" s="419" t="s">
        <v>324</v>
      </c>
      <c r="J14" s="420" t="s">
        <v>327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19" customWidth="1"/>
    <col min="2" max="2" width="5.44140625" style="176" bestFit="1" customWidth="1"/>
    <col min="3" max="3" width="6.109375" style="176" bestFit="1" customWidth="1"/>
    <col min="4" max="4" width="7.44140625" style="176" bestFit="1" customWidth="1"/>
    <col min="5" max="5" width="6.21875" style="176" bestFit="1" customWidth="1"/>
    <col min="6" max="6" width="6.33203125" style="179" bestFit="1" customWidth="1"/>
    <col min="7" max="7" width="6.109375" style="179" bestFit="1" customWidth="1"/>
    <col min="8" max="8" width="7.44140625" style="179" bestFit="1" customWidth="1"/>
    <col min="9" max="9" width="6.21875" style="179" bestFit="1" customWidth="1"/>
    <col min="10" max="10" width="5.44140625" style="176" bestFit="1" customWidth="1"/>
    <col min="11" max="11" width="6.109375" style="176" bestFit="1" customWidth="1"/>
    <col min="12" max="12" width="7.44140625" style="176" bestFit="1" customWidth="1"/>
    <col min="13" max="13" width="6.21875" style="176" bestFit="1" customWidth="1"/>
    <col min="14" max="14" width="5.33203125" style="179" bestFit="1" customWidth="1"/>
    <col min="15" max="15" width="6.109375" style="179" bestFit="1" customWidth="1"/>
    <col min="16" max="16" width="7.44140625" style="179" bestFit="1" customWidth="1"/>
    <col min="17" max="17" width="6.21875" style="179" bestFit="1" customWidth="1"/>
    <col min="18" max="16384" width="8.88671875" style="101"/>
  </cols>
  <sheetData>
    <row r="1" spans="1:17" ht="18.600000000000001" customHeight="1" thickBot="1" x14ac:dyDescent="0.4">
      <c r="A1" s="321" t="s">
        <v>146</v>
      </c>
      <c r="B1" s="321"/>
      <c r="C1" s="321"/>
      <c r="D1" s="321"/>
      <c r="E1" s="321"/>
      <c r="F1" s="289"/>
      <c r="G1" s="289"/>
      <c r="H1" s="289"/>
      <c r="I1" s="289"/>
      <c r="J1" s="320"/>
      <c r="K1" s="320"/>
      <c r="L1" s="320"/>
      <c r="M1" s="320"/>
      <c r="N1" s="320"/>
      <c r="O1" s="320"/>
      <c r="P1" s="320"/>
      <c r="Q1" s="320"/>
    </row>
    <row r="2" spans="1:17" ht="14.4" customHeight="1" thickBot="1" x14ac:dyDescent="0.35">
      <c r="A2" s="193" t="s">
        <v>219</v>
      </c>
      <c r="B2" s="180"/>
      <c r="C2" s="180"/>
      <c r="D2" s="180"/>
      <c r="E2" s="180"/>
    </row>
    <row r="3" spans="1:17" ht="14.4" customHeight="1" thickBot="1" x14ac:dyDescent="0.35">
      <c r="A3" s="208" t="s">
        <v>3</v>
      </c>
      <c r="B3" s="212">
        <f>SUM(B6:B1048576)</f>
        <v>1</v>
      </c>
      <c r="C3" s="213">
        <f>SUM(C6:C1048576)</f>
        <v>0</v>
      </c>
      <c r="D3" s="213">
        <f>SUM(D6:D1048576)</f>
        <v>0</v>
      </c>
      <c r="E3" s="214">
        <f>SUM(E6:E1048576)</f>
        <v>0</v>
      </c>
      <c r="F3" s="211">
        <f>IF(SUM($B3:$E3)=0,"",B3/SUM($B3:$E3))</f>
        <v>1</v>
      </c>
      <c r="G3" s="209">
        <f t="shared" ref="G3:I3" si="0">IF(SUM($B3:$E3)=0,"",C3/SUM($B3:$E3))</f>
        <v>0</v>
      </c>
      <c r="H3" s="209">
        <f t="shared" si="0"/>
        <v>0</v>
      </c>
      <c r="I3" s="210">
        <f t="shared" si="0"/>
        <v>0</v>
      </c>
      <c r="J3" s="213">
        <f>SUM(J6:J1048576)</f>
        <v>1</v>
      </c>
      <c r="K3" s="213">
        <f>SUM(K6:K1048576)</f>
        <v>0</v>
      </c>
      <c r="L3" s="213">
        <f>SUM(L6:L1048576)</f>
        <v>0</v>
      </c>
      <c r="M3" s="214">
        <f>SUM(M6:M1048576)</f>
        <v>0</v>
      </c>
      <c r="N3" s="211">
        <f>IF(SUM($J3:$M3)=0,"",J3/SUM($J3:$M3))</f>
        <v>1</v>
      </c>
      <c r="O3" s="209">
        <f t="shared" ref="O3:Q3" si="1">IF(SUM($J3:$M3)=0,"",K3/SUM($J3:$M3))</f>
        <v>0</v>
      </c>
      <c r="P3" s="209">
        <f t="shared" si="1"/>
        <v>0</v>
      </c>
      <c r="Q3" s="210">
        <f t="shared" si="1"/>
        <v>0</v>
      </c>
    </row>
    <row r="4" spans="1:17" ht="14.4" customHeight="1" thickBot="1" x14ac:dyDescent="0.35">
      <c r="A4" s="207"/>
      <c r="B4" s="325" t="s">
        <v>148</v>
      </c>
      <c r="C4" s="326"/>
      <c r="D4" s="326"/>
      <c r="E4" s="327"/>
      <c r="F4" s="322" t="s">
        <v>153</v>
      </c>
      <c r="G4" s="323"/>
      <c r="H4" s="323"/>
      <c r="I4" s="324"/>
      <c r="J4" s="325" t="s">
        <v>154</v>
      </c>
      <c r="K4" s="326"/>
      <c r="L4" s="326"/>
      <c r="M4" s="327"/>
      <c r="N4" s="322" t="s">
        <v>155</v>
      </c>
      <c r="O4" s="323"/>
      <c r="P4" s="323"/>
      <c r="Q4" s="324"/>
    </row>
    <row r="5" spans="1:17" ht="14.4" customHeight="1" thickBot="1" x14ac:dyDescent="0.35">
      <c r="A5" s="421" t="s">
        <v>147</v>
      </c>
      <c r="B5" s="422" t="s">
        <v>149</v>
      </c>
      <c r="C5" s="422" t="s">
        <v>150</v>
      </c>
      <c r="D5" s="422" t="s">
        <v>151</v>
      </c>
      <c r="E5" s="423" t="s">
        <v>152</v>
      </c>
      <c r="F5" s="424" t="s">
        <v>149</v>
      </c>
      <c r="G5" s="425" t="s">
        <v>150</v>
      </c>
      <c r="H5" s="425" t="s">
        <v>151</v>
      </c>
      <c r="I5" s="426" t="s">
        <v>152</v>
      </c>
      <c r="J5" s="422" t="s">
        <v>149</v>
      </c>
      <c r="K5" s="422" t="s">
        <v>150</v>
      </c>
      <c r="L5" s="422" t="s">
        <v>151</v>
      </c>
      <c r="M5" s="423" t="s">
        <v>152</v>
      </c>
      <c r="N5" s="424" t="s">
        <v>149</v>
      </c>
      <c r="O5" s="425" t="s">
        <v>150</v>
      </c>
      <c r="P5" s="425" t="s">
        <v>151</v>
      </c>
      <c r="Q5" s="426" t="s">
        <v>152</v>
      </c>
    </row>
    <row r="6" spans="1:17" ht="14.4" customHeight="1" x14ac:dyDescent="0.3">
      <c r="A6" s="434" t="s">
        <v>333</v>
      </c>
      <c r="B6" s="438"/>
      <c r="C6" s="428"/>
      <c r="D6" s="428"/>
      <c r="E6" s="440"/>
      <c r="F6" s="436"/>
      <c r="G6" s="429"/>
      <c r="H6" s="429"/>
      <c r="I6" s="442"/>
      <c r="J6" s="438"/>
      <c r="K6" s="428"/>
      <c r="L6" s="428"/>
      <c r="M6" s="440"/>
      <c r="N6" s="436"/>
      <c r="O6" s="429"/>
      <c r="P6" s="429"/>
      <c r="Q6" s="430"/>
    </row>
    <row r="7" spans="1:17" ht="14.4" customHeight="1" thickBot="1" x14ac:dyDescent="0.35">
      <c r="A7" s="435" t="s">
        <v>334</v>
      </c>
      <c r="B7" s="439">
        <v>1</v>
      </c>
      <c r="C7" s="431"/>
      <c r="D7" s="431"/>
      <c r="E7" s="441"/>
      <c r="F7" s="437">
        <v>1</v>
      </c>
      <c r="G7" s="432">
        <v>0</v>
      </c>
      <c r="H7" s="432">
        <v>0</v>
      </c>
      <c r="I7" s="443">
        <v>0</v>
      </c>
      <c r="J7" s="439">
        <v>1</v>
      </c>
      <c r="K7" s="431"/>
      <c r="L7" s="431"/>
      <c r="M7" s="441"/>
      <c r="N7" s="437">
        <v>1</v>
      </c>
      <c r="O7" s="432">
        <v>0</v>
      </c>
      <c r="P7" s="432">
        <v>0</v>
      </c>
      <c r="Q7" s="43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7" customWidth="1"/>
    <col min="2" max="2" width="61.109375" style="177" customWidth="1"/>
    <col min="3" max="3" width="9.5546875" style="101" hidden="1" customWidth="1" outlineLevel="1"/>
    <col min="4" max="4" width="9.5546875" style="178" customWidth="1" collapsed="1"/>
    <col min="5" max="5" width="2.21875" style="178" customWidth="1"/>
    <col min="6" max="6" width="9.5546875" style="179" customWidth="1"/>
    <col min="7" max="7" width="9.5546875" style="176" customWidth="1"/>
    <col min="8" max="9" width="9.5546875" style="101" customWidth="1"/>
    <col min="10" max="10" width="0" style="101" hidden="1" customWidth="1"/>
    <col min="11" max="16384" width="8.88671875" style="101"/>
  </cols>
  <sheetData>
    <row r="1" spans="1:10" ht="18.600000000000001" customHeight="1" thickBot="1" x14ac:dyDescent="0.4">
      <c r="A1" s="318" t="s">
        <v>103</v>
      </c>
      <c r="B1" s="319"/>
      <c r="C1" s="319"/>
      <c r="D1" s="319"/>
      <c r="E1" s="319"/>
      <c r="F1" s="319"/>
      <c r="G1" s="289"/>
      <c r="H1" s="320"/>
      <c r="I1" s="320"/>
    </row>
    <row r="2" spans="1:10" ht="14.4" customHeight="1" thickBot="1" x14ac:dyDescent="0.35">
      <c r="A2" s="193" t="s">
        <v>219</v>
      </c>
      <c r="B2" s="175"/>
      <c r="C2" s="175"/>
      <c r="D2" s="175"/>
      <c r="E2" s="175"/>
      <c r="F2" s="175"/>
    </row>
    <row r="3" spans="1:10" ht="14.4" customHeight="1" thickBot="1" x14ac:dyDescent="0.35">
      <c r="A3" s="193"/>
      <c r="B3" s="232"/>
      <c r="C3" s="199">
        <v>2015</v>
      </c>
      <c r="D3" s="200">
        <v>2017</v>
      </c>
      <c r="E3" s="7"/>
      <c r="F3" s="297">
        <v>2018</v>
      </c>
      <c r="G3" s="315"/>
      <c r="H3" s="315"/>
      <c r="I3" s="298"/>
    </row>
    <row r="4" spans="1:10" ht="14.4" customHeight="1" thickBot="1" x14ac:dyDescent="0.35">
      <c r="A4" s="204" t="s">
        <v>0</v>
      </c>
      <c r="B4" s="205" t="s">
        <v>145</v>
      </c>
      <c r="C4" s="316" t="s">
        <v>48</v>
      </c>
      <c r="D4" s="317"/>
      <c r="E4" s="206"/>
      <c r="F4" s="201" t="s">
        <v>48</v>
      </c>
      <c r="G4" s="202" t="s">
        <v>49</v>
      </c>
      <c r="H4" s="202" t="s">
        <v>43</v>
      </c>
      <c r="I4" s="203" t="s">
        <v>50</v>
      </c>
    </row>
    <row r="5" spans="1:10" ht="14.4" customHeight="1" x14ac:dyDescent="0.3">
      <c r="A5" s="416" t="s">
        <v>322</v>
      </c>
      <c r="B5" s="417" t="s">
        <v>323</v>
      </c>
      <c r="C5" s="418" t="s">
        <v>324</v>
      </c>
      <c r="D5" s="418" t="s">
        <v>324</v>
      </c>
      <c r="E5" s="418"/>
      <c r="F5" s="418" t="s">
        <v>324</v>
      </c>
      <c r="G5" s="418" t="s">
        <v>324</v>
      </c>
      <c r="H5" s="418" t="s">
        <v>324</v>
      </c>
      <c r="I5" s="419" t="s">
        <v>324</v>
      </c>
      <c r="J5" s="420" t="s">
        <v>44</v>
      </c>
    </row>
    <row r="6" spans="1:10" ht="14.4" customHeight="1" x14ac:dyDescent="0.3">
      <c r="A6" s="416" t="s">
        <v>322</v>
      </c>
      <c r="B6" s="417" t="s">
        <v>335</v>
      </c>
      <c r="C6" s="418">
        <v>0</v>
      </c>
      <c r="D6" s="418">
        <v>0</v>
      </c>
      <c r="E6" s="418"/>
      <c r="F6" s="418">
        <v>0</v>
      </c>
      <c r="G6" s="418">
        <v>0</v>
      </c>
      <c r="H6" s="418">
        <v>0</v>
      </c>
      <c r="I6" s="419" t="s">
        <v>324</v>
      </c>
      <c r="J6" s="420" t="s">
        <v>1</v>
      </c>
    </row>
    <row r="7" spans="1:10" ht="14.4" customHeight="1" x14ac:dyDescent="0.3">
      <c r="A7" s="416" t="s">
        <v>322</v>
      </c>
      <c r="B7" s="417" t="s">
        <v>336</v>
      </c>
      <c r="C7" s="418">
        <v>2.5999999999999999E-2</v>
      </c>
      <c r="D7" s="418">
        <v>0</v>
      </c>
      <c r="E7" s="418"/>
      <c r="F7" s="418">
        <v>0</v>
      </c>
      <c r="G7" s="418">
        <v>0</v>
      </c>
      <c r="H7" s="418">
        <v>0</v>
      </c>
      <c r="I7" s="419" t="s">
        <v>324</v>
      </c>
      <c r="J7" s="420" t="s">
        <v>1</v>
      </c>
    </row>
    <row r="8" spans="1:10" ht="14.4" customHeight="1" x14ac:dyDescent="0.3">
      <c r="A8" s="416" t="s">
        <v>322</v>
      </c>
      <c r="B8" s="417" t="s">
        <v>337</v>
      </c>
      <c r="C8" s="418">
        <v>0.14199999999999999</v>
      </c>
      <c r="D8" s="418">
        <v>0</v>
      </c>
      <c r="E8" s="418"/>
      <c r="F8" s="418">
        <v>0</v>
      </c>
      <c r="G8" s="418">
        <v>0</v>
      </c>
      <c r="H8" s="418">
        <v>0</v>
      </c>
      <c r="I8" s="419" t="s">
        <v>324</v>
      </c>
      <c r="J8" s="420" t="s">
        <v>1</v>
      </c>
    </row>
    <row r="9" spans="1:10" ht="14.4" customHeight="1" x14ac:dyDescent="0.3">
      <c r="A9" s="416" t="s">
        <v>322</v>
      </c>
      <c r="B9" s="417" t="s">
        <v>326</v>
      </c>
      <c r="C9" s="418">
        <v>0.16799999999999998</v>
      </c>
      <c r="D9" s="418">
        <v>0</v>
      </c>
      <c r="E9" s="418"/>
      <c r="F9" s="418">
        <v>0</v>
      </c>
      <c r="G9" s="418">
        <v>0</v>
      </c>
      <c r="H9" s="418">
        <v>0</v>
      </c>
      <c r="I9" s="419" t="s">
        <v>324</v>
      </c>
      <c r="J9" s="420" t="s">
        <v>327</v>
      </c>
    </row>
    <row r="11" spans="1:10" ht="14.4" customHeight="1" x14ac:dyDescent="0.3">
      <c r="A11" s="416" t="s">
        <v>322</v>
      </c>
      <c r="B11" s="417" t="s">
        <v>323</v>
      </c>
      <c r="C11" s="418" t="s">
        <v>324</v>
      </c>
      <c r="D11" s="418" t="s">
        <v>324</v>
      </c>
      <c r="E11" s="418"/>
      <c r="F11" s="418" t="s">
        <v>324</v>
      </c>
      <c r="G11" s="418" t="s">
        <v>324</v>
      </c>
      <c r="H11" s="418" t="s">
        <v>324</v>
      </c>
      <c r="I11" s="419" t="s">
        <v>324</v>
      </c>
      <c r="J11" s="420" t="s">
        <v>44</v>
      </c>
    </row>
    <row r="12" spans="1:10" ht="14.4" customHeight="1" x14ac:dyDescent="0.3">
      <c r="A12" s="416" t="s">
        <v>328</v>
      </c>
      <c r="B12" s="417" t="s">
        <v>329</v>
      </c>
      <c r="C12" s="418" t="s">
        <v>324</v>
      </c>
      <c r="D12" s="418" t="s">
        <v>324</v>
      </c>
      <c r="E12" s="418"/>
      <c r="F12" s="418" t="s">
        <v>324</v>
      </c>
      <c r="G12" s="418" t="s">
        <v>324</v>
      </c>
      <c r="H12" s="418" t="s">
        <v>324</v>
      </c>
      <c r="I12" s="419" t="s">
        <v>324</v>
      </c>
      <c r="J12" s="420" t="s">
        <v>0</v>
      </c>
    </row>
    <row r="13" spans="1:10" ht="14.4" customHeight="1" x14ac:dyDescent="0.3">
      <c r="A13" s="416" t="s">
        <v>328</v>
      </c>
      <c r="B13" s="417" t="s">
        <v>335</v>
      </c>
      <c r="C13" s="418">
        <v>0</v>
      </c>
      <c r="D13" s="418">
        <v>0</v>
      </c>
      <c r="E13" s="418"/>
      <c r="F13" s="418">
        <v>0</v>
      </c>
      <c r="G13" s="418">
        <v>0</v>
      </c>
      <c r="H13" s="418">
        <v>0</v>
      </c>
      <c r="I13" s="419" t="s">
        <v>324</v>
      </c>
      <c r="J13" s="420" t="s">
        <v>1</v>
      </c>
    </row>
    <row r="14" spans="1:10" ht="14.4" customHeight="1" x14ac:dyDescent="0.3">
      <c r="A14" s="416" t="s">
        <v>328</v>
      </c>
      <c r="B14" s="417" t="s">
        <v>336</v>
      </c>
      <c r="C14" s="418">
        <v>2.5999999999999999E-2</v>
      </c>
      <c r="D14" s="418">
        <v>0</v>
      </c>
      <c r="E14" s="418"/>
      <c r="F14" s="418">
        <v>0</v>
      </c>
      <c r="G14" s="418">
        <v>0</v>
      </c>
      <c r="H14" s="418">
        <v>0</v>
      </c>
      <c r="I14" s="419" t="s">
        <v>324</v>
      </c>
      <c r="J14" s="420" t="s">
        <v>1</v>
      </c>
    </row>
    <row r="15" spans="1:10" ht="14.4" customHeight="1" x14ac:dyDescent="0.3">
      <c r="A15" s="416" t="s">
        <v>328</v>
      </c>
      <c r="B15" s="417" t="s">
        <v>337</v>
      </c>
      <c r="C15" s="418">
        <v>0.14199999999999999</v>
      </c>
      <c r="D15" s="418">
        <v>0</v>
      </c>
      <c r="E15" s="418"/>
      <c r="F15" s="418">
        <v>0</v>
      </c>
      <c r="G15" s="418">
        <v>0</v>
      </c>
      <c r="H15" s="418">
        <v>0</v>
      </c>
      <c r="I15" s="419" t="s">
        <v>324</v>
      </c>
      <c r="J15" s="420" t="s">
        <v>1</v>
      </c>
    </row>
    <row r="16" spans="1:10" ht="14.4" customHeight="1" x14ac:dyDescent="0.3">
      <c r="A16" s="416" t="s">
        <v>328</v>
      </c>
      <c r="B16" s="417" t="s">
        <v>330</v>
      </c>
      <c r="C16" s="418">
        <v>0.16799999999999998</v>
      </c>
      <c r="D16" s="418">
        <v>0</v>
      </c>
      <c r="E16" s="418"/>
      <c r="F16" s="418">
        <v>0</v>
      </c>
      <c r="G16" s="418">
        <v>0</v>
      </c>
      <c r="H16" s="418">
        <v>0</v>
      </c>
      <c r="I16" s="419" t="s">
        <v>324</v>
      </c>
      <c r="J16" s="420" t="s">
        <v>331</v>
      </c>
    </row>
    <row r="17" spans="1:10" ht="14.4" customHeight="1" x14ac:dyDescent="0.3">
      <c r="A17" s="416" t="s">
        <v>324</v>
      </c>
      <c r="B17" s="417" t="s">
        <v>324</v>
      </c>
      <c r="C17" s="418" t="s">
        <v>324</v>
      </c>
      <c r="D17" s="418" t="s">
        <v>324</v>
      </c>
      <c r="E17" s="418"/>
      <c r="F17" s="418" t="s">
        <v>324</v>
      </c>
      <c r="G17" s="418" t="s">
        <v>324</v>
      </c>
      <c r="H17" s="418" t="s">
        <v>324</v>
      </c>
      <c r="I17" s="419" t="s">
        <v>324</v>
      </c>
      <c r="J17" s="420" t="s">
        <v>332</v>
      </c>
    </row>
    <row r="18" spans="1:10" ht="14.4" customHeight="1" x14ac:dyDescent="0.3">
      <c r="A18" s="416" t="s">
        <v>322</v>
      </c>
      <c r="B18" s="417" t="s">
        <v>326</v>
      </c>
      <c r="C18" s="418">
        <v>0.16799999999999998</v>
      </c>
      <c r="D18" s="418">
        <v>0</v>
      </c>
      <c r="E18" s="418"/>
      <c r="F18" s="418">
        <v>0</v>
      </c>
      <c r="G18" s="418">
        <v>0</v>
      </c>
      <c r="H18" s="418">
        <v>0</v>
      </c>
      <c r="I18" s="419" t="s">
        <v>324</v>
      </c>
      <c r="J18" s="420" t="s">
        <v>327</v>
      </c>
    </row>
  </sheetData>
  <mergeCells count="3">
    <mergeCell ref="A1:I1"/>
    <mergeCell ref="F3:I3"/>
    <mergeCell ref="C4:D4"/>
  </mergeCells>
  <conditionalFormatting sqref="F10 F19:F65537">
    <cfRule type="cellIs" dxfId="20" priority="18" stopIfTrue="1" operator="greaterThan">
      <formula>1</formula>
    </cfRule>
  </conditionalFormatting>
  <conditionalFormatting sqref="H5:H9">
    <cfRule type="expression" dxfId="19" priority="14">
      <formula>$H5&gt;0</formula>
    </cfRule>
  </conditionalFormatting>
  <conditionalFormatting sqref="I5:I9">
    <cfRule type="expression" dxfId="18" priority="15">
      <formula>$I5&gt;1</formula>
    </cfRule>
  </conditionalFormatting>
  <conditionalFormatting sqref="B5:B9">
    <cfRule type="expression" dxfId="17" priority="11">
      <formula>OR($J5="NS",$J5="SumaNS",$J5="Účet")</formula>
    </cfRule>
  </conditionalFormatting>
  <conditionalFormatting sqref="F5:I9 B5:D9">
    <cfRule type="expression" dxfId="16" priority="17">
      <formula>AND($J5&lt;&gt;"",$J5&lt;&gt;"mezeraKL")</formula>
    </cfRule>
  </conditionalFormatting>
  <conditionalFormatting sqref="B5:D9 F5:I9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4" priority="13">
      <formula>OR($J5="SumaNS",$J5="NS")</formula>
    </cfRule>
  </conditionalFormatting>
  <conditionalFormatting sqref="A5:A9">
    <cfRule type="expression" dxfId="13" priority="9">
      <formula>AND($J5&lt;&gt;"mezeraKL",$J5&lt;&gt;"")</formula>
    </cfRule>
  </conditionalFormatting>
  <conditionalFormatting sqref="A5:A9">
    <cfRule type="expression" dxfId="12" priority="10">
      <formula>AND($J5&lt;&gt;"",$J5&lt;&gt;"mezeraKL")</formula>
    </cfRule>
  </conditionalFormatting>
  <conditionalFormatting sqref="H11:H18">
    <cfRule type="expression" dxfId="11" priority="6">
      <formula>$H11&gt;0</formula>
    </cfRule>
  </conditionalFormatting>
  <conditionalFormatting sqref="A11:A18">
    <cfRule type="expression" dxfId="10" priority="5">
      <formula>AND($J11&lt;&gt;"mezeraKL",$J11&lt;&gt;"")</formula>
    </cfRule>
  </conditionalFormatting>
  <conditionalFormatting sqref="I11:I18">
    <cfRule type="expression" dxfId="9" priority="7">
      <formula>$I11&gt;1</formula>
    </cfRule>
  </conditionalFormatting>
  <conditionalFormatting sqref="B11:B18">
    <cfRule type="expression" dxfId="8" priority="4">
      <formula>OR($J11="NS",$J11="SumaNS",$J11="Účet")</formula>
    </cfRule>
  </conditionalFormatting>
  <conditionalFormatting sqref="A11:D18 F11:I18">
    <cfRule type="expression" dxfId="7" priority="8">
      <formula>AND($J11&lt;&gt;"",$J11&lt;&gt;"mezeraKL")</formula>
    </cfRule>
  </conditionalFormatting>
  <conditionalFormatting sqref="B11:D18 F11:I18">
    <cfRule type="expression" dxfId="6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5" priority="2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2018-08-30T09:12:54Z</dcterms:modified>
</cp:coreProperties>
</file>