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8A8BE64-794E-496A-9C2F-39C2AF099D0C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Ž Statim" sheetId="427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'LŽ Statim'!$A$5:$I$5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11" i="431"/>
  <c r="E13" i="431"/>
  <c r="G9" i="431"/>
  <c r="H11" i="431"/>
  <c r="I13" i="431"/>
  <c r="K9" i="431"/>
  <c r="L11" i="431"/>
  <c r="M13" i="431"/>
  <c r="O9" i="431"/>
  <c r="P11" i="431"/>
  <c r="Q13" i="431"/>
  <c r="Q14" i="431"/>
  <c r="I10" i="431"/>
  <c r="H9" i="431"/>
  <c r="M11" i="431"/>
  <c r="C10" i="431"/>
  <c r="D12" i="431"/>
  <c r="E14" i="431"/>
  <c r="G10" i="431"/>
  <c r="H12" i="431"/>
  <c r="I14" i="431"/>
  <c r="K10" i="431"/>
  <c r="L12" i="431"/>
  <c r="M14" i="431"/>
  <c r="O10" i="431"/>
  <c r="J12" i="431"/>
  <c r="F13" i="431"/>
  <c r="Q11" i="431"/>
  <c r="C11" i="431"/>
  <c r="D13" i="431"/>
  <c r="F9" i="431"/>
  <c r="G11" i="431"/>
  <c r="H13" i="431"/>
  <c r="J9" i="431"/>
  <c r="K11" i="431"/>
  <c r="L13" i="431"/>
  <c r="N9" i="431"/>
  <c r="O11" i="431"/>
  <c r="P13" i="431"/>
  <c r="K14" i="431"/>
  <c r="E11" i="431"/>
  <c r="C12" i="431"/>
  <c r="D14" i="431"/>
  <c r="F10" i="431"/>
  <c r="G12" i="431"/>
  <c r="H14" i="431"/>
  <c r="J10" i="431"/>
  <c r="K12" i="431"/>
  <c r="L14" i="431"/>
  <c r="N10" i="431"/>
  <c r="O12" i="431"/>
  <c r="P14" i="431"/>
  <c r="C14" i="431"/>
  <c r="G14" i="431"/>
  <c r="O14" i="431"/>
  <c r="D9" i="431"/>
  <c r="L9" i="431"/>
  <c r="C13" i="431"/>
  <c r="E9" i="431"/>
  <c r="F11" i="431"/>
  <c r="G13" i="431"/>
  <c r="I9" i="431"/>
  <c r="J11" i="431"/>
  <c r="K13" i="431"/>
  <c r="M9" i="431"/>
  <c r="N11" i="431"/>
  <c r="O13" i="431"/>
  <c r="Q9" i="431"/>
  <c r="E10" i="431"/>
  <c r="F12" i="431"/>
  <c r="N12" i="431"/>
  <c r="I11" i="431"/>
  <c r="P9" i="431"/>
  <c r="D10" i="431"/>
  <c r="E12" i="431"/>
  <c r="F14" i="431"/>
  <c r="H10" i="431"/>
  <c r="I12" i="431"/>
  <c r="J14" i="431"/>
  <c r="L10" i="431"/>
  <c r="M12" i="431"/>
  <c r="N14" i="431"/>
  <c r="P10" i="431"/>
  <c r="Q12" i="431"/>
  <c r="P12" i="431"/>
  <c r="M10" i="431"/>
  <c r="Q10" i="431"/>
  <c r="J13" i="431"/>
  <c r="N13" i="431"/>
  <c r="J8" i="431"/>
  <c r="K8" i="431"/>
  <c r="D8" i="431"/>
  <c r="H8" i="431"/>
  <c r="G8" i="431"/>
  <c r="N8" i="431"/>
  <c r="C8" i="431"/>
  <c r="P8" i="431"/>
  <c r="Q8" i="431"/>
  <c r="L8" i="431"/>
  <c r="M8" i="431"/>
  <c r="I8" i="431"/>
  <c r="E8" i="431"/>
  <c r="F8" i="431"/>
  <c r="O8" i="431"/>
  <c r="S10" i="431" l="1"/>
  <c r="R10" i="431"/>
  <c r="R12" i="431"/>
  <c r="S12" i="431"/>
  <c r="S9" i="431"/>
  <c r="R9" i="431"/>
  <c r="R11" i="431"/>
  <c r="S11" i="431"/>
  <c r="S14" i="431"/>
  <c r="R14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18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16" i="383" l="1"/>
  <c r="G3" i="429"/>
  <c r="F3" i="429"/>
  <c r="E3" i="429"/>
  <c r="D3" i="429"/>
  <c r="C3" i="429"/>
  <c r="B3" i="429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4" i="414"/>
  <c r="C13" i="414"/>
  <c r="C16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D21" i="414"/>
  <c r="C21" i="414"/>
  <c r="R3" i="345" l="1"/>
  <c r="Q3" i="345"/>
  <c r="I12" i="339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<sst xmlns="http://schemas.openxmlformats.org/spreadsheetml/2006/main" count="1102" uniqueCount="412">
  <si>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</si>
  <si>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</si>
  <si>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</si>
  <si>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</si>
  <si>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</si>
  <si>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</si>
  <si>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</si>
  <si>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</si>
  <si>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</si>
  <si>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</si>
  <si>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</si>
  <si>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</si>
  <si>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</si>
  <si>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</si>
  <si>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</si>
  <si>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</si>
  <si>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</si>
  <si>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</si>
  <si>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</si>
  <si>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</si>
  <si>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</si>
  <si>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</si>
  <si>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</si>
  <si>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</si>
  <si>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</si>
  <si>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</si>
  <si>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</si>
  <si>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</si>
  <si>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</si>
  <si>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</si>
  <si>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</si>
  <si>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</si>
  <si>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</si>
  <si>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</si>
  <si>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</si>
  <si>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</si>
  <si>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</si>
  <si>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</si>
  <si>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</si>
  <si>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</si>
  <si>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</si>
  <si>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</si>
  <si>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</si>
  <si>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</si>
  <si>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</si>
  <si>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</si>
  <si>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</si>
  <si>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</si>
  <si>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</si>
  <si>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</si>
  <si>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</si>
  <si>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</si>
  <si>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</si>
  <si>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</si>
  <si>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</si>
  <si>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</si>
  <si>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</si>
  <si>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</si>
  <si>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</si>
  <si>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</si>
  <si>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</si>
  <si>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</si>
  <si>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</si>
  <si>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</si>
  <si>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</si>
  <si>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</si>
  <si>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</si>
  <si>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</si>
  <si>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</si>
  <si>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</si>
  <si>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</si>
  <si>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</si>
  <si>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</si>
  <si>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</si>
  <si>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</si>
  <si>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</si>
  <si>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</si>
  <si>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</si>
  <si>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</si>
  <si>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</si>
  <si>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</si>
  <si>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</si>
  <si>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</si>
  <si>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</si>
  <si>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</si>
  <si>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</si>
  <si>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</si>
  <si>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</si>
  <si>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</si>
  <si>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</si>
  <si>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</si>
  <si>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</si>
  <si>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</si>
  <si>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</si>
  <si>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</si>
  <si>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</si>
  <si>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</si>
  <si>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</si>
  <si>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</si>
  <si>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</si>
  <si>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</si>
  <si>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</si>
  <si>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</si>
  <si>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</si>
  <si>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</si>
  <si>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</si>
  <si>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</si>
  <si>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</si>
  <si>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</si>
  <si>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</si>
  <si>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</si>
  <si>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</si>
  <si>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</si>
  <si>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</si>
  <si>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</si>
  <si>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</si>
  <si>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</si>
  <si>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</si>
  <si>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</si>
  <si>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</si>
  <si>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</si>
  <si>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</si>
  <si>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</si>
  <si>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</si>
  <si>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</si>
  <si>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</si>
  <si>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</si>
  <si>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</si>
  <si>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</si>
  <si>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</si>
  <si>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</si>
  <si>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</si>
  <si>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</si>
  <si>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</si>
  <si>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</si>
  <si>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</si>
  <si>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</si>
  <si>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</si>
  <si>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</si>
  <si>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</si>
  <si>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</si>
  <si>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</si>
  <si>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</si>
  <si>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</si>
  <si>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</si>
  <si>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</si>
  <si>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</si>
  <si>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</si>
  <si>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</si>
  <si>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</si>
  <si>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</si>
  <si>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</si>
  <si>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</si>
  <si>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</si>
  <si>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</si>
  <si>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</si>
  <si>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</si>
  <si>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</si>
  <si>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</si>
  <si>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</si>
  <si>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</si>
  <si>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</si>
  <si>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</si>
  <si>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</si>
  <si>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</si>
  <si>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</si>
  <si>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</si>
  <si>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</si>
  <si>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</si>
  <si>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</si>
  <si>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</si>
  <si>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</si>
  <si>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</si>
  <si>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</si>
  <si>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</si>
  <si>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</si>
  <si>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</si>
  <si>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</si>
  <si>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</si>
  <si>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</si>
  <si>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</si>
  <si>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</si>
  <si>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</si>
  <si>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</si>
  <si>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</si>
  <si>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</si>
  <si>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</si>
  <si>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</si>
  <si>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</si>
  <si>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</si>
  <si>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</si>
  <si>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</si>
  <si>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</si>
  <si>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</si>
  <si>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</si>
  <si>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</si>
  <si>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</si>
  <si>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</si>
  <si>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</si>
  <si>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</si>
  <si>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</si>
  <si>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</si>
  <si>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</si>
  <si>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</si>
  <si>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</si>
  <si>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</si>
  <si>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</si>
  <si>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</si>
  <si>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</si>
  <si>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</si>
  <si>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</si>
  <si>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</si>
  <si>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</si>
  <si>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</si>
  <si>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</si>
  <si>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</si>
  <si>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</si>
  <si>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</si>
  <si>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</si>
  <si>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</si>
  <si>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</si>
  <si>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</si>
  <si>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</si>
  <si>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</si>
  <si>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50117023     všeob.mat. - kancel.tech. (V34) od 1tis do 2999,99</t>
  </si>
  <si>
    <t>--</t>
  </si>
  <si>
    <t>50117024     všeob.mat. - ostatní-vyjímky (V44) od 0,01 do 999,99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</si>
  <si>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</si>
  <si>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</si>
  <si>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</si>
  <si>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</si>
  <si>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</si>
  <si>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</si>
  <si>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</si>
  <si>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</si>
  <si>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</si>
  <si>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</si>
  <si>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</si>
  <si>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</si>
  <si>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</si>
  <si>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</si>
  <si>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</si>
  <si>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</si>
  <si>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</si>
  <si>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</si>
  <si>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</si>
  <si>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</si>
  <si>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</si>
  <si>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</si>
  <si>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</si>
  <si>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</si>
  <si>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</si>
  <si>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51808     Revize a smluvní servisy majetku</t>
  </si>
  <si>
    <t>51808007     revize, sml.servis - energetik</t>
  </si>
  <si>
    <t>51808008     revize, tech.kontroly, prev.prohl.- OSBTK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</si>
  <si>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</si>
  <si>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</si>
  <si>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</si>
  <si>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</si>
  <si>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</si>
  <si>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</si>
  <si>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</si>
  <si>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</si>
  <si>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</si>
  <si>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</si>
  <si>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</si>
  <si>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</si>
  <si>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</si>
  <si>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</si>
  <si>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</si>
  <si>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</si>
  <si>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</si>
  <si>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</si>
  <si>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</si>
  <si>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</si>
  <si>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</si>
  <si>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</si>
  <si>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</si>
  <si>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</si>
  <si>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</si>
  <si>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</si>
  <si>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</si>
  <si>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</si>
  <si>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</si>
  <si>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</si>
  <si>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</si>
  <si>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</si>
  <si>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</si>
  <si>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</si>
  <si>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</si>
  <si>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</si>
  <si>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</si>
  <si>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</si>
  <si>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</si>
  <si>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</si>
  <si>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</si>
  <si>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60229     Zdr. výkony -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</si>
  <si>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</si>
  <si>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</si>
  <si>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</si>
  <si>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</si>
  <si>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</si>
  <si>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</si>
  <si>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</si>
  <si>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</si>
  <si>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</si>
  <si>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</si>
  <si>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</si>
  <si>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</si>
  <si>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</si>
  <si>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</si>
  <si>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</si>
  <si>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</si>
  <si>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</si>
  <si>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</si>
  <si>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</si>
  <si>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</si>
  <si>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</si>
  <si>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</si>
  <si>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</si>
  <si>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</si>
  <si>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</si>
  <si>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</si>
  <si>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</si>
  <si>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</si>
  <si>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36 - LOGO: Oddělení klinické logopedie</t>
  </si>
  <si>
    <t>3621 - LOGO: ambulance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</si>
  <si>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</si>
  <si>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</si>
  <si>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</si>
  <si>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</si>
  <si>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</si>
  <si>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</si>
  <si>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</si>
  <si>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</si>
  <si>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</si>
  <si>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7 Celkem</t>
  </si>
  <si>
    <t>8 Celkem</t>
  </si>
  <si>
    <t>9 Celkem</t>
  </si>
  <si>
    <t>ON Data</t>
  </si>
  <si>
    <t>kliničtí logopedové</t>
  </si>
  <si>
    <t>odborní pracovníci v lab. metodách</t>
  </si>
  <si>
    <t>všeobecné sestry VŠ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</si>
  <si>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</si>
  <si>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</si>
  <si>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</si>
  <si>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</si>
  <si>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</si>
  <si>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</si>
  <si>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</si>
  <si>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</si>
  <si>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</si>
  <si>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</si>
  <si>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</si>
  <si>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</si>
  <si>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</si>
  <si>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</si>
  <si>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</si>
  <si>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</si>
  <si>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</si>
  <si>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</si>
  <si>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</si>
  <si>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</si>
  <si>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</si>
  <si>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</si>
  <si>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</si>
  <si>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</si>
  <si>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</si>
  <si>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</si>
  <si>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</si>
  <si>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</si>
  <si>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</si>
  <si>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</si>
  <si>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</si>
  <si>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</si>
  <si>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</si>
  <si>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</si>
  <si>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</si>
  <si>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</si>
  <si>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</si>
  <si>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</si>
  <si>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</si>
  <si>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</si>
  <si>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</si>
  <si>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10 - DK: Dětská klinika</t>
  </si>
  <si>
    <t>12 - UROL: Urologická klinika</t>
  </si>
  <si>
    <t>16 - PLIC: Klinika plicních nemocí a tuber.</t>
  </si>
  <si>
    <t>17 - NEUR: Neurologická klinika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</si>
  <si>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</si>
  <si>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</si>
  <si>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</si>
  <si>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</si>
  <si>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</si>
  <si>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</si>
  <si>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</si>
  <si>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</si>
  <si>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</si>
  <si>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05</t>
  </si>
  <si>
    <t>07</t>
  </si>
  <si>
    <t>10</t>
  </si>
  <si>
    <t>12</t>
  </si>
  <si>
    <t>16</t>
  </si>
  <si>
    <t>17</t>
  </si>
  <si>
    <t>72019</t>
  </si>
  <si>
    <t>LOGOPEDICKÁ DIAGNOSTIKA DOPLŇUJÍCÍ KOMPLEXNÍ A KON</t>
  </si>
  <si>
    <t>21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</si>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</sst>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1" xfId="0" applyNumberFormat="1" applyFont="1" applyBorder="1" applyAlignment="1">
      <alignment horizontal="right" vertical="center"/>
    </xf>
    <xf numFmtId="173" fontId="39" fillId="0" borderId="9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91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5" xfId="0" applyNumberFormat="1" applyFont="1" applyBorder="1" applyAlignment="1">
      <alignment vertical="center"/>
    </xf>
    <xf numFmtId="0" fontId="32" fillId="0" borderId="92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0" xfId="0" applyNumberFormat="1" applyFont="1" applyFill="1" applyBorder="1"/>
    <xf numFmtId="3" fontId="0" fillId="7" borderId="62" xfId="0" applyNumberFormat="1" applyFont="1" applyFill="1" applyBorder="1"/>
    <xf numFmtId="0" fontId="0" fillId="0" borderId="101" xfId="0" applyNumberFormat="1" applyFont="1" applyBorder="1"/>
    <xf numFmtId="3" fontId="0" fillId="0" borderId="102" xfId="0" applyNumberFormat="1" applyFont="1" applyBorder="1"/>
    <xf numFmtId="0" fontId="0" fillId="7" borderId="101" xfId="0" applyNumberFormat="1" applyFont="1" applyFill="1" applyBorder="1"/>
    <xf numFmtId="3" fontId="0" fillId="7" borderId="102" xfId="0" applyNumberFormat="1" applyFont="1" applyFill="1" applyBorder="1"/>
    <xf numFmtId="0" fontId="52" fillId="8" borderId="101" xfId="0" applyNumberFormat="1" applyFont="1" applyFill="1" applyBorder="1"/>
    <xf numFmtId="3" fontId="52" fillId="8" borderId="102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3" fontId="3" fillId="2" borderId="80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54" fillId="4" borderId="88" xfId="0" applyFont="1" applyFill="1" applyBorder="1" applyAlignment="1">
      <alignment horizontal="center" vertical="center" wrapText="1"/>
    </xf>
    <xf numFmtId="0" fontId="54" fillId="4" borderId="9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168" fontId="54" fillId="2" borderId="96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89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89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0" xfId="0" applyNumberFormat="1" applyFont="1" applyFill="1" applyBorder="1" applyAlignment="1">
      <alignment horizontal="center" vertical="center" wrapText="1"/>
    </xf>
    <xf numFmtId="0" fontId="39" fillId="2" borderId="97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54" fillId="9" borderId="99" xfId="0" applyFont="1" applyFill="1" applyBorder="1" applyAlignment="1">
      <alignment horizontal="center"/>
    </xf>
    <xf numFmtId="0" fontId="54" fillId="9" borderId="98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5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2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3" fontId="33" fillId="10" borderId="104" xfId="0" applyNumberFormat="1" applyFont="1" applyFill="1" applyBorder="1" applyAlignment="1">
      <alignment horizontal="right" vertical="top"/>
    </xf>
    <xf numFmtId="3" fontId="33" fillId="10" borderId="105" xfId="0" applyNumberFormat="1" applyFont="1" applyFill="1" applyBorder="1" applyAlignment="1">
      <alignment horizontal="right" vertical="top"/>
    </xf>
    <xf numFmtId="177" fontId="33" fillId="10" borderId="106" xfId="0" applyNumberFormat="1" applyFont="1" applyFill="1" applyBorder="1" applyAlignment="1">
      <alignment horizontal="right" vertical="top"/>
    </xf>
    <xf numFmtId="3" fontId="33" fillId="0" borderId="104" xfId="0" applyNumberFormat="1" applyFont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5" fillId="10" borderId="109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0" fontId="33" fillId="10" borderId="106" xfId="0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5" fillId="10" borderId="111" xfId="0" applyFont="1" applyFill="1" applyBorder="1" applyAlignment="1">
      <alignment horizontal="right" vertical="top"/>
    </xf>
    <xf numFmtId="3" fontId="35" fillId="0" borderId="113" xfId="0" applyNumberFormat="1" applyFont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177" fontId="35" fillId="10" borderId="116" xfId="0" applyNumberFormat="1" applyFont="1" applyFill="1" applyBorder="1" applyAlignment="1">
      <alignment horizontal="right" vertical="top"/>
    </xf>
    <xf numFmtId="0" fontId="37" fillId="11" borderId="103" xfId="0" applyFont="1" applyFill="1" applyBorder="1" applyAlignment="1">
      <alignment vertical="top"/>
    </xf>
    <xf numFmtId="0" fontId="37" fillId="11" borderId="103" xfId="0" applyFont="1" applyFill="1" applyBorder="1" applyAlignment="1">
      <alignment vertical="top" indent="2"/>
    </xf>
    <xf numFmtId="0" fontId="37" fillId="11" borderId="103" xfId="0" applyFont="1" applyFill="1" applyBorder="1" applyAlignment="1">
      <alignment vertical="top" indent="4"/>
    </xf>
    <xf numFmtId="0" fontId="38" fillId="11" borderId="108" xfId="0" applyFont="1" applyFill="1" applyBorder="1" applyAlignment="1">
      <alignment vertical="top" indent="6"/>
    </xf>
    <xf numFmtId="0" fontId="37" fillId="11" borderId="103" xfId="0" applyFont="1" applyFill="1" applyBorder="1" applyAlignment="1">
      <alignment vertical="top" indent="8"/>
    </xf>
    <xf numFmtId="0" fontId="38" fillId="11" borderId="108" xfId="0" applyFont="1" applyFill="1" applyBorder="1" applyAlignment="1">
      <alignment vertical="top" indent="2"/>
    </xf>
    <xf numFmtId="0" fontId="37" fillId="11" borderId="103" xfId="0" applyFont="1" applyFill="1" applyBorder="1" applyAlignment="1">
      <alignment vertical="top" indent="6"/>
    </xf>
    <xf numFmtId="0" fontId="38" fillId="11" borderId="108" xfId="0" applyFont="1" applyFill="1" applyBorder="1" applyAlignment="1">
      <alignment vertical="top" indent="4"/>
    </xf>
    <xf numFmtId="0" fontId="32" fillId="11" borderId="103" xfId="0" applyFont="1" applyFill="1" applyBorder="1"/>
    <xf numFmtId="0" fontId="38" fillId="11" borderId="19" xfId="0" applyFont="1" applyFill="1" applyBorder="1" applyAlignment="1">
      <alignment vertical="top"/>
    </xf>
    <xf numFmtId="0" fontId="3" fillId="2" borderId="93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7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118" xfId="0" applyNumberFormat="1" applyFont="1" applyFill="1" applyBorder="1"/>
    <xf numFmtId="9" fontId="32" fillId="0" borderId="79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9" xfId="0" applyNumberFormat="1" applyFont="1" applyFill="1" applyBorder="1"/>
    <xf numFmtId="9" fontId="32" fillId="0" borderId="9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5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  <tableStyle name="TableStyleMedium2 2" pivot="0" count="7" xr9:uid="{00000000-0011-0000-FFFF-FFFF01000000}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0.33422436232062541</c:v>
                </c:pt>
                <c:pt idx="1">
                  <c:v>0.30878459879062631</c:v>
                </c:pt>
                <c:pt idx="2">
                  <c:v>0.32535825522991918</c:v>
                </c:pt>
                <c:pt idx="3">
                  <c:v>0.34590443239028351</c:v>
                </c:pt>
                <c:pt idx="4">
                  <c:v>0.36610152977148963</c:v>
                </c:pt>
                <c:pt idx="5">
                  <c:v>0.36988305416134387</c:v>
                </c:pt>
                <c:pt idx="6">
                  <c:v>0.35138587274834804</c:v>
                </c:pt>
                <c:pt idx="7">
                  <c:v>0.34433594277022894</c:v>
                </c:pt>
                <c:pt idx="8">
                  <c:v>0.34576569566264792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0.25003744724718885</c:v>
                </c:pt>
                <c:pt idx="1">
                  <c:v>0.25003744724718885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41" tableBorderDxfId="40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39"/>
    <tableColumn id="2" xr3:uid="{00000000-0010-0000-0000-000002000000}" name="popis" dataDxfId="38"/>
    <tableColumn id="3" xr3:uid="{00000000-0010-0000-0000-000003000000}" name="01 uv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9" totalsRowShown="0">
  <autoFilter ref="C3:S5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5" t="s">
        <v>82</v>
      </c>
      <c r="B1" s="275"/>
    </row>
    <row r="2" spans="1:3" ht="14.45" customHeight="1" thickBot="1" x14ac:dyDescent="0.25">
      <c r="A2" s="190" t="s">
        <v>213</v>
      </c>
      <c r="B2" s="41"/>
    </row>
    <row r="3" spans="1:3" ht="14.45" customHeight="1" thickBot="1" x14ac:dyDescent="0.25">
      <c r="A3" s="271" t="s">
        <v>99</v>
      </c>
      <c r="B3" s="272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215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3" t="s">
        <v>83</v>
      </c>
      <c r="B10" s="272"/>
    </row>
    <row r="11" spans="1:3" ht="14.45" customHeight="1" x14ac:dyDescent="0.2">
      <c r="A11" s="115" t="str">
        <f t="shared" ref="A11:A12" si="1">HYPERLINK("#'"&amp;C11&amp;"'!A1",C11)</f>
        <v>LŽ Statim</v>
      </c>
      <c r="B11" s="204" t="s">
        <v>140</v>
      </c>
      <c r="C11" s="42" t="s">
        <v>150</v>
      </c>
    </row>
    <row r="12" spans="1:3" ht="14.45" customHeight="1" thickBot="1" x14ac:dyDescent="0.25">
      <c r="A12" s="117" t="str">
        <f t="shared" si="1"/>
        <v>Osobní náklady</v>
      </c>
      <c r="B12" s="65" t="s">
        <v>80</v>
      </c>
      <c r="C12" s="42" t="s">
        <v>88</v>
      </c>
    </row>
    <row r="13" spans="1:3" ht="14.45" customHeight="1" thickBot="1" x14ac:dyDescent="0.25">
      <c r="A13" s="68"/>
      <c r="B13" s="68"/>
    </row>
    <row r="14" spans="1:3" ht="14.45" customHeight="1" thickBot="1" x14ac:dyDescent="0.25">
      <c r="A14" s="274" t="s">
        <v>84</v>
      </c>
      <c r="B14" s="272"/>
    </row>
    <row r="15" spans="1:3" ht="14.45" customHeight="1" x14ac:dyDescent="0.2">
      <c r="A15" s="118" t="str">
        <f t="shared" ref="A15:A20" si="2">HYPERLINK("#'"&amp;C15&amp;"'!A1",C15)</f>
        <v>ZV Vykáz.-A</v>
      </c>
      <c r="B15" s="64" t="s">
        <v>346</v>
      </c>
      <c r="C15" s="42" t="s">
        <v>91</v>
      </c>
    </row>
    <row r="16" spans="1:3" ht="14.45" customHeight="1" x14ac:dyDescent="0.2">
      <c r="A16" s="115" t="str">
        <f t="shared" ref="A16" si="3">HYPERLINK("#'"&amp;C16&amp;"'!A1",C16)</f>
        <v>ZV Vykáz.-A Lékaři</v>
      </c>
      <c r="B16" s="65" t="s">
        <v>358</v>
      </c>
      <c r="C16" s="42" t="s">
        <v>153</v>
      </c>
    </row>
    <row r="17" spans="1:3" ht="14.45" customHeight="1" x14ac:dyDescent="0.2">
      <c r="A17" s="115" t="str">
        <f t="shared" si="2"/>
        <v>ZV Vykáz.-A Detail</v>
      </c>
      <c r="B17" s="65" t="s">
        <v>376</v>
      </c>
      <c r="C17" s="42" t="s">
        <v>92</v>
      </c>
    </row>
    <row r="18" spans="1:3" ht="14.45" customHeight="1" x14ac:dyDescent="0.25">
      <c r="A18" s="217" t="str">
        <f>HYPERLINK("#'"&amp;C18&amp;"'!A1",C18)</f>
        <v>ZV Vykáz.-A Det.Lék.</v>
      </c>
      <c r="B18" s="65" t="s">
        <v>377</v>
      </c>
      <c r="C18" s="42" t="s">
        <v>157</v>
      </c>
    </row>
    <row r="19" spans="1:3" ht="14.45" customHeight="1" x14ac:dyDescent="0.2">
      <c r="A19" s="115" t="str">
        <f t="shared" si="2"/>
        <v>ZV Vykáz.-H</v>
      </c>
      <c r="B19" s="65" t="s">
        <v>95</v>
      </c>
      <c r="C19" s="42" t="s">
        <v>93</v>
      </c>
    </row>
    <row r="20" spans="1:3" ht="14.45" customHeight="1" x14ac:dyDescent="0.2">
      <c r="A20" s="115" t="str">
        <f t="shared" si="2"/>
        <v>ZV Vykáz.-H Detail</v>
      </c>
      <c r="B20" s="65" t="s">
        <v>411</v>
      </c>
      <c r="C20" s="42" t="s">
        <v>94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 xr:uid="{0817B36D-24AC-4F6C-8048-337CF1F0F19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6" hidden="1" customWidth="1" outlineLevel="1"/>
    <col min="10" max="10" width="7.7109375" style="176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6" hidden="1" customWidth="1" outlineLevel="1"/>
    <col min="19" max="19" width="7.7109375" style="176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6" hidden="1" customWidth="1" outlineLevel="1"/>
    <col min="28" max="28" width="7.7109375" style="176" customWidth="1" collapsed="1"/>
    <col min="29" max="16384" width="8.85546875" style="101"/>
  </cols>
  <sheetData>
    <row r="1" spans="1:28" ht="18.600000000000001" customHeight="1" thickBot="1" x14ac:dyDescent="0.35">
      <c r="A1" s="349" t="s">
        <v>346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  <c r="H2" s="83"/>
      <c r="I2" s="185"/>
      <c r="J2" s="185"/>
      <c r="K2" s="83"/>
      <c r="L2" s="83"/>
      <c r="M2" s="83"/>
      <c r="N2" s="83"/>
      <c r="O2" s="83"/>
      <c r="P2" s="83"/>
      <c r="Q2" s="83"/>
      <c r="R2" s="185"/>
      <c r="S2" s="185"/>
      <c r="T2" s="83"/>
      <c r="U2" s="83"/>
      <c r="V2" s="83"/>
      <c r="W2" s="83"/>
      <c r="X2" s="83"/>
      <c r="Y2" s="83"/>
      <c r="Z2" s="83"/>
      <c r="AA2" s="185"/>
      <c r="AB2" s="185"/>
    </row>
    <row r="3" spans="1:28" ht="14.45" customHeight="1" thickBot="1" x14ac:dyDescent="0.25">
      <c r="A3" s="178" t="s">
        <v>96</v>
      </c>
      <c r="B3" s="179">
        <f>SUBTOTAL(9,B6:B1048576)/4</f>
        <v>598699.66</v>
      </c>
      <c r="C3" s="180">
        <f t="shared" ref="C3:Z3" si="0">SUBTOTAL(9,C6:C1048576)</f>
        <v>4</v>
      </c>
      <c r="D3" s="180"/>
      <c r="E3" s="180">
        <f>SUBTOTAL(9,E6:E1048576)/4</f>
        <v>774775.66999999993</v>
      </c>
      <c r="F3" s="180"/>
      <c r="G3" s="180">
        <f t="shared" si="0"/>
        <v>4</v>
      </c>
      <c r="H3" s="180">
        <f>SUBTOTAL(9,H6:H1048576)/4</f>
        <v>1168124.3099999998</v>
      </c>
      <c r="I3" s="183">
        <f>IF(B3&lt;&gt;0,H3/B3,"")</f>
        <v>1.9511023440367408</v>
      </c>
      <c r="J3" s="181">
        <f>IF(E3&lt;&gt;0,H3/E3,"")</f>
        <v>1.5076935882614899</v>
      </c>
      <c r="K3" s="182">
        <f t="shared" si="0"/>
        <v>0</v>
      </c>
      <c r="L3" s="182"/>
      <c r="M3" s="180">
        <f t="shared" si="0"/>
        <v>0</v>
      </c>
      <c r="N3" s="180">
        <f t="shared" si="0"/>
        <v>0</v>
      </c>
      <c r="O3" s="180"/>
      <c r="P3" s="180">
        <f t="shared" si="0"/>
        <v>0</v>
      </c>
      <c r="Q3" s="180">
        <f t="shared" si="0"/>
        <v>0</v>
      </c>
      <c r="R3" s="183" t="str">
        <f>IF(K3&lt;&gt;0,Q3/K3,"")</f>
        <v/>
      </c>
      <c r="S3" s="183" t="str">
        <f>IF(N3&lt;&gt;0,Q3/N3,"")</f>
        <v/>
      </c>
      <c r="T3" s="179">
        <f t="shared" si="0"/>
        <v>0</v>
      </c>
      <c r="U3" s="182"/>
      <c r="V3" s="180">
        <f t="shared" si="0"/>
        <v>0</v>
      </c>
      <c r="W3" s="180">
        <f t="shared" si="0"/>
        <v>0</v>
      </c>
      <c r="X3" s="180"/>
      <c r="Y3" s="180">
        <f t="shared" si="0"/>
        <v>0</v>
      </c>
      <c r="Z3" s="180">
        <f t="shared" si="0"/>
        <v>0</v>
      </c>
      <c r="AA3" s="183" t="str">
        <f>IF(T3&lt;&gt;0,Z3/T3,"")</f>
        <v/>
      </c>
      <c r="AB3" s="181" t="str">
        <f>IF(W3&lt;&gt;0,Z3/W3,"")</f>
        <v/>
      </c>
    </row>
    <row r="4" spans="1:28" ht="14.45" customHeight="1" x14ac:dyDescent="0.2">
      <c r="A4" s="350" t="s">
        <v>154</v>
      </c>
      <c r="B4" s="351" t="s">
        <v>73</v>
      </c>
      <c r="C4" s="352"/>
      <c r="D4" s="353"/>
      <c r="E4" s="352"/>
      <c r="F4" s="353"/>
      <c r="G4" s="352"/>
      <c r="H4" s="352"/>
      <c r="I4" s="353"/>
      <c r="J4" s="354"/>
      <c r="K4" s="351" t="s">
        <v>74</v>
      </c>
      <c r="L4" s="353"/>
      <c r="M4" s="352"/>
      <c r="N4" s="352"/>
      <c r="O4" s="353"/>
      <c r="P4" s="352"/>
      <c r="Q4" s="352"/>
      <c r="R4" s="353"/>
      <c r="S4" s="354"/>
      <c r="T4" s="351" t="s">
        <v>75</v>
      </c>
      <c r="U4" s="353"/>
      <c r="V4" s="352"/>
      <c r="W4" s="352"/>
      <c r="X4" s="353"/>
      <c r="Y4" s="352"/>
      <c r="Z4" s="352"/>
      <c r="AA4" s="353"/>
      <c r="AB4" s="354"/>
    </row>
    <row r="5" spans="1:28" ht="14.45" customHeight="1" thickBot="1" x14ac:dyDescent="0.25">
      <c r="A5" s="421"/>
      <c r="B5" s="422">
        <v>2015</v>
      </c>
      <c r="C5" s="423"/>
      <c r="D5" s="423"/>
      <c r="E5" s="423">
        <v>2018</v>
      </c>
      <c r="F5" s="423"/>
      <c r="G5" s="423"/>
      <c r="H5" s="423">
        <v>2019</v>
      </c>
      <c r="I5" s="424" t="s">
        <v>155</v>
      </c>
      <c r="J5" s="425" t="s">
        <v>1</v>
      </c>
      <c r="K5" s="422">
        <v>2015</v>
      </c>
      <c r="L5" s="423"/>
      <c r="M5" s="423"/>
      <c r="N5" s="423">
        <v>2018</v>
      </c>
      <c r="O5" s="423"/>
      <c r="P5" s="423"/>
      <c r="Q5" s="423">
        <v>2019</v>
      </c>
      <c r="R5" s="424" t="s">
        <v>155</v>
      </c>
      <c r="S5" s="425" t="s">
        <v>1</v>
      </c>
      <c r="T5" s="422">
        <v>2015</v>
      </c>
      <c r="U5" s="423"/>
      <c r="V5" s="423"/>
      <c r="W5" s="423">
        <v>2018</v>
      </c>
      <c r="X5" s="423"/>
      <c r="Y5" s="423"/>
      <c r="Z5" s="423">
        <v>2019</v>
      </c>
      <c r="AA5" s="424" t="s">
        <v>155</v>
      </c>
      <c r="AB5" s="425" t="s">
        <v>1</v>
      </c>
    </row>
    <row r="6" spans="1:28" ht="14.45" customHeight="1" x14ac:dyDescent="0.25">
      <c r="A6" s="426" t="s">
        <v>344</v>
      </c>
      <c r="B6" s="427">
        <v>598699.66</v>
      </c>
      <c r="C6" s="428">
        <v>1</v>
      </c>
      <c r="D6" s="428">
        <v>0.77273936596382808</v>
      </c>
      <c r="E6" s="427">
        <v>774775.66999999993</v>
      </c>
      <c r="F6" s="428">
        <v>1.294097394342933</v>
      </c>
      <c r="G6" s="428">
        <v>1</v>
      </c>
      <c r="H6" s="427">
        <v>1168124.3099999996</v>
      </c>
      <c r="I6" s="428">
        <v>1.9511023440367405</v>
      </c>
      <c r="J6" s="428">
        <v>1.5076935882614895</v>
      </c>
      <c r="K6" s="427"/>
      <c r="L6" s="428"/>
      <c r="M6" s="428"/>
      <c r="N6" s="427"/>
      <c r="O6" s="428"/>
      <c r="P6" s="428"/>
      <c r="Q6" s="427"/>
      <c r="R6" s="428"/>
      <c r="S6" s="428"/>
      <c r="T6" s="427"/>
      <c r="U6" s="428"/>
      <c r="V6" s="428"/>
      <c r="W6" s="427"/>
      <c r="X6" s="428"/>
      <c r="Y6" s="428"/>
      <c r="Z6" s="427"/>
      <c r="AA6" s="428"/>
      <c r="AB6" s="429"/>
    </row>
    <row r="7" spans="1:28" ht="14.45" customHeight="1" thickBot="1" x14ac:dyDescent="0.3">
      <c r="A7" s="433" t="s">
        <v>345</v>
      </c>
      <c r="B7" s="430">
        <v>598699.66</v>
      </c>
      <c r="C7" s="431">
        <v>1</v>
      </c>
      <c r="D7" s="431">
        <v>0.77273936596382808</v>
      </c>
      <c r="E7" s="430">
        <v>774775.66999999993</v>
      </c>
      <c r="F7" s="431">
        <v>1.294097394342933</v>
      </c>
      <c r="G7" s="431">
        <v>1</v>
      </c>
      <c r="H7" s="430">
        <v>1168124.3099999996</v>
      </c>
      <c r="I7" s="431">
        <v>1.9511023440367405</v>
      </c>
      <c r="J7" s="431">
        <v>1.5076935882614895</v>
      </c>
      <c r="K7" s="430"/>
      <c r="L7" s="431"/>
      <c r="M7" s="431"/>
      <c r="N7" s="430"/>
      <c r="O7" s="431"/>
      <c r="P7" s="431"/>
      <c r="Q7" s="430"/>
      <c r="R7" s="431"/>
      <c r="S7" s="431"/>
      <c r="T7" s="430"/>
      <c r="U7" s="431"/>
      <c r="V7" s="431"/>
      <c r="W7" s="430"/>
      <c r="X7" s="431"/>
      <c r="Y7" s="431"/>
      <c r="Z7" s="430"/>
      <c r="AA7" s="431"/>
      <c r="AB7" s="432"/>
    </row>
    <row r="8" spans="1:28" ht="14.45" customHeight="1" thickBot="1" x14ac:dyDescent="0.25"/>
    <row r="9" spans="1:28" ht="14.45" customHeight="1" x14ac:dyDescent="0.25">
      <c r="A9" s="426" t="s">
        <v>347</v>
      </c>
      <c r="B9" s="427">
        <v>598699.66</v>
      </c>
      <c r="C9" s="428">
        <v>1</v>
      </c>
      <c r="D9" s="428">
        <v>0.77273936596382797</v>
      </c>
      <c r="E9" s="427">
        <v>774775.67</v>
      </c>
      <c r="F9" s="428">
        <v>1.2940973943429332</v>
      </c>
      <c r="G9" s="428">
        <v>1</v>
      </c>
      <c r="H9" s="427">
        <v>1168124.31</v>
      </c>
      <c r="I9" s="428">
        <v>1.9511023440367412</v>
      </c>
      <c r="J9" s="429">
        <v>1.5076935882614899</v>
      </c>
    </row>
    <row r="10" spans="1:28" ht="14.45" customHeight="1" x14ac:dyDescent="0.25">
      <c r="A10" s="437" t="s">
        <v>348</v>
      </c>
      <c r="B10" s="434">
        <v>598699.66</v>
      </c>
      <c r="C10" s="435">
        <v>1</v>
      </c>
      <c r="D10" s="435">
        <v>0.77273936596382797</v>
      </c>
      <c r="E10" s="434">
        <v>774775.67</v>
      </c>
      <c r="F10" s="435">
        <v>1.2940973943429332</v>
      </c>
      <c r="G10" s="435">
        <v>1</v>
      </c>
      <c r="H10" s="434">
        <v>460708.32000000007</v>
      </c>
      <c r="I10" s="435">
        <v>0.76951491838161401</v>
      </c>
      <c r="J10" s="436">
        <v>0.59463447012991522</v>
      </c>
    </row>
    <row r="11" spans="1:28" ht="14.45" customHeight="1" thickBot="1" x14ac:dyDescent="0.3">
      <c r="A11" s="433" t="s">
        <v>349</v>
      </c>
      <c r="B11" s="430"/>
      <c r="C11" s="431"/>
      <c r="D11" s="431"/>
      <c r="E11" s="430"/>
      <c r="F11" s="431"/>
      <c r="G11" s="431"/>
      <c r="H11" s="430">
        <v>707415.99</v>
      </c>
      <c r="I11" s="431"/>
      <c r="J11" s="432"/>
    </row>
    <row r="12" spans="1:28" ht="14.45" customHeight="1" x14ac:dyDescent="0.2">
      <c r="A12" s="438" t="s">
        <v>190</v>
      </c>
    </row>
    <row r="13" spans="1:28" ht="14.45" customHeight="1" x14ac:dyDescent="0.2">
      <c r="A13" s="439" t="s">
        <v>350</v>
      </c>
    </row>
    <row r="14" spans="1:28" ht="14.45" customHeight="1" x14ac:dyDescent="0.2">
      <c r="A14" s="438" t="s">
        <v>351</v>
      </c>
    </row>
    <row r="15" spans="1:28" ht="14.45" customHeight="1" x14ac:dyDescent="0.2">
      <c r="A15" s="438" t="s">
        <v>352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E483EA3-0646-49FD-9D63-13F5A92C26E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5" hidden="1" customWidth="1" outlineLevel="1"/>
    <col min="3" max="3" width="7.7109375" style="175" customWidth="1" collapsed="1"/>
    <col min="4" max="4" width="7.7109375" style="175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9" t="s">
        <v>358</v>
      </c>
      <c r="B1" s="275"/>
      <c r="C1" s="275"/>
      <c r="D1" s="275"/>
      <c r="E1" s="275"/>
      <c r="F1" s="275"/>
      <c r="G1" s="275"/>
    </row>
    <row r="2" spans="1:7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1" t="s">
        <v>96</v>
      </c>
      <c r="B3" s="209">
        <f t="shared" ref="B3:G3" si="0">SUBTOTAL(9,B6:B1048576)</f>
        <v>1306</v>
      </c>
      <c r="C3" s="210">
        <f t="shared" si="0"/>
        <v>1646</v>
      </c>
      <c r="D3" s="220">
        <f t="shared" si="0"/>
        <v>2381</v>
      </c>
      <c r="E3" s="182">
        <f t="shared" si="0"/>
        <v>598699.66</v>
      </c>
      <c r="F3" s="180">
        <f t="shared" si="0"/>
        <v>774775.67</v>
      </c>
      <c r="G3" s="211">
        <f t="shared" si="0"/>
        <v>1168124.31</v>
      </c>
    </row>
    <row r="4" spans="1:7" ht="14.45" customHeight="1" x14ac:dyDescent="0.2">
      <c r="A4" s="350" t="s">
        <v>97</v>
      </c>
      <c r="B4" s="355" t="s">
        <v>152</v>
      </c>
      <c r="C4" s="353"/>
      <c r="D4" s="356"/>
      <c r="E4" s="355" t="s">
        <v>73</v>
      </c>
      <c r="F4" s="353"/>
      <c r="G4" s="356"/>
    </row>
    <row r="5" spans="1:7" ht="14.45" customHeight="1" thickBot="1" x14ac:dyDescent="0.25">
      <c r="A5" s="421"/>
      <c r="B5" s="422">
        <v>2015</v>
      </c>
      <c r="C5" s="423">
        <v>2018</v>
      </c>
      <c r="D5" s="440">
        <v>2019</v>
      </c>
      <c r="E5" s="422">
        <v>2015</v>
      </c>
      <c r="F5" s="423">
        <v>2018</v>
      </c>
      <c r="G5" s="440">
        <v>2019</v>
      </c>
    </row>
    <row r="6" spans="1:7" ht="14.45" customHeight="1" x14ac:dyDescent="0.2">
      <c r="A6" s="404" t="s">
        <v>348</v>
      </c>
      <c r="B6" s="405">
        <v>1306</v>
      </c>
      <c r="C6" s="405">
        <v>1646</v>
      </c>
      <c r="D6" s="405">
        <v>967</v>
      </c>
      <c r="E6" s="442">
        <v>598699.66</v>
      </c>
      <c r="F6" s="442">
        <v>774775.67</v>
      </c>
      <c r="G6" s="443">
        <v>460708.32000000007</v>
      </c>
    </row>
    <row r="7" spans="1:7" ht="14.45" customHeight="1" x14ac:dyDescent="0.2">
      <c r="A7" s="451" t="s">
        <v>353</v>
      </c>
      <c r="B7" s="445"/>
      <c r="C7" s="445"/>
      <c r="D7" s="445">
        <v>181</v>
      </c>
      <c r="E7" s="446"/>
      <c r="F7" s="446"/>
      <c r="G7" s="447">
        <v>98405.67</v>
      </c>
    </row>
    <row r="8" spans="1:7" ht="14.45" customHeight="1" x14ac:dyDescent="0.2">
      <c r="A8" s="451" t="s">
        <v>354</v>
      </c>
      <c r="B8" s="445"/>
      <c r="C8" s="445"/>
      <c r="D8" s="445">
        <v>157</v>
      </c>
      <c r="E8" s="446"/>
      <c r="F8" s="446"/>
      <c r="G8" s="447">
        <v>84946</v>
      </c>
    </row>
    <row r="9" spans="1:7" ht="14.45" customHeight="1" x14ac:dyDescent="0.2">
      <c r="A9" s="451" t="s">
        <v>355</v>
      </c>
      <c r="B9" s="445"/>
      <c r="C9" s="445"/>
      <c r="D9" s="445">
        <v>365</v>
      </c>
      <c r="E9" s="446"/>
      <c r="F9" s="446"/>
      <c r="G9" s="447">
        <v>201258.66</v>
      </c>
    </row>
    <row r="10" spans="1:7" ht="14.45" customHeight="1" x14ac:dyDescent="0.2">
      <c r="A10" s="451" t="s">
        <v>356</v>
      </c>
      <c r="B10" s="445"/>
      <c r="C10" s="445"/>
      <c r="D10" s="445">
        <v>152</v>
      </c>
      <c r="E10" s="446"/>
      <c r="F10" s="446"/>
      <c r="G10" s="447">
        <v>82245</v>
      </c>
    </row>
    <row r="11" spans="1:7" ht="14.45" customHeight="1" thickBot="1" x14ac:dyDescent="0.25">
      <c r="A11" s="452" t="s">
        <v>357</v>
      </c>
      <c r="B11" s="408"/>
      <c r="C11" s="408"/>
      <c r="D11" s="408">
        <v>559</v>
      </c>
      <c r="E11" s="449"/>
      <c r="F11" s="449"/>
      <c r="G11" s="450">
        <v>240560.66</v>
      </c>
    </row>
    <row r="12" spans="1:7" ht="14.45" customHeight="1" x14ac:dyDescent="0.2">
      <c r="A12" s="438" t="s">
        <v>190</v>
      </c>
    </row>
    <row r="13" spans="1:7" ht="14.45" customHeight="1" x14ac:dyDescent="0.2">
      <c r="A13" s="439" t="s">
        <v>350</v>
      </c>
    </row>
    <row r="14" spans="1:7" ht="14.45" customHeight="1" x14ac:dyDescent="0.2">
      <c r="A14" s="438" t="s">
        <v>351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44705A5-BABB-42AF-93BB-6C6B8D2D630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5" hidden="1" customWidth="1" outlineLevel="1"/>
    <col min="9" max="10" width="9.28515625" style="101" hidden="1" customWidth="1"/>
    <col min="11" max="12" width="11.140625" style="175" customWidth="1"/>
    <col min="13" max="14" width="9.28515625" style="101" hidden="1" customWidth="1"/>
    <col min="15" max="16" width="11.140625" style="175" customWidth="1"/>
    <col min="17" max="17" width="11.140625" style="176" customWidth="1"/>
    <col min="18" max="18" width="11.140625" style="175" customWidth="1"/>
    <col min="19" max="16384" width="8.85546875" style="101"/>
  </cols>
  <sheetData>
    <row r="1" spans="1:18" ht="18.600000000000001" customHeight="1" thickBot="1" x14ac:dyDescent="0.35">
      <c r="A1" s="275" t="s">
        <v>376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ht="14.45" customHeight="1" thickBot="1" x14ac:dyDescent="0.25">
      <c r="A2" s="190" t="s">
        <v>213</v>
      </c>
      <c r="B2" s="166"/>
      <c r="C2" s="166"/>
      <c r="D2" s="83"/>
      <c r="E2" s="83"/>
      <c r="F2" s="83"/>
      <c r="G2" s="188"/>
      <c r="H2" s="188"/>
      <c r="I2" s="83"/>
      <c r="J2" s="83"/>
      <c r="K2" s="188"/>
      <c r="L2" s="188"/>
      <c r="M2" s="83"/>
      <c r="N2" s="83"/>
      <c r="O2" s="188"/>
      <c r="P2" s="188"/>
      <c r="Q2" s="185"/>
      <c r="R2" s="188"/>
    </row>
    <row r="3" spans="1:18" ht="14.45" customHeight="1" thickBot="1" x14ac:dyDescent="0.25">
      <c r="F3" s="62" t="s">
        <v>96</v>
      </c>
      <c r="G3" s="74">
        <f t="shared" ref="G3:P3" si="0">SUBTOTAL(9,G6:G1048576)</f>
        <v>1306</v>
      </c>
      <c r="H3" s="75">
        <f t="shared" si="0"/>
        <v>598699.65999999992</v>
      </c>
      <c r="I3" s="57"/>
      <c r="J3" s="57"/>
      <c r="K3" s="75">
        <f t="shared" si="0"/>
        <v>1646</v>
      </c>
      <c r="L3" s="75">
        <f t="shared" si="0"/>
        <v>774775.67</v>
      </c>
      <c r="M3" s="57"/>
      <c r="N3" s="57"/>
      <c r="O3" s="75">
        <f t="shared" si="0"/>
        <v>2381</v>
      </c>
      <c r="P3" s="75">
        <f t="shared" si="0"/>
        <v>1168124.31</v>
      </c>
      <c r="Q3" s="58">
        <f>IF(L3=0,0,P3/L3)</f>
        <v>1.5076935882614899</v>
      </c>
      <c r="R3" s="76">
        <f>IF(O3=0,0,P3/O3)</f>
        <v>490.60239815203698</v>
      </c>
    </row>
    <row r="4" spans="1:18" ht="14.45" customHeight="1" x14ac:dyDescent="0.2">
      <c r="A4" s="357" t="s">
        <v>156</v>
      </c>
      <c r="B4" s="357" t="s">
        <v>69</v>
      </c>
      <c r="C4" s="365" t="s">
        <v>0</v>
      </c>
      <c r="D4" s="359" t="s">
        <v>70</v>
      </c>
      <c r="E4" s="364" t="s">
        <v>45</v>
      </c>
      <c r="F4" s="360" t="s">
        <v>44</v>
      </c>
      <c r="G4" s="361">
        <v>2015</v>
      </c>
      <c r="H4" s="362"/>
      <c r="I4" s="73"/>
      <c r="J4" s="73"/>
      <c r="K4" s="361">
        <v>2018</v>
      </c>
      <c r="L4" s="362"/>
      <c r="M4" s="73"/>
      <c r="N4" s="73"/>
      <c r="O4" s="361">
        <v>2019</v>
      </c>
      <c r="P4" s="362"/>
      <c r="Q4" s="363" t="s">
        <v>1</v>
      </c>
      <c r="R4" s="358" t="s">
        <v>72</v>
      </c>
    </row>
    <row r="5" spans="1:18" ht="14.45" customHeight="1" thickBot="1" x14ac:dyDescent="0.25">
      <c r="A5" s="453"/>
      <c r="B5" s="453"/>
      <c r="C5" s="454"/>
      <c r="D5" s="455"/>
      <c r="E5" s="456"/>
      <c r="F5" s="457"/>
      <c r="G5" s="458" t="s">
        <v>46</v>
      </c>
      <c r="H5" s="459" t="s">
        <v>3</v>
      </c>
      <c r="I5" s="460"/>
      <c r="J5" s="460"/>
      <c r="K5" s="458" t="s">
        <v>46</v>
      </c>
      <c r="L5" s="459" t="s">
        <v>3</v>
      </c>
      <c r="M5" s="460"/>
      <c r="N5" s="460"/>
      <c r="O5" s="458" t="s">
        <v>46</v>
      </c>
      <c r="P5" s="459" t="s">
        <v>3</v>
      </c>
      <c r="Q5" s="461"/>
      <c r="R5" s="462"/>
    </row>
    <row r="6" spans="1:18" ht="14.45" customHeight="1" x14ac:dyDescent="0.2">
      <c r="A6" s="441" t="s">
        <v>359</v>
      </c>
      <c r="B6" s="463" t="s">
        <v>360</v>
      </c>
      <c r="C6" s="463" t="s">
        <v>347</v>
      </c>
      <c r="D6" s="463" t="s">
        <v>361</v>
      </c>
      <c r="E6" s="463" t="s">
        <v>362</v>
      </c>
      <c r="F6" s="463" t="s">
        <v>363</v>
      </c>
      <c r="G6" s="405">
        <v>7</v>
      </c>
      <c r="H6" s="405">
        <v>987</v>
      </c>
      <c r="I6" s="463">
        <v>2.316901408450704</v>
      </c>
      <c r="J6" s="463">
        <v>141</v>
      </c>
      <c r="K6" s="405">
        <v>3</v>
      </c>
      <c r="L6" s="405">
        <v>426</v>
      </c>
      <c r="M6" s="463">
        <v>1</v>
      </c>
      <c r="N6" s="463">
        <v>142</v>
      </c>
      <c r="O6" s="405">
        <v>2</v>
      </c>
      <c r="P6" s="405">
        <v>286</v>
      </c>
      <c r="Q6" s="406">
        <v>0.67136150234741787</v>
      </c>
      <c r="R6" s="417">
        <v>143</v>
      </c>
    </row>
    <row r="7" spans="1:18" ht="14.45" customHeight="1" x14ac:dyDescent="0.2">
      <c r="A7" s="444" t="s">
        <v>359</v>
      </c>
      <c r="B7" s="464" t="s">
        <v>360</v>
      </c>
      <c r="C7" s="464" t="s">
        <v>347</v>
      </c>
      <c r="D7" s="464" t="s">
        <v>361</v>
      </c>
      <c r="E7" s="464" t="s">
        <v>364</v>
      </c>
      <c r="F7" s="464" t="s">
        <v>365</v>
      </c>
      <c r="G7" s="445">
        <v>186</v>
      </c>
      <c r="H7" s="445">
        <v>51894</v>
      </c>
      <c r="I7" s="464">
        <v>0.93038349140326659</v>
      </c>
      <c r="J7" s="464">
        <v>279</v>
      </c>
      <c r="K7" s="445">
        <v>193</v>
      </c>
      <c r="L7" s="445">
        <v>55777</v>
      </c>
      <c r="M7" s="464">
        <v>1</v>
      </c>
      <c r="N7" s="464">
        <v>289</v>
      </c>
      <c r="O7" s="445">
        <v>238</v>
      </c>
      <c r="P7" s="445">
        <v>69496</v>
      </c>
      <c r="Q7" s="465">
        <v>1.2459615970740627</v>
      </c>
      <c r="R7" s="466">
        <v>292</v>
      </c>
    </row>
    <row r="8" spans="1:18" ht="14.45" customHeight="1" x14ac:dyDescent="0.2">
      <c r="A8" s="444" t="s">
        <v>359</v>
      </c>
      <c r="B8" s="464" t="s">
        <v>360</v>
      </c>
      <c r="C8" s="464" t="s">
        <v>347</v>
      </c>
      <c r="D8" s="464" t="s">
        <v>361</v>
      </c>
      <c r="E8" s="464" t="s">
        <v>366</v>
      </c>
      <c r="F8" s="464" t="s">
        <v>367</v>
      </c>
      <c r="G8" s="445">
        <v>672</v>
      </c>
      <c r="H8" s="445">
        <v>372288</v>
      </c>
      <c r="I8" s="464">
        <v>0.71742159271571038</v>
      </c>
      <c r="J8" s="464">
        <v>554</v>
      </c>
      <c r="K8" s="445">
        <v>935</v>
      </c>
      <c r="L8" s="445">
        <v>518925</v>
      </c>
      <c r="M8" s="464">
        <v>1</v>
      </c>
      <c r="N8" s="464">
        <v>555</v>
      </c>
      <c r="O8" s="445">
        <v>1620</v>
      </c>
      <c r="P8" s="445">
        <v>903960</v>
      </c>
      <c r="Q8" s="465">
        <v>1.7419858361034832</v>
      </c>
      <c r="R8" s="466">
        <v>558</v>
      </c>
    </row>
    <row r="9" spans="1:18" ht="14.45" customHeight="1" x14ac:dyDescent="0.2">
      <c r="A9" s="444" t="s">
        <v>359</v>
      </c>
      <c r="B9" s="464" t="s">
        <v>360</v>
      </c>
      <c r="C9" s="464" t="s">
        <v>347</v>
      </c>
      <c r="D9" s="464" t="s">
        <v>361</v>
      </c>
      <c r="E9" s="464" t="s">
        <v>368</v>
      </c>
      <c r="F9" s="464" t="s">
        <v>369</v>
      </c>
      <c r="G9" s="445">
        <v>35</v>
      </c>
      <c r="H9" s="445">
        <v>1166.6600000000001</v>
      </c>
      <c r="I9" s="464">
        <v>0.79544819216319962</v>
      </c>
      <c r="J9" s="464">
        <v>33.33314285714286</v>
      </c>
      <c r="K9" s="445">
        <v>44</v>
      </c>
      <c r="L9" s="445">
        <v>1466.67</v>
      </c>
      <c r="M9" s="464">
        <v>1</v>
      </c>
      <c r="N9" s="464">
        <v>33.333409090909093</v>
      </c>
      <c r="O9" s="445">
        <v>64</v>
      </c>
      <c r="P9" s="445">
        <v>2133.3099999999995</v>
      </c>
      <c r="Q9" s="465">
        <v>1.4545262397130911</v>
      </c>
      <c r="R9" s="466">
        <v>33.332968749999992</v>
      </c>
    </row>
    <row r="10" spans="1:18" ht="14.45" customHeight="1" x14ac:dyDescent="0.2">
      <c r="A10" s="444" t="s">
        <v>359</v>
      </c>
      <c r="B10" s="464" t="s">
        <v>360</v>
      </c>
      <c r="C10" s="464" t="s">
        <v>347</v>
      </c>
      <c r="D10" s="464" t="s">
        <v>361</v>
      </c>
      <c r="E10" s="464" t="s">
        <v>370</v>
      </c>
      <c r="F10" s="464" t="s">
        <v>371</v>
      </c>
      <c r="G10" s="445">
        <v>35</v>
      </c>
      <c r="H10" s="445">
        <v>13055</v>
      </c>
      <c r="I10" s="464">
        <v>0.89503633621280676</v>
      </c>
      <c r="J10" s="464">
        <v>373</v>
      </c>
      <c r="K10" s="445">
        <v>39</v>
      </c>
      <c r="L10" s="445">
        <v>14586</v>
      </c>
      <c r="M10" s="464">
        <v>1</v>
      </c>
      <c r="N10" s="464">
        <v>374</v>
      </c>
      <c r="O10" s="445">
        <v>65</v>
      </c>
      <c r="P10" s="445">
        <v>24505</v>
      </c>
      <c r="Q10" s="465">
        <v>1.6800356506238858</v>
      </c>
      <c r="R10" s="466">
        <v>377</v>
      </c>
    </row>
    <row r="11" spans="1:18" ht="14.45" customHeight="1" x14ac:dyDescent="0.2">
      <c r="A11" s="444" t="s">
        <v>359</v>
      </c>
      <c r="B11" s="464" t="s">
        <v>360</v>
      </c>
      <c r="C11" s="464" t="s">
        <v>347</v>
      </c>
      <c r="D11" s="464" t="s">
        <v>361</v>
      </c>
      <c r="E11" s="464" t="s">
        <v>372</v>
      </c>
      <c r="F11" s="464" t="s">
        <v>373</v>
      </c>
      <c r="G11" s="445">
        <v>367</v>
      </c>
      <c r="H11" s="445">
        <v>158177</v>
      </c>
      <c r="I11" s="464">
        <v>0.88895945148509292</v>
      </c>
      <c r="J11" s="464">
        <v>431</v>
      </c>
      <c r="K11" s="445">
        <v>412</v>
      </c>
      <c r="L11" s="445">
        <v>177935</v>
      </c>
      <c r="M11" s="464">
        <v>1</v>
      </c>
      <c r="N11" s="464">
        <v>431.88106796116506</v>
      </c>
      <c r="O11" s="445">
        <v>376</v>
      </c>
      <c r="P11" s="445">
        <v>163184</v>
      </c>
      <c r="Q11" s="465">
        <v>0.91709894062438535</v>
      </c>
      <c r="R11" s="466">
        <v>434</v>
      </c>
    </row>
    <row r="12" spans="1:18" ht="14.45" customHeight="1" thickBot="1" x14ac:dyDescent="0.25">
      <c r="A12" s="448" t="s">
        <v>359</v>
      </c>
      <c r="B12" s="467" t="s">
        <v>360</v>
      </c>
      <c r="C12" s="467" t="s">
        <v>347</v>
      </c>
      <c r="D12" s="467" t="s">
        <v>361</v>
      </c>
      <c r="E12" s="467" t="s">
        <v>374</v>
      </c>
      <c r="F12" s="467" t="s">
        <v>375</v>
      </c>
      <c r="G12" s="408">
        <v>4</v>
      </c>
      <c r="H12" s="408">
        <v>1132</v>
      </c>
      <c r="I12" s="467">
        <v>0.2</v>
      </c>
      <c r="J12" s="467">
        <v>283</v>
      </c>
      <c r="K12" s="408">
        <v>20</v>
      </c>
      <c r="L12" s="408">
        <v>5660</v>
      </c>
      <c r="M12" s="467">
        <v>1</v>
      </c>
      <c r="N12" s="467">
        <v>283</v>
      </c>
      <c r="O12" s="408">
        <v>16</v>
      </c>
      <c r="P12" s="408">
        <v>4560</v>
      </c>
      <c r="Q12" s="409">
        <v>0.80565371024734977</v>
      </c>
      <c r="R12" s="418">
        <v>285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58D66FA-FB0B-46C3-9D33-436E2503F77B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5" hidden="1" customWidth="1" outlineLevel="1"/>
    <col min="10" max="11" width="9.28515625" style="101" hidden="1" customWidth="1"/>
    <col min="12" max="13" width="11.140625" style="175" customWidth="1"/>
    <col min="14" max="15" width="9.28515625" style="101" hidden="1" customWidth="1"/>
    <col min="16" max="17" width="11.140625" style="175" customWidth="1"/>
    <col min="18" max="18" width="11.140625" style="176" customWidth="1"/>
    <col min="19" max="19" width="11.140625" style="175" customWidth="1"/>
    <col min="20" max="16384" width="8.85546875" style="101"/>
  </cols>
  <sheetData>
    <row r="1" spans="1:19" ht="18.600000000000001" customHeight="1" thickBot="1" x14ac:dyDescent="0.35">
      <c r="A1" s="275" t="s">
        <v>377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5" customHeight="1" thickBot="1" x14ac:dyDescent="0.25">
      <c r="A2" s="190" t="s">
        <v>213</v>
      </c>
      <c r="B2" s="166"/>
      <c r="C2" s="166"/>
      <c r="D2" s="166"/>
      <c r="E2" s="83"/>
      <c r="F2" s="83"/>
      <c r="G2" s="83"/>
      <c r="H2" s="188"/>
      <c r="I2" s="188"/>
      <c r="J2" s="83"/>
      <c r="K2" s="83"/>
      <c r="L2" s="188"/>
      <c r="M2" s="188"/>
      <c r="N2" s="83"/>
      <c r="O2" s="83"/>
      <c r="P2" s="188"/>
      <c r="Q2" s="188"/>
      <c r="R2" s="185"/>
      <c r="S2" s="188"/>
    </row>
    <row r="3" spans="1:19" ht="14.45" customHeight="1" thickBot="1" x14ac:dyDescent="0.25">
      <c r="G3" s="62" t="s">
        <v>96</v>
      </c>
      <c r="H3" s="74">
        <f t="shared" ref="H3:Q3" si="0">SUBTOTAL(9,H6:H1048576)</f>
        <v>1306</v>
      </c>
      <c r="I3" s="75">
        <f t="shared" si="0"/>
        <v>598699.65999999992</v>
      </c>
      <c r="J3" s="57"/>
      <c r="K3" s="57"/>
      <c r="L3" s="75">
        <f t="shared" si="0"/>
        <v>1646</v>
      </c>
      <c r="M3" s="75">
        <f t="shared" si="0"/>
        <v>774775.67</v>
      </c>
      <c r="N3" s="57"/>
      <c r="O3" s="57"/>
      <c r="P3" s="75">
        <f t="shared" si="0"/>
        <v>2381</v>
      </c>
      <c r="Q3" s="75">
        <f t="shared" si="0"/>
        <v>1168124.31</v>
      </c>
      <c r="R3" s="58">
        <f>IF(M3=0,0,Q3/M3)</f>
        <v>1.5076935882614899</v>
      </c>
      <c r="S3" s="76">
        <f>IF(P3=0,0,Q3/P3)</f>
        <v>490.60239815203698</v>
      </c>
    </row>
    <row r="4" spans="1:19" ht="14.45" customHeight="1" x14ac:dyDescent="0.2">
      <c r="A4" s="357" t="s">
        <v>156</v>
      </c>
      <c r="B4" s="357" t="s">
        <v>69</v>
      </c>
      <c r="C4" s="365" t="s">
        <v>0</v>
      </c>
      <c r="D4" s="216" t="s">
        <v>97</v>
      </c>
      <c r="E4" s="359" t="s">
        <v>70</v>
      </c>
      <c r="F4" s="364" t="s">
        <v>45</v>
      </c>
      <c r="G4" s="360" t="s">
        <v>44</v>
      </c>
      <c r="H4" s="361">
        <v>2015</v>
      </c>
      <c r="I4" s="362"/>
      <c r="J4" s="73"/>
      <c r="K4" s="73"/>
      <c r="L4" s="361">
        <v>2018</v>
      </c>
      <c r="M4" s="362"/>
      <c r="N4" s="73"/>
      <c r="O4" s="73"/>
      <c r="P4" s="361">
        <v>2019</v>
      </c>
      <c r="Q4" s="362"/>
      <c r="R4" s="363" t="s">
        <v>1</v>
      </c>
      <c r="S4" s="358" t="s">
        <v>72</v>
      </c>
    </row>
    <row r="5" spans="1:19" ht="14.45" customHeight="1" thickBot="1" x14ac:dyDescent="0.25">
      <c r="A5" s="453"/>
      <c r="B5" s="453"/>
      <c r="C5" s="454"/>
      <c r="D5" s="468"/>
      <c r="E5" s="455"/>
      <c r="F5" s="456"/>
      <c r="G5" s="457"/>
      <c r="H5" s="458" t="s">
        <v>46</v>
      </c>
      <c r="I5" s="459" t="s">
        <v>3</v>
      </c>
      <c r="J5" s="460"/>
      <c r="K5" s="460"/>
      <c r="L5" s="458" t="s">
        <v>46</v>
      </c>
      <c r="M5" s="459" t="s">
        <v>3</v>
      </c>
      <c r="N5" s="460"/>
      <c r="O5" s="460"/>
      <c r="P5" s="458" t="s">
        <v>46</v>
      </c>
      <c r="Q5" s="459" t="s">
        <v>3</v>
      </c>
      <c r="R5" s="461"/>
      <c r="S5" s="462"/>
    </row>
    <row r="6" spans="1:19" ht="14.45" customHeight="1" x14ac:dyDescent="0.2">
      <c r="A6" s="441" t="s">
        <v>359</v>
      </c>
      <c r="B6" s="463" t="s">
        <v>360</v>
      </c>
      <c r="C6" s="463" t="s">
        <v>347</v>
      </c>
      <c r="D6" s="463" t="s">
        <v>348</v>
      </c>
      <c r="E6" s="463" t="s">
        <v>361</v>
      </c>
      <c r="F6" s="463" t="s">
        <v>362</v>
      </c>
      <c r="G6" s="463" t="s">
        <v>363</v>
      </c>
      <c r="H6" s="405">
        <v>7</v>
      </c>
      <c r="I6" s="405">
        <v>987</v>
      </c>
      <c r="J6" s="463">
        <v>2.316901408450704</v>
      </c>
      <c r="K6" s="463">
        <v>141</v>
      </c>
      <c r="L6" s="405">
        <v>3</v>
      </c>
      <c r="M6" s="405">
        <v>426</v>
      </c>
      <c r="N6" s="463">
        <v>1</v>
      </c>
      <c r="O6" s="463">
        <v>142</v>
      </c>
      <c r="P6" s="405">
        <v>1</v>
      </c>
      <c r="Q6" s="405">
        <v>143</v>
      </c>
      <c r="R6" s="406">
        <v>0.33568075117370894</v>
      </c>
      <c r="S6" s="417">
        <v>143</v>
      </c>
    </row>
    <row r="7" spans="1:19" ht="14.45" customHeight="1" x14ac:dyDescent="0.2">
      <c r="A7" s="444" t="s">
        <v>359</v>
      </c>
      <c r="B7" s="464" t="s">
        <v>360</v>
      </c>
      <c r="C7" s="464" t="s">
        <v>347</v>
      </c>
      <c r="D7" s="464" t="s">
        <v>348</v>
      </c>
      <c r="E7" s="464" t="s">
        <v>361</v>
      </c>
      <c r="F7" s="464" t="s">
        <v>364</v>
      </c>
      <c r="G7" s="464" t="s">
        <v>365</v>
      </c>
      <c r="H7" s="445">
        <v>186</v>
      </c>
      <c r="I7" s="445">
        <v>51894</v>
      </c>
      <c r="J7" s="464">
        <v>0.93038349140326659</v>
      </c>
      <c r="K7" s="464">
        <v>279</v>
      </c>
      <c r="L7" s="445">
        <v>193</v>
      </c>
      <c r="M7" s="445">
        <v>55777</v>
      </c>
      <c r="N7" s="464">
        <v>1</v>
      </c>
      <c r="O7" s="464">
        <v>289</v>
      </c>
      <c r="P7" s="445">
        <v>96</v>
      </c>
      <c r="Q7" s="445">
        <v>28032</v>
      </c>
      <c r="R7" s="465">
        <v>0.50257274503827742</v>
      </c>
      <c r="S7" s="466">
        <v>292</v>
      </c>
    </row>
    <row r="8" spans="1:19" ht="14.45" customHeight="1" x14ac:dyDescent="0.2">
      <c r="A8" s="444" t="s">
        <v>359</v>
      </c>
      <c r="B8" s="464" t="s">
        <v>360</v>
      </c>
      <c r="C8" s="464" t="s">
        <v>347</v>
      </c>
      <c r="D8" s="464" t="s">
        <v>348</v>
      </c>
      <c r="E8" s="464" t="s">
        <v>361</v>
      </c>
      <c r="F8" s="464" t="s">
        <v>366</v>
      </c>
      <c r="G8" s="464" t="s">
        <v>367</v>
      </c>
      <c r="H8" s="445">
        <v>672</v>
      </c>
      <c r="I8" s="445">
        <v>372288</v>
      </c>
      <c r="J8" s="464">
        <v>0.71742159271571038</v>
      </c>
      <c r="K8" s="464">
        <v>554</v>
      </c>
      <c r="L8" s="445">
        <v>935</v>
      </c>
      <c r="M8" s="445">
        <v>518925</v>
      </c>
      <c r="N8" s="464">
        <v>1</v>
      </c>
      <c r="O8" s="464">
        <v>555</v>
      </c>
      <c r="P8" s="445">
        <v>596</v>
      </c>
      <c r="Q8" s="445">
        <v>332568</v>
      </c>
      <c r="R8" s="465">
        <v>0.64087873970226916</v>
      </c>
      <c r="S8" s="466">
        <v>558</v>
      </c>
    </row>
    <row r="9" spans="1:19" ht="14.45" customHeight="1" x14ac:dyDescent="0.2">
      <c r="A9" s="444" t="s">
        <v>359</v>
      </c>
      <c r="B9" s="464" t="s">
        <v>360</v>
      </c>
      <c r="C9" s="464" t="s">
        <v>347</v>
      </c>
      <c r="D9" s="464" t="s">
        <v>348</v>
      </c>
      <c r="E9" s="464" t="s">
        <v>361</v>
      </c>
      <c r="F9" s="464" t="s">
        <v>368</v>
      </c>
      <c r="G9" s="464" t="s">
        <v>369</v>
      </c>
      <c r="H9" s="445">
        <v>35</v>
      </c>
      <c r="I9" s="445">
        <v>1166.6600000000001</v>
      </c>
      <c r="J9" s="464">
        <v>0.79544819216319962</v>
      </c>
      <c r="K9" s="464">
        <v>33.33314285714286</v>
      </c>
      <c r="L9" s="445">
        <v>44</v>
      </c>
      <c r="M9" s="445">
        <v>1466.67</v>
      </c>
      <c r="N9" s="464">
        <v>1</v>
      </c>
      <c r="O9" s="464">
        <v>33.333409090909093</v>
      </c>
      <c r="P9" s="445">
        <v>40</v>
      </c>
      <c r="Q9" s="445">
        <v>1333.32</v>
      </c>
      <c r="R9" s="465">
        <v>0.9090797520914724</v>
      </c>
      <c r="S9" s="466">
        <v>33.332999999999998</v>
      </c>
    </row>
    <row r="10" spans="1:19" ht="14.45" customHeight="1" x14ac:dyDescent="0.2">
      <c r="A10" s="444" t="s">
        <v>359</v>
      </c>
      <c r="B10" s="464" t="s">
        <v>360</v>
      </c>
      <c r="C10" s="464" t="s">
        <v>347</v>
      </c>
      <c r="D10" s="464" t="s">
        <v>348</v>
      </c>
      <c r="E10" s="464" t="s">
        <v>361</v>
      </c>
      <c r="F10" s="464" t="s">
        <v>370</v>
      </c>
      <c r="G10" s="464" t="s">
        <v>371</v>
      </c>
      <c r="H10" s="445">
        <v>35</v>
      </c>
      <c r="I10" s="445">
        <v>13055</v>
      </c>
      <c r="J10" s="464">
        <v>0.89503633621280676</v>
      </c>
      <c r="K10" s="464">
        <v>373</v>
      </c>
      <c r="L10" s="445">
        <v>39</v>
      </c>
      <c r="M10" s="445">
        <v>14586</v>
      </c>
      <c r="N10" s="464">
        <v>1</v>
      </c>
      <c r="O10" s="464">
        <v>374</v>
      </c>
      <c r="P10" s="445">
        <v>33</v>
      </c>
      <c r="Q10" s="445">
        <v>12441</v>
      </c>
      <c r="R10" s="465">
        <v>0.8529411764705882</v>
      </c>
      <c r="S10" s="466">
        <v>377</v>
      </c>
    </row>
    <row r="11" spans="1:19" ht="14.45" customHeight="1" x14ac:dyDescent="0.2">
      <c r="A11" s="444" t="s">
        <v>359</v>
      </c>
      <c r="B11" s="464" t="s">
        <v>360</v>
      </c>
      <c r="C11" s="464" t="s">
        <v>347</v>
      </c>
      <c r="D11" s="464" t="s">
        <v>348</v>
      </c>
      <c r="E11" s="464" t="s">
        <v>361</v>
      </c>
      <c r="F11" s="464" t="s">
        <v>372</v>
      </c>
      <c r="G11" s="464" t="s">
        <v>373</v>
      </c>
      <c r="H11" s="445">
        <v>367</v>
      </c>
      <c r="I11" s="445">
        <v>158177</v>
      </c>
      <c r="J11" s="464">
        <v>0.88895945148509292</v>
      </c>
      <c r="K11" s="464">
        <v>431</v>
      </c>
      <c r="L11" s="445">
        <v>412</v>
      </c>
      <c r="M11" s="445">
        <v>177935</v>
      </c>
      <c r="N11" s="464">
        <v>1</v>
      </c>
      <c r="O11" s="464">
        <v>431.88106796116506</v>
      </c>
      <c r="P11" s="445">
        <v>194</v>
      </c>
      <c r="Q11" s="445">
        <v>84196</v>
      </c>
      <c r="R11" s="465">
        <v>0.47318402787534775</v>
      </c>
      <c r="S11" s="466">
        <v>434</v>
      </c>
    </row>
    <row r="12" spans="1:19" ht="14.45" customHeight="1" x14ac:dyDescent="0.2">
      <c r="A12" s="444" t="s">
        <v>359</v>
      </c>
      <c r="B12" s="464" t="s">
        <v>360</v>
      </c>
      <c r="C12" s="464" t="s">
        <v>347</v>
      </c>
      <c r="D12" s="464" t="s">
        <v>348</v>
      </c>
      <c r="E12" s="464" t="s">
        <v>361</v>
      </c>
      <c r="F12" s="464" t="s">
        <v>374</v>
      </c>
      <c r="G12" s="464" t="s">
        <v>375</v>
      </c>
      <c r="H12" s="445">
        <v>4</v>
      </c>
      <c r="I12" s="445">
        <v>1132</v>
      </c>
      <c r="J12" s="464">
        <v>0.2</v>
      </c>
      <c r="K12" s="464">
        <v>283</v>
      </c>
      <c r="L12" s="445">
        <v>20</v>
      </c>
      <c r="M12" s="445">
        <v>5660</v>
      </c>
      <c r="N12" s="464">
        <v>1</v>
      </c>
      <c r="O12" s="464">
        <v>283</v>
      </c>
      <c r="P12" s="445">
        <v>7</v>
      </c>
      <c r="Q12" s="445">
        <v>1995</v>
      </c>
      <c r="R12" s="465">
        <v>0.35247349823321555</v>
      </c>
      <c r="S12" s="466">
        <v>285</v>
      </c>
    </row>
    <row r="13" spans="1:19" ht="14.45" customHeight="1" x14ac:dyDescent="0.2">
      <c r="A13" s="444" t="s">
        <v>359</v>
      </c>
      <c r="B13" s="464" t="s">
        <v>360</v>
      </c>
      <c r="C13" s="464" t="s">
        <v>347</v>
      </c>
      <c r="D13" s="464" t="s">
        <v>353</v>
      </c>
      <c r="E13" s="464" t="s">
        <v>361</v>
      </c>
      <c r="F13" s="464" t="s">
        <v>366</v>
      </c>
      <c r="G13" s="464" t="s">
        <v>367</v>
      </c>
      <c r="H13" s="445"/>
      <c r="I13" s="445"/>
      <c r="J13" s="464"/>
      <c r="K13" s="464"/>
      <c r="L13" s="445"/>
      <c r="M13" s="445"/>
      <c r="N13" s="464"/>
      <c r="O13" s="464"/>
      <c r="P13" s="445">
        <v>172</v>
      </c>
      <c r="Q13" s="445">
        <v>95976</v>
      </c>
      <c r="R13" s="465"/>
      <c r="S13" s="466">
        <v>558</v>
      </c>
    </row>
    <row r="14" spans="1:19" ht="14.45" customHeight="1" x14ac:dyDescent="0.2">
      <c r="A14" s="444" t="s">
        <v>359</v>
      </c>
      <c r="B14" s="464" t="s">
        <v>360</v>
      </c>
      <c r="C14" s="464" t="s">
        <v>347</v>
      </c>
      <c r="D14" s="464" t="s">
        <v>353</v>
      </c>
      <c r="E14" s="464" t="s">
        <v>361</v>
      </c>
      <c r="F14" s="464" t="s">
        <v>368</v>
      </c>
      <c r="G14" s="464" t="s">
        <v>369</v>
      </c>
      <c r="H14" s="445"/>
      <c r="I14" s="445"/>
      <c r="J14" s="464"/>
      <c r="K14" s="464"/>
      <c r="L14" s="445"/>
      <c r="M14" s="445"/>
      <c r="N14" s="464"/>
      <c r="O14" s="464"/>
      <c r="P14" s="445">
        <v>2</v>
      </c>
      <c r="Q14" s="445">
        <v>66.67</v>
      </c>
      <c r="R14" s="465"/>
      <c r="S14" s="466">
        <v>33.335000000000001</v>
      </c>
    </row>
    <row r="15" spans="1:19" ht="14.45" customHeight="1" x14ac:dyDescent="0.2">
      <c r="A15" s="444" t="s">
        <v>359</v>
      </c>
      <c r="B15" s="464" t="s">
        <v>360</v>
      </c>
      <c r="C15" s="464" t="s">
        <v>347</v>
      </c>
      <c r="D15" s="464" t="s">
        <v>353</v>
      </c>
      <c r="E15" s="464" t="s">
        <v>361</v>
      </c>
      <c r="F15" s="464" t="s">
        <v>370</v>
      </c>
      <c r="G15" s="464" t="s">
        <v>371</v>
      </c>
      <c r="H15" s="445"/>
      <c r="I15" s="445"/>
      <c r="J15" s="464"/>
      <c r="K15" s="464"/>
      <c r="L15" s="445"/>
      <c r="M15" s="445"/>
      <c r="N15" s="464"/>
      <c r="O15" s="464"/>
      <c r="P15" s="445">
        <v>4</v>
      </c>
      <c r="Q15" s="445">
        <v>1508</v>
      </c>
      <c r="R15" s="465"/>
      <c r="S15" s="466">
        <v>377</v>
      </c>
    </row>
    <row r="16" spans="1:19" ht="14.45" customHeight="1" x14ac:dyDescent="0.2">
      <c r="A16" s="444" t="s">
        <v>359</v>
      </c>
      <c r="B16" s="464" t="s">
        <v>360</v>
      </c>
      <c r="C16" s="464" t="s">
        <v>347</v>
      </c>
      <c r="D16" s="464" t="s">
        <v>353</v>
      </c>
      <c r="E16" s="464" t="s">
        <v>361</v>
      </c>
      <c r="F16" s="464" t="s">
        <v>374</v>
      </c>
      <c r="G16" s="464" t="s">
        <v>375</v>
      </c>
      <c r="H16" s="445"/>
      <c r="I16" s="445"/>
      <c r="J16" s="464"/>
      <c r="K16" s="464"/>
      <c r="L16" s="445"/>
      <c r="M16" s="445"/>
      <c r="N16" s="464"/>
      <c r="O16" s="464"/>
      <c r="P16" s="445">
        <v>3</v>
      </c>
      <c r="Q16" s="445">
        <v>855</v>
      </c>
      <c r="R16" s="465"/>
      <c r="S16" s="466">
        <v>285</v>
      </c>
    </row>
    <row r="17" spans="1:19" ht="14.45" customHeight="1" x14ac:dyDescent="0.2">
      <c r="A17" s="444" t="s">
        <v>359</v>
      </c>
      <c r="B17" s="464" t="s">
        <v>360</v>
      </c>
      <c r="C17" s="464" t="s">
        <v>347</v>
      </c>
      <c r="D17" s="464" t="s">
        <v>355</v>
      </c>
      <c r="E17" s="464" t="s">
        <v>361</v>
      </c>
      <c r="F17" s="464" t="s">
        <v>366</v>
      </c>
      <c r="G17" s="464" t="s">
        <v>367</v>
      </c>
      <c r="H17" s="445"/>
      <c r="I17" s="445"/>
      <c r="J17" s="464"/>
      <c r="K17" s="464"/>
      <c r="L17" s="445"/>
      <c r="M17" s="445"/>
      <c r="N17" s="464"/>
      <c r="O17" s="464"/>
      <c r="P17" s="445">
        <v>357</v>
      </c>
      <c r="Q17" s="445">
        <v>199206</v>
      </c>
      <c r="R17" s="465"/>
      <c r="S17" s="466">
        <v>558</v>
      </c>
    </row>
    <row r="18" spans="1:19" ht="14.45" customHeight="1" x14ac:dyDescent="0.2">
      <c r="A18" s="444" t="s">
        <v>359</v>
      </c>
      <c r="B18" s="464" t="s">
        <v>360</v>
      </c>
      <c r="C18" s="464" t="s">
        <v>347</v>
      </c>
      <c r="D18" s="464" t="s">
        <v>355</v>
      </c>
      <c r="E18" s="464" t="s">
        <v>361</v>
      </c>
      <c r="F18" s="464" t="s">
        <v>368</v>
      </c>
      <c r="G18" s="464" t="s">
        <v>369</v>
      </c>
      <c r="H18" s="445"/>
      <c r="I18" s="445"/>
      <c r="J18" s="464"/>
      <c r="K18" s="464"/>
      <c r="L18" s="445"/>
      <c r="M18" s="445"/>
      <c r="N18" s="464"/>
      <c r="O18" s="464"/>
      <c r="P18" s="445">
        <v>2</v>
      </c>
      <c r="Q18" s="445">
        <v>66.66</v>
      </c>
      <c r="R18" s="465"/>
      <c r="S18" s="466">
        <v>33.33</v>
      </c>
    </row>
    <row r="19" spans="1:19" ht="14.45" customHeight="1" x14ac:dyDescent="0.2">
      <c r="A19" s="444" t="s">
        <v>359</v>
      </c>
      <c r="B19" s="464" t="s">
        <v>360</v>
      </c>
      <c r="C19" s="464" t="s">
        <v>347</v>
      </c>
      <c r="D19" s="464" t="s">
        <v>355</v>
      </c>
      <c r="E19" s="464" t="s">
        <v>361</v>
      </c>
      <c r="F19" s="464" t="s">
        <v>370</v>
      </c>
      <c r="G19" s="464" t="s">
        <v>371</v>
      </c>
      <c r="H19" s="445"/>
      <c r="I19" s="445"/>
      <c r="J19" s="464"/>
      <c r="K19" s="464"/>
      <c r="L19" s="445"/>
      <c r="M19" s="445"/>
      <c r="N19" s="464"/>
      <c r="O19" s="464"/>
      <c r="P19" s="445">
        <v>3</v>
      </c>
      <c r="Q19" s="445">
        <v>1131</v>
      </c>
      <c r="R19" s="465"/>
      <c r="S19" s="466">
        <v>377</v>
      </c>
    </row>
    <row r="20" spans="1:19" ht="14.45" customHeight="1" x14ac:dyDescent="0.2">
      <c r="A20" s="444" t="s">
        <v>359</v>
      </c>
      <c r="B20" s="464" t="s">
        <v>360</v>
      </c>
      <c r="C20" s="464" t="s">
        <v>347</v>
      </c>
      <c r="D20" s="464" t="s">
        <v>355</v>
      </c>
      <c r="E20" s="464" t="s">
        <v>361</v>
      </c>
      <c r="F20" s="464" t="s">
        <v>374</v>
      </c>
      <c r="G20" s="464" t="s">
        <v>375</v>
      </c>
      <c r="H20" s="445"/>
      <c r="I20" s="445"/>
      <c r="J20" s="464"/>
      <c r="K20" s="464"/>
      <c r="L20" s="445"/>
      <c r="M20" s="445"/>
      <c r="N20" s="464"/>
      <c r="O20" s="464"/>
      <c r="P20" s="445">
        <v>3</v>
      </c>
      <c r="Q20" s="445">
        <v>855</v>
      </c>
      <c r="R20" s="465"/>
      <c r="S20" s="466">
        <v>285</v>
      </c>
    </row>
    <row r="21" spans="1:19" ht="14.45" customHeight="1" x14ac:dyDescent="0.2">
      <c r="A21" s="444" t="s">
        <v>359</v>
      </c>
      <c r="B21" s="464" t="s">
        <v>360</v>
      </c>
      <c r="C21" s="464" t="s">
        <v>347</v>
      </c>
      <c r="D21" s="464" t="s">
        <v>357</v>
      </c>
      <c r="E21" s="464" t="s">
        <v>361</v>
      </c>
      <c r="F21" s="464" t="s">
        <v>362</v>
      </c>
      <c r="G21" s="464" t="s">
        <v>363</v>
      </c>
      <c r="H21" s="445"/>
      <c r="I21" s="445"/>
      <c r="J21" s="464"/>
      <c r="K21" s="464"/>
      <c r="L21" s="445"/>
      <c r="M21" s="445"/>
      <c r="N21" s="464"/>
      <c r="O21" s="464"/>
      <c r="P21" s="445">
        <v>1</v>
      </c>
      <c r="Q21" s="445">
        <v>143</v>
      </c>
      <c r="R21" s="465"/>
      <c r="S21" s="466">
        <v>143</v>
      </c>
    </row>
    <row r="22" spans="1:19" ht="14.45" customHeight="1" x14ac:dyDescent="0.2">
      <c r="A22" s="444" t="s">
        <v>359</v>
      </c>
      <c r="B22" s="464" t="s">
        <v>360</v>
      </c>
      <c r="C22" s="464" t="s">
        <v>347</v>
      </c>
      <c r="D22" s="464" t="s">
        <v>357</v>
      </c>
      <c r="E22" s="464" t="s">
        <v>361</v>
      </c>
      <c r="F22" s="464" t="s">
        <v>364</v>
      </c>
      <c r="G22" s="464" t="s">
        <v>365</v>
      </c>
      <c r="H22" s="445"/>
      <c r="I22" s="445"/>
      <c r="J22" s="464"/>
      <c r="K22" s="464"/>
      <c r="L22" s="445"/>
      <c r="M22" s="445"/>
      <c r="N22" s="464"/>
      <c r="O22" s="464"/>
      <c r="P22" s="445">
        <v>142</v>
      </c>
      <c r="Q22" s="445">
        <v>41464</v>
      </c>
      <c r="R22" s="465"/>
      <c r="S22" s="466">
        <v>292</v>
      </c>
    </row>
    <row r="23" spans="1:19" ht="14.45" customHeight="1" x14ac:dyDescent="0.2">
      <c r="A23" s="444" t="s">
        <v>359</v>
      </c>
      <c r="B23" s="464" t="s">
        <v>360</v>
      </c>
      <c r="C23" s="464" t="s">
        <v>347</v>
      </c>
      <c r="D23" s="464" t="s">
        <v>357</v>
      </c>
      <c r="E23" s="464" t="s">
        <v>361</v>
      </c>
      <c r="F23" s="464" t="s">
        <v>366</v>
      </c>
      <c r="G23" s="464" t="s">
        <v>367</v>
      </c>
      <c r="H23" s="445"/>
      <c r="I23" s="445"/>
      <c r="J23" s="464"/>
      <c r="K23" s="464"/>
      <c r="L23" s="445"/>
      <c r="M23" s="445"/>
      <c r="N23" s="464"/>
      <c r="O23" s="464"/>
      <c r="P23" s="445">
        <v>203</v>
      </c>
      <c r="Q23" s="445">
        <v>113274</v>
      </c>
      <c r="R23" s="465"/>
      <c r="S23" s="466">
        <v>558</v>
      </c>
    </row>
    <row r="24" spans="1:19" ht="14.45" customHeight="1" x14ac:dyDescent="0.2">
      <c r="A24" s="444" t="s">
        <v>359</v>
      </c>
      <c r="B24" s="464" t="s">
        <v>360</v>
      </c>
      <c r="C24" s="464" t="s">
        <v>347</v>
      </c>
      <c r="D24" s="464" t="s">
        <v>357</v>
      </c>
      <c r="E24" s="464" t="s">
        <v>361</v>
      </c>
      <c r="F24" s="464" t="s">
        <v>368</v>
      </c>
      <c r="G24" s="464" t="s">
        <v>369</v>
      </c>
      <c r="H24" s="445"/>
      <c r="I24" s="445"/>
      <c r="J24" s="464"/>
      <c r="K24" s="464"/>
      <c r="L24" s="445"/>
      <c r="M24" s="445"/>
      <c r="N24" s="464"/>
      <c r="O24" s="464"/>
      <c r="P24" s="445">
        <v>14</v>
      </c>
      <c r="Q24" s="445">
        <v>466.65999999999997</v>
      </c>
      <c r="R24" s="465"/>
      <c r="S24" s="466">
        <v>33.332857142857144</v>
      </c>
    </row>
    <row r="25" spans="1:19" ht="14.45" customHeight="1" x14ac:dyDescent="0.2">
      <c r="A25" s="444" t="s">
        <v>359</v>
      </c>
      <c r="B25" s="464" t="s">
        <v>360</v>
      </c>
      <c r="C25" s="464" t="s">
        <v>347</v>
      </c>
      <c r="D25" s="464" t="s">
        <v>357</v>
      </c>
      <c r="E25" s="464" t="s">
        <v>361</v>
      </c>
      <c r="F25" s="464" t="s">
        <v>370</v>
      </c>
      <c r="G25" s="464" t="s">
        <v>371</v>
      </c>
      <c r="H25" s="445"/>
      <c r="I25" s="445"/>
      <c r="J25" s="464"/>
      <c r="K25" s="464"/>
      <c r="L25" s="445"/>
      <c r="M25" s="445"/>
      <c r="N25" s="464"/>
      <c r="O25" s="464"/>
      <c r="P25" s="445">
        <v>15</v>
      </c>
      <c r="Q25" s="445">
        <v>5655</v>
      </c>
      <c r="R25" s="465"/>
      <c r="S25" s="466">
        <v>377</v>
      </c>
    </row>
    <row r="26" spans="1:19" ht="14.45" customHeight="1" x14ac:dyDescent="0.2">
      <c r="A26" s="444" t="s">
        <v>359</v>
      </c>
      <c r="B26" s="464" t="s">
        <v>360</v>
      </c>
      <c r="C26" s="464" t="s">
        <v>347</v>
      </c>
      <c r="D26" s="464" t="s">
        <v>357</v>
      </c>
      <c r="E26" s="464" t="s">
        <v>361</v>
      </c>
      <c r="F26" s="464" t="s">
        <v>372</v>
      </c>
      <c r="G26" s="464" t="s">
        <v>373</v>
      </c>
      <c r="H26" s="445"/>
      <c r="I26" s="445"/>
      <c r="J26" s="464"/>
      <c r="K26" s="464"/>
      <c r="L26" s="445"/>
      <c r="M26" s="445"/>
      <c r="N26" s="464"/>
      <c r="O26" s="464"/>
      <c r="P26" s="445">
        <v>182</v>
      </c>
      <c r="Q26" s="445">
        <v>78988</v>
      </c>
      <c r="R26" s="465"/>
      <c r="S26" s="466">
        <v>434</v>
      </c>
    </row>
    <row r="27" spans="1:19" ht="14.45" customHeight="1" x14ac:dyDescent="0.2">
      <c r="A27" s="444" t="s">
        <v>359</v>
      </c>
      <c r="B27" s="464" t="s">
        <v>360</v>
      </c>
      <c r="C27" s="464" t="s">
        <v>347</v>
      </c>
      <c r="D27" s="464" t="s">
        <v>357</v>
      </c>
      <c r="E27" s="464" t="s">
        <v>361</v>
      </c>
      <c r="F27" s="464" t="s">
        <v>374</v>
      </c>
      <c r="G27" s="464" t="s">
        <v>375</v>
      </c>
      <c r="H27" s="445"/>
      <c r="I27" s="445"/>
      <c r="J27" s="464"/>
      <c r="K27" s="464"/>
      <c r="L27" s="445"/>
      <c r="M27" s="445"/>
      <c r="N27" s="464"/>
      <c r="O27" s="464"/>
      <c r="P27" s="445">
        <v>2</v>
      </c>
      <c r="Q27" s="445">
        <v>570</v>
      </c>
      <c r="R27" s="465"/>
      <c r="S27" s="466">
        <v>285</v>
      </c>
    </row>
    <row r="28" spans="1:19" ht="14.45" customHeight="1" x14ac:dyDescent="0.2">
      <c r="A28" s="444" t="s">
        <v>359</v>
      </c>
      <c r="B28" s="464" t="s">
        <v>360</v>
      </c>
      <c r="C28" s="464" t="s">
        <v>347</v>
      </c>
      <c r="D28" s="464" t="s">
        <v>354</v>
      </c>
      <c r="E28" s="464" t="s">
        <v>361</v>
      </c>
      <c r="F28" s="464" t="s">
        <v>366</v>
      </c>
      <c r="G28" s="464" t="s">
        <v>367</v>
      </c>
      <c r="H28" s="445"/>
      <c r="I28" s="445"/>
      <c r="J28" s="464"/>
      <c r="K28" s="464"/>
      <c r="L28" s="445"/>
      <c r="M28" s="445"/>
      <c r="N28" s="464"/>
      <c r="O28" s="464"/>
      <c r="P28" s="445">
        <v>148</v>
      </c>
      <c r="Q28" s="445">
        <v>82584</v>
      </c>
      <c r="R28" s="465"/>
      <c r="S28" s="466">
        <v>558</v>
      </c>
    </row>
    <row r="29" spans="1:19" ht="14.45" customHeight="1" x14ac:dyDescent="0.2">
      <c r="A29" s="444" t="s">
        <v>359</v>
      </c>
      <c r="B29" s="464" t="s">
        <v>360</v>
      </c>
      <c r="C29" s="464" t="s">
        <v>347</v>
      </c>
      <c r="D29" s="464" t="s">
        <v>354</v>
      </c>
      <c r="E29" s="464" t="s">
        <v>361</v>
      </c>
      <c r="F29" s="464" t="s">
        <v>368</v>
      </c>
      <c r="G29" s="464" t="s">
        <v>369</v>
      </c>
      <c r="H29" s="445"/>
      <c r="I29" s="445"/>
      <c r="J29" s="464"/>
      <c r="K29" s="464"/>
      <c r="L29" s="445"/>
      <c r="M29" s="445"/>
      <c r="N29" s="464"/>
      <c r="O29" s="464"/>
      <c r="P29" s="445">
        <v>3</v>
      </c>
      <c r="Q29" s="445">
        <v>100</v>
      </c>
      <c r="R29" s="465"/>
      <c r="S29" s="466">
        <v>33.333333333333336</v>
      </c>
    </row>
    <row r="30" spans="1:19" ht="14.45" customHeight="1" x14ac:dyDescent="0.2">
      <c r="A30" s="444" t="s">
        <v>359</v>
      </c>
      <c r="B30" s="464" t="s">
        <v>360</v>
      </c>
      <c r="C30" s="464" t="s">
        <v>347</v>
      </c>
      <c r="D30" s="464" t="s">
        <v>354</v>
      </c>
      <c r="E30" s="464" t="s">
        <v>361</v>
      </c>
      <c r="F30" s="464" t="s">
        <v>370</v>
      </c>
      <c r="G30" s="464" t="s">
        <v>371</v>
      </c>
      <c r="H30" s="445"/>
      <c r="I30" s="445"/>
      <c r="J30" s="464"/>
      <c r="K30" s="464"/>
      <c r="L30" s="445"/>
      <c r="M30" s="445"/>
      <c r="N30" s="464"/>
      <c r="O30" s="464"/>
      <c r="P30" s="445">
        <v>6</v>
      </c>
      <c r="Q30" s="445">
        <v>2262</v>
      </c>
      <c r="R30" s="465"/>
      <c r="S30" s="466">
        <v>377</v>
      </c>
    </row>
    <row r="31" spans="1:19" ht="14.45" customHeight="1" x14ac:dyDescent="0.2">
      <c r="A31" s="444" t="s">
        <v>359</v>
      </c>
      <c r="B31" s="464" t="s">
        <v>360</v>
      </c>
      <c r="C31" s="464" t="s">
        <v>347</v>
      </c>
      <c r="D31" s="464" t="s">
        <v>356</v>
      </c>
      <c r="E31" s="464" t="s">
        <v>361</v>
      </c>
      <c r="F31" s="464" t="s">
        <v>366</v>
      </c>
      <c r="G31" s="464" t="s">
        <v>367</v>
      </c>
      <c r="H31" s="445"/>
      <c r="I31" s="445"/>
      <c r="J31" s="464"/>
      <c r="K31" s="464"/>
      <c r="L31" s="445"/>
      <c r="M31" s="445"/>
      <c r="N31" s="464"/>
      <c r="O31" s="464"/>
      <c r="P31" s="445">
        <v>144</v>
      </c>
      <c r="Q31" s="445">
        <v>80352</v>
      </c>
      <c r="R31" s="465"/>
      <c r="S31" s="466">
        <v>558</v>
      </c>
    </row>
    <row r="32" spans="1:19" ht="14.45" customHeight="1" x14ac:dyDescent="0.2">
      <c r="A32" s="444" t="s">
        <v>359</v>
      </c>
      <c r="B32" s="464" t="s">
        <v>360</v>
      </c>
      <c r="C32" s="464" t="s">
        <v>347</v>
      </c>
      <c r="D32" s="464" t="s">
        <v>356</v>
      </c>
      <c r="E32" s="464" t="s">
        <v>361</v>
      </c>
      <c r="F32" s="464" t="s">
        <v>368</v>
      </c>
      <c r="G32" s="464" t="s">
        <v>369</v>
      </c>
      <c r="H32" s="445"/>
      <c r="I32" s="445"/>
      <c r="J32" s="464"/>
      <c r="K32" s="464"/>
      <c r="L32" s="445"/>
      <c r="M32" s="445"/>
      <c r="N32" s="464"/>
      <c r="O32" s="464"/>
      <c r="P32" s="445">
        <v>3</v>
      </c>
      <c r="Q32" s="445">
        <v>100</v>
      </c>
      <c r="R32" s="465"/>
      <c r="S32" s="466">
        <v>33.333333333333336</v>
      </c>
    </row>
    <row r="33" spans="1:19" ht="14.45" customHeight="1" x14ac:dyDescent="0.2">
      <c r="A33" s="444" t="s">
        <v>359</v>
      </c>
      <c r="B33" s="464" t="s">
        <v>360</v>
      </c>
      <c r="C33" s="464" t="s">
        <v>347</v>
      </c>
      <c r="D33" s="464" t="s">
        <v>356</v>
      </c>
      <c r="E33" s="464" t="s">
        <v>361</v>
      </c>
      <c r="F33" s="464" t="s">
        <v>370</v>
      </c>
      <c r="G33" s="464" t="s">
        <v>371</v>
      </c>
      <c r="H33" s="445"/>
      <c r="I33" s="445"/>
      <c r="J33" s="464"/>
      <c r="K33" s="464"/>
      <c r="L33" s="445"/>
      <c r="M33" s="445"/>
      <c r="N33" s="464"/>
      <c r="O33" s="464"/>
      <c r="P33" s="445">
        <v>4</v>
      </c>
      <c r="Q33" s="445">
        <v>1508</v>
      </c>
      <c r="R33" s="465"/>
      <c r="S33" s="466">
        <v>377</v>
      </c>
    </row>
    <row r="34" spans="1:19" ht="14.45" customHeight="1" thickBot="1" x14ac:dyDescent="0.25">
      <c r="A34" s="448" t="s">
        <v>359</v>
      </c>
      <c r="B34" s="467" t="s">
        <v>360</v>
      </c>
      <c r="C34" s="467" t="s">
        <v>347</v>
      </c>
      <c r="D34" s="467" t="s">
        <v>356</v>
      </c>
      <c r="E34" s="467" t="s">
        <v>361</v>
      </c>
      <c r="F34" s="467" t="s">
        <v>374</v>
      </c>
      <c r="G34" s="467" t="s">
        <v>375</v>
      </c>
      <c r="H34" s="408"/>
      <c r="I34" s="408"/>
      <c r="J34" s="467"/>
      <c r="K34" s="467"/>
      <c r="L34" s="408"/>
      <c r="M34" s="408"/>
      <c r="N34" s="467"/>
      <c r="O34" s="467"/>
      <c r="P34" s="408">
        <v>1</v>
      </c>
      <c r="Q34" s="408">
        <v>285</v>
      </c>
      <c r="R34" s="409"/>
      <c r="S34" s="418">
        <v>285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83D71FE-EAC6-4E72-91DC-458789CC024E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6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6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6" customWidth="1"/>
    <col min="20" max="16384" width="8.85546875" style="101"/>
  </cols>
  <sheetData>
    <row r="1" spans="1:19" ht="18.600000000000001" customHeight="1" thickBot="1" x14ac:dyDescent="0.35">
      <c r="A1" s="287" t="s">
        <v>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5" customHeight="1" thickBot="1" x14ac:dyDescent="0.25">
      <c r="A2" s="190" t="s">
        <v>213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5" customHeight="1" thickBot="1" x14ac:dyDescent="0.25">
      <c r="A3" s="178" t="s">
        <v>96</v>
      </c>
      <c r="B3" s="179">
        <f>SUBTOTAL(9,B6:B1048576)</f>
        <v>489448.67</v>
      </c>
      <c r="C3" s="180">
        <f t="shared" ref="C3:R3" si="0">SUBTOTAL(9,C6:C1048576)</f>
        <v>4.0535885369629856</v>
      </c>
      <c r="D3" s="180">
        <f t="shared" si="0"/>
        <v>1233003.6499999999</v>
      </c>
      <c r="E3" s="180">
        <f t="shared" si="0"/>
        <v>13</v>
      </c>
      <c r="F3" s="180">
        <f t="shared" si="0"/>
        <v>1175125.2999999996</v>
      </c>
      <c r="G3" s="183">
        <f>IF(D3&lt;&gt;0,F3/D3,"")</f>
        <v>0.95305906028745302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IF(J3&lt;&gt;0,L3/J3,"")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IF(P3&lt;&gt;0,R3/P3,"")</f>
        <v/>
      </c>
    </row>
    <row r="4" spans="1:19" ht="14.45" customHeight="1" x14ac:dyDescent="0.2">
      <c r="A4" s="350" t="s">
        <v>79</v>
      </c>
      <c r="B4" s="351" t="s">
        <v>73</v>
      </c>
      <c r="C4" s="352"/>
      <c r="D4" s="352"/>
      <c r="E4" s="352"/>
      <c r="F4" s="352"/>
      <c r="G4" s="354"/>
      <c r="H4" s="351" t="s">
        <v>74</v>
      </c>
      <c r="I4" s="352"/>
      <c r="J4" s="352"/>
      <c r="K4" s="352"/>
      <c r="L4" s="352"/>
      <c r="M4" s="354"/>
      <c r="N4" s="351" t="s">
        <v>75</v>
      </c>
      <c r="O4" s="352"/>
      <c r="P4" s="352"/>
      <c r="Q4" s="352"/>
      <c r="R4" s="352"/>
      <c r="S4" s="354"/>
    </row>
    <row r="5" spans="1:19" ht="14.45" customHeight="1" thickBot="1" x14ac:dyDescent="0.25">
      <c r="A5" s="421"/>
      <c r="B5" s="422">
        <v>2015</v>
      </c>
      <c r="C5" s="423"/>
      <c r="D5" s="423">
        <v>2018</v>
      </c>
      <c r="E5" s="423"/>
      <c r="F5" s="423">
        <v>2019</v>
      </c>
      <c r="G5" s="469" t="s">
        <v>1</v>
      </c>
      <c r="H5" s="422">
        <v>2015</v>
      </c>
      <c r="I5" s="423"/>
      <c r="J5" s="423">
        <v>2018</v>
      </c>
      <c r="K5" s="423"/>
      <c r="L5" s="423">
        <v>2019</v>
      </c>
      <c r="M5" s="469" t="s">
        <v>1</v>
      </c>
      <c r="N5" s="422">
        <v>2015</v>
      </c>
      <c r="O5" s="423"/>
      <c r="P5" s="423">
        <v>2018</v>
      </c>
      <c r="Q5" s="423"/>
      <c r="R5" s="423">
        <v>2019</v>
      </c>
      <c r="S5" s="469" t="s">
        <v>1</v>
      </c>
    </row>
    <row r="6" spans="1:19" ht="14.45" customHeight="1" x14ac:dyDescent="0.2">
      <c r="A6" s="404" t="s">
        <v>378</v>
      </c>
      <c r="B6" s="442">
        <v>554</v>
      </c>
      <c r="C6" s="463">
        <v>4.4666612916229947E-2</v>
      </c>
      <c r="D6" s="442">
        <v>12403</v>
      </c>
      <c r="E6" s="463">
        <v>1</v>
      </c>
      <c r="F6" s="442">
        <v>13392</v>
      </c>
      <c r="G6" s="406">
        <v>1.0797387728775296</v>
      </c>
      <c r="H6" s="442"/>
      <c r="I6" s="463"/>
      <c r="J6" s="442"/>
      <c r="K6" s="463"/>
      <c r="L6" s="442"/>
      <c r="M6" s="406"/>
      <c r="N6" s="442"/>
      <c r="O6" s="463"/>
      <c r="P6" s="442"/>
      <c r="Q6" s="463"/>
      <c r="R6" s="442"/>
      <c r="S6" s="407"/>
    </row>
    <row r="7" spans="1:19" ht="14.45" customHeight="1" x14ac:dyDescent="0.2">
      <c r="A7" s="451" t="s">
        <v>379</v>
      </c>
      <c r="B7" s="446">
        <v>1108</v>
      </c>
      <c r="C7" s="464">
        <v>0.49909909909909911</v>
      </c>
      <c r="D7" s="446">
        <v>2220</v>
      </c>
      <c r="E7" s="464">
        <v>1</v>
      </c>
      <c r="F7" s="446">
        <v>2790</v>
      </c>
      <c r="G7" s="465">
        <v>1.2567567567567568</v>
      </c>
      <c r="H7" s="446"/>
      <c r="I7" s="464"/>
      <c r="J7" s="446"/>
      <c r="K7" s="464"/>
      <c r="L7" s="446"/>
      <c r="M7" s="465"/>
      <c r="N7" s="446"/>
      <c r="O7" s="464"/>
      <c r="P7" s="446"/>
      <c r="Q7" s="464"/>
      <c r="R7" s="446"/>
      <c r="S7" s="470"/>
    </row>
    <row r="8" spans="1:19" ht="14.45" customHeight="1" x14ac:dyDescent="0.2">
      <c r="A8" s="451" t="s">
        <v>380</v>
      </c>
      <c r="B8" s="446">
        <v>4817</v>
      </c>
      <c r="C8" s="464">
        <v>0.53976040778411372</v>
      </c>
      <c r="D8" s="446">
        <v>8924.33</v>
      </c>
      <c r="E8" s="464">
        <v>1</v>
      </c>
      <c r="F8" s="446">
        <v>13758.66</v>
      </c>
      <c r="G8" s="465">
        <v>1.5417022902559632</v>
      </c>
      <c r="H8" s="446"/>
      <c r="I8" s="464"/>
      <c r="J8" s="446"/>
      <c r="K8" s="464"/>
      <c r="L8" s="446"/>
      <c r="M8" s="465"/>
      <c r="N8" s="446"/>
      <c r="O8" s="464"/>
      <c r="P8" s="446"/>
      <c r="Q8" s="464"/>
      <c r="R8" s="446"/>
      <c r="S8" s="470"/>
    </row>
    <row r="9" spans="1:19" ht="14.45" customHeight="1" x14ac:dyDescent="0.2">
      <c r="A9" s="451" t="s">
        <v>381</v>
      </c>
      <c r="B9" s="446">
        <v>554</v>
      </c>
      <c r="C9" s="464">
        <v>0.99819819819819822</v>
      </c>
      <c r="D9" s="446">
        <v>555</v>
      </c>
      <c r="E9" s="464">
        <v>1</v>
      </c>
      <c r="F9" s="446">
        <v>558</v>
      </c>
      <c r="G9" s="465">
        <v>1.0054054054054054</v>
      </c>
      <c r="H9" s="446"/>
      <c r="I9" s="464"/>
      <c r="J9" s="446"/>
      <c r="K9" s="464"/>
      <c r="L9" s="446"/>
      <c r="M9" s="465"/>
      <c r="N9" s="446"/>
      <c r="O9" s="464"/>
      <c r="P9" s="446"/>
      <c r="Q9" s="464"/>
      <c r="R9" s="446"/>
      <c r="S9" s="470"/>
    </row>
    <row r="10" spans="1:19" ht="14.45" customHeight="1" x14ac:dyDescent="0.2">
      <c r="A10" s="451" t="s">
        <v>382</v>
      </c>
      <c r="B10" s="446">
        <v>13782</v>
      </c>
      <c r="C10" s="464">
        <v>0.76677422944252804</v>
      </c>
      <c r="D10" s="446">
        <v>17974</v>
      </c>
      <c r="E10" s="464">
        <v>1</v>
      </c>
      <c r="F10" s="446">
        <v>25366.33</v>
      </c>
      <c r="G10" s="465">
        <v>1.411279069767442</v>
      </c>
      <c r="H10" s="446"/>
      <c r="I10" s="464"/>
      <c r="J10" s="446"/>
      <c r="K10" s="464"/>
      <c r="L10" s="446"/>
      <c r="M10" s="465"/>
      <c r="N10" s="446"/>
      <c r="O10" s="464"/>
      <c r="P10" s="446"/>
      <c r="Q10" s="464"/>
      <c r="R10" s="446"/>
      <c r="S10" s="470"/>
    </row>
    <row r="11" spans="1:19" ht="14.45" customHeight="1" x14ac:dyDescent="0.2">
      <c r="A11" s="451" t="s">
        <v>383</v>
      </c>
      <c r="B11" s="446"/>
      <c r="C11" s="464"/>
      <c r="D11" s="446">
        <v>555</v>
      </c>
      <c r="E11" s="464">
        <v>1</v>
      </c>
      <c r="F11" s="446">
        <v>17812.330000000002</v>
      </c>
      <c r="G11" s="465">
        <v>32.09428828828829</v>
      </c>
      <c r="H11" s="446"/>
      <c r="I11" s="464"/>
      <c r="J11" s="446"/>
      <c r="K11" s="464"/>
      <c r="L11" s="446"/>
      <c r="M11" s="465"/>
      <c r="N11" s="446"/>
      <c r="O11" s="464"/>
      <c r="P11" s="446"/>
      <c r="Q11" s="464"/>
      <c r="R11" s="446"/>
      <c r="S11" s="470"/>
    </row>
    <row r="12" spans="1:19" ht="14.45" customHeight="1" x14ac:dyDescent="0.2">
      <c r="A12" s="451" t="s">
        <v>384</v>
      </c>
      <c r="B12" s="446"/>
      <c r="C12" s="464"/>
      <c r="D12" s="446">
        <v>432</v>
      </c>
      <c r="E12" s="464">
        <v>1</v>
      </c>
      <c r="F12" s="446"/>
      <c r="G12" s="465"/>
      <c r="H12" s="446"/>
      <c r="I12" s="464"/>
      <c r="J12" s="446"/>
      <c r="K12" s="464"/>
      <c r="L12" s="446"/>
      <c r="M12" s="465"/>
      <c r="N12" s="446"/>
      <c r="O12" s="464"/>
      <c r="P12" s="446"/>
      <c r="Q12" s="464"/>
      <c r="R12" s="446"/>
      <c r="S12" s="470"/>
    </row>
    <row r="13" spans="1:19" ht="14.45" customHeight="1" x14ac:dyDescent="0.2">
      <c r="A13" s="451" t="s">
        <v>385</v>
      </c>
      <c r="B13" s="446"/>
      <c r="C13" s="464"/>
      <c r="D13" s="446"/>
      <c r="E13" s="464"/>
      <c r="F13" s="446">
        <v>558</v>
      </c>
      <c r="G13" s="465"/>
      <c r="H13" s="446"/>
      <c r="I13" s="464"/>
      <c r="J13" s="446"/>
      <c r="K13" s="464"/>
      <c r="L13" s="446"/>
      <c r="M13" s="465"/>
      <c r="N13" s="446"/>
      <c r="O13" s="464"/>
      <c r="P13" s="446"/>
      <c r="Q13" s="464"/>
      <c r="R13" s="446"/>
      <c r="S13" s="470"/>
    </row>
    <row r="14" spans="1:19" ht="14.45" customHeight="1" x14ac:dyDescent="0.2">
      <c r="A14" s="451" t="s">
        <v>386</v>
      </c>
      <c r="B14" s="446"/>
      <c r="C14" s="464"/>
      <c r="D14" s="446">
        <v>3091.33</v>
      </c>
      <c r="E14" s="464">
        <v>1</v>
      </c>
      <c r="F14" s="446">
        <v>2232</v>
      </c>
      <c r="G14" s="465">
        <v>0.72201932501544641</v>
      </c>
      <c r="H14" s="446"/>
      <c r="I14" s="464"/>
      <c r="J14" s="446"/>
      <c r="K14" s="464"/>
      <c r="L14" s="446"/>
      <c r="M14" s="465"/>
      <c r="N14" s="446"/>
      <c r="O14" s="464"/>
      <c r="P14" s="446"/>
      <c r="Q14" s="464"/>
      <c r="R14" s="446"/>
      <c r="S14" s="470"/>
    </row>
    <row r="15" spans="1:19" ht="14.45" customHeight="1" x14ac:dyDescent="0.2">
      <c r="A15" s="451" t="s">
        <v>387</v>
      </c>
      <c r="B15" s="446">
        <v>259602.34</v>
      </c>
      <c r="C15" s="464">
        <v>0.48028081151703006</v>
      </c>
      <c r="D15" s="446">
        <v>540521.99</v>
      </c>
      <c r="E15" s="464">
        <v>1</v>
      </c>
      <c r="F15" s="446">
        <v>666320.98999999987</v>
      </c>
      <c r="G15" s="465">
        <v>1.2327361371551226</v>
      </c>
      <c r="H15" s="446"/>
      <c r="I15" s="464"/>
      <c r="J15" s="446"/>
      <c r="K15" s="464"/>
      <c r="L15" s="446"/>
      <c r="M15" s="465"/>
      <c r="N15" s="446"/>
      <c r="O15" s="464"/>
      <c r="P15" s="446"/>
      <c r="Q15" s="464"/>
      <c r="R15" s="446"/>
      <c r="S15" s="470"/>
    </row>
    <row r="16" spans="1:19" ht="14.45" customHeight="1" x14ac:dyDescent="0.2">
      <c r="A16" s="451" t="s">
        <v>388</v>
      </c>
      <c r="B16" s="446"/>
      <c r="C16" s="464"/>
      <c r="D16" s="446">
        <v>7034</v>
      </c>
      <c r="E16" s="464">
        <v>1</v>
      </c>
      <c r="F16" s="446">
        <v>558</v>
      </c>
      <c r="G16" s="465">
        <v>7.9328973557008811E-2</v>
      </c>
      <c r="H16" s="446"/>
      <c r="I16" s="464"/>
      <c r="J16" s="446"/>
      <c r="K16" s="464"/>
      <c r="L16" s="446"/>
      <c r="M16" s="465"/>
      <c r="N16" s="446"/>
      <c r="O16" s="464"/>
      <c r="P16" s="446"/>
      <c r="Q16" s="464"/>
      <c r="R16" s="446"/>
      <c r="S16" s="470"/>
    </row>
    <row r="17" spans="1:19" ht="14.45" customHeight="1" x14ac:dyDescent="0.2">
      <c r="A17" s="451" t="s">
        <v>389</v>
      </c>
      <c r="B17" s="446">
        <v>145480.33000000002</v>
      </c>
      <c r="C17" s="464">
        <v>0.29916844809063908</v>
      </c>
      <c r="D17" s="446">
        <v>486282.33</v>
      </c>
      <c r="E17" s="464">
        <v>1</v>
      </c>
      <c r="F17" s="446">
        <v>351149.32999999996</v>
      </c>
      <c r="G17" s="465">
        <v>0.72210999318029911</v>
      </c>
      <c r="H17" s="446"/>
      <c r="I17" s="464"/>
      <c r="J17" s="446"/>
      <c r="K17" s="464"/>
      <c r="L17" s="446"/>
      <c r="M17" s="465"/>
      <c r="N17" s="446"/>
      <c r="O17" s="464"/>
      <c r="P17" s="446"/>
      <c r="Q17" s="464"/>
      <c r="R17" s="446"/>
      <c r="S17" s="470"/>
    </row>
    <row r="18" spans="1:19" ht="14.45" customHeight="1" x14ac:dyDescent="0.2">
      <c r="A18" s="451" t="s">
        <v>390</v>
      </c>
      <c r="B18" s="446">
        <v>63551</v>
      </c>
      <c r="C18" s="464">
        <v>0.42564072991514718</v>
      </c>
      <c r="D18" s="446">
        <v>149306.66999999998</v>
      </c>
      <c r="E18" s="464">
        <v>1</v>
      </c>
      <c r="F18" s="446">
        <v>64251.66</v>
      </c>
      <c r="G18" s="465">
        <v>0.43033348744567146</v>
      </c>
      <c r="H18" s="446"/>
      <c r="I18" s="464"/>
      <c r="J18" s="446"/>
      <c r="K18" s="464"/>
      <c r="L18" s="446"/>
      <c r="M18" s="465"/>
      <c r="N18" s="446"/>
      <c r="O18" s="464"/>
      <c r="P18" s="446"/>
      <c r="Q18" s="464"/>
      <c r="R18" s="446"/>
      <c r="S18" s="470"/>
    </row>
    <row r="19" spans="1:19" ht="14.45" customHeight="1" x14ac:dyDescent="0.2">
      <c r="A19" s="451" t="s">
        <v>391</v>
      </c>
      <c r="B19" s="446"/>
      <c r="C19" s="464"/>
      <c r="D19" s="446"/>
      <c r="E19" s="464"/>
      <c r="F19" s="446">
        <v>1493</v>
      </c>
      <c r="G19" s="465"/>
      <c r="H19" s="446"/>
      <c r="I19" s="464"/>
      <c r="J19" s="446"/>
      <c r="K19" s="464"/>
      <c r="L19" s="446"/>
      <c r="M19" s="465"/>
      <c r="N19" s="446"/>
      <c r="O19" s="464"/>
      <c r="P19" s="446"/>
      <c r="Q19" s="464"/>
      <c r="R19" s="446"/>
      <c r="S19" s="470"/>
    </row>
    <row r="20" spans="1:19" ht="14.45" customHeight="1" x14ac:dyDescent="0.2">
      <c r="A20" s="451" t="s">
        <v>392</v>
      </c>
      <c r="B20" s="446"/>
      <c r="C20" s="464"/>
      <c r="D20" s="446"/>
      <c r="E20" s="464"/>
      <c r="F20" s="446">
        <v>14885</v>
      </c>
      <c r="G20" s="465"/>
      <c r="H20" s="446"/>
      <c r="I20" s="464"/>
      <c r="J20" s="446"/>
      <c r="K20" s="464"/>
      <c r="L20" s="446"/>
      <c r="M20" s="465"/>
      <c r="N20" s="446"/>
      <c r="O20" s="464"/>
      <c r="P20" s="446"/>
      <c r="Q20" s="464"/>
      <c r="R20" s="446"/>
      <c r="S20" s="470"/>
    </row>
    <row r="21" spans="1:19" ht="14.45" customHeight="1" thickBot="1" x14ac:dyDescent="0.25">
      <c r="A21" s="452" t="s">
        <v>393</v>
      </c>
      <c r="B21" s="449"/>
      <c r="C21" s="467"/>
      <c r="D21" s="449">
        <v>3704</v>
      </c>
      <c r="E21" s="467">
        <v>1</v>
      </c>
      <c r="F21" s="449"/>
      <c r="G21" s="409"/>
      <c r="H21" s="449"/>
      <c r="I21" s="467"/>
      <c r="J21" s="449"/>
      <c r="K21" s="467"/>
      <c r="L21" s="449"/>
      <c r="M21" s="409"/>
      <c r="N21" s="449"/>
      <c r="O21" s="467"/>
      <c r="P21" s="449"/>
      <c r="Q21" s="467"/>
      <c r="R21" s="449"/>
      <c r="S21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81D436E-0FFC-4B53-AFD2-CB67485E202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5" hidden="1" customWidth="1" outlineLevel="1"/>
    <col min="8" max="9" width="9.28515625" style="175" hidden="1" customWidth="1"/>
    <col min="10" max="11" width="11.140625" style="175" customWidth="1"/>
    <col min="12" max="13" width="9.28515625" style="175" hidden="1" customWidth="1"/>
    <col min="14" max="15" width="11.140625" style="175" customWidth="1"/>
    <col min="16" max="16" width="11.140625" style="176" customWidth="1"/>
    <col min="17" max="17" width="11.140625" style="175" customWidth="1"/>
    <col min="18" max="16384" width="8.85546875" style="101"/>
  </cols>
  <sheetData>
    <row r="1" spans="1:17" ht="18.600000000000001" customHeight="1" thickBot="1" x14ac:dyDescent="0.35">
      <c r="A1" s="275" t="s">
        <v>411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5" customHeight="1" thickBot="1" x14ac:dyDescent="0.25">
      <c r="A2" s="190" t="s">
        <v>213</v>
      </c>
      <c r="B2" s="102"/>
      <c r="C2" s="102"/>
      <c r="D2" s="102"/>
      <c r="E2" s="102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5" customHeight="1" thickBot="1" x14ac:dyDescent="0.25">
      <c r="E3" s="62" t="s">
        <v>96</v>
      </c>
      <c r="F3" s="74">
        <f t="shared" ref="F3:O3" si="0">SUBTOTAL(9,F6:F1048576)</f>
        <v>968</v>
      </c>
      <c r="G3" s="75">
        <f t="shared" si="0"/>
        <v>489448.67</v>
      </c>
      <c r="H3" s="75"/>
      <c r="I3" s="75"/>
      <c r="J3" s="75">
        <f t="shared" si="0"/>
        <v>2402</v>
      </c>
      <c r="K3" s="75">
        <f t="shared" si="0"/>
        <v>1233003.6499999999</v>
      </c>
      <c r="L3" s="75"/>
      <c r="M3" s="75"/>
      <c r="N3" s="75">
        <f t="shared" si="0"/>
        <v>2228</v>
      </c>
      <c r="O3" s="75">
        <f t="shared" si="0"/>
        <v>1175125.3</v>
      </c>
      <c r="P3" s="58">
        <f>IF(K3=0,0,O3/K3)</f>
        <v>0.95305906028745346</v>
      </c>
      <c r="Q3" s="76">
        <f>IF(N3=0,0,O3/N3)</f>
        <v>527.43505385996411</v>
      </c>
    </row>
    <row r="4" spans="1:17" ht="14.45" customHeight="1" x14ac:dyDescent="0.2">
      <c r="A4" s="359" t="s">
        <v>43</v>
      </c>
      <c r="B4" s="357" t="s">
        <v>69</v>
      </c>
      <c r="C4" s="359" t="s">
        <v>70</v>
      </c>
      <c r="D4" s="368" t="s">
        <v>71</v>
      </c>
      <c r="E4" s="360" t="s">
        <v>44</v>
      </c>
      <c r="F4" s="366">
        <v>2015</v>
      </c>
      <c r="G4" s="367"/>
      <c r="H4" s="77"/>
      <c r="I4" s="77"/>
      <c r="J4" s="366">
        <v>2018</v>
      </c>
      <c r="K4" s="367"/>
      <c r="L4" s="77"/>
      <c r="M4" s="77"/>
      <c r="N4" s="366">
        <v>2019</v>
      </c>
      <c r="O4" s="367"/>
      <c r="P4" s="369" t="s">
        <v>1</v>
      </c>
      <c r="Q4" s="358" t="s">
        <v>72</v>
      </c>
    </row>
    <row r="5" spans="1:17" ht="14.45" customHeight="1" thickBot="1" x14ac:dyDescent="0.25">
      <c r="A5" s="455"/>
      <c r="B5" s="453"/>
      <c r="C5" s="455"/>
      <c r="D5" s="471"/>
      <c r="E5" s="457"/>
      <c r="F5" s="472" t="s">
        <v>46</v>
      </c>
      <c r="G5" s="473" t="s">
        <v>3</v>
      </c>
      <c r="H5" s="474"/>
      <c r="I5" s="474"/>
      <c r="J5" s="472" t="s">
        <v>46</v>
      </c>
      <c r="K5" s="473" t="s">
        <v>3</v>
      </c>
      <c r="L5" s="474"/>
      <c r="M5" s="474"/>
      <c r="N5" s="472" t="s">
        <v>46</v>
      </c>
      <c r="O5" s="473" t="s">
        <v>3</v>
      </c>
      <c r="P5" s="475"/>
      <c r="Q5" s="462"/>
    </row>
    <row r="6" spans="1:17" ht="14.45" customHeight="1" x14ac:dyDescent="0.2">
      <c r="A6" s="441" t="s">
        <v>394</v>
      </c>
      <c r="B6" s="463" t="s">
        <v>360</v>
      </c>
      <c r="C6" s="463" t="s">
        <v>361</v>
      </c>
      <c r="D6" s="463" t="s">
        <v>366</v>
      </c>
      <c r="E6" s="463" t="s">
        <v>367</v>
      </c>
      <c r="F6" s="405">
        <v>1</v>
      </c>
      <c r="G6" s="405">
        <v>554</v>
      </c>
      <c r="H6" s="405">
        <v>4.753324753324753E-2</v>
      </c>
      <c r="I6" s="405">
        <v>554</v>
      </c>
      <c r="J6" s="405">
        <v>21</v>
      </c>
      <c r="K6" s="405">
        <v>11655</v>
      </c>
      <c r="L6" s="405">
        <v>1</v>
      </c>
      <c r="M6" s="405">
        <v>555</v>
      </c>
      <c r="N6" s="405">
        <v>24</v>
      </c>
      <c r="O6" s="405">
        <v>13392</v>
      </c>
      <c r="P6" s="406">
        <v>1.149034749034749</v>
      </c>
      <c r="Q6" s="417">
        <v>558</v>
      </c>
    </row>
    <row r="7" spans="1:17" ht="14.45" customHeight="1" x14ac:dyDescent="0.2">
      <c r="A7" s="444" t="s">
        <v>394</v>
      </c>
      <c r="B7" s="464" t="s">
        <v>360</v>
      </c>
      <c r="C7" s="464" t="s">
        <v>361</v>
      </c>
      <c r="D7" s="464" t="s">
        <v>368</v>
      </c>
      <c r="E7" s="464" t="s">
        <v>369</v>
      </c>
      <c r="F7" s="445"/>
      <c r="G7" s="445"/>
      <c r="H7" s="445"/>
      <c r="I7" s="445"/>
      <c r="J7" s="445">
        <v>0</v>
      </c>
      <c r="K7" s="445">
        <v>0</v>
      </c>
      <c r="L7" s="445"/>
      <c r="M7" s="445"/>
      <c r="N7" s="445"/>
      <c r="O7" s="445"/>
      <c r="P7" s="465"/>
      <c r="Q7" s="466"/>
    </row>
    <row r="8" spans="1:17" ht="14.45" customHeight="1" x14ac:dyDescent="0.2">
      <c r="A8" s="444" t="s">
        <v>394</v>
      </c>
      <c r="B8" s="464" t="s">
        <v>360</v>
      </c>
      <c r="C8" s="464" t="s">
        <v>361</v>
      </c>
      <c r="D8" s="464" t="s">
        <v>370</v>
      </c>
      <c r="E8" s="464" t="s">
        <v>371</v>
      </c>
      <c r="F8" s="445"/>
      <c r="G8" s="445"/>
      <c r="H8" s="445"/>
      <c r="I8" s="445"/>
      <c r="J8" s="445">
        <v>2</v>
      </c>
      <c r="K8" s="445">
        <v>748</v>
      </c>
      <c r="L8" s="445">
        <v>1</v>
      </c>
      <c r="M8" s="445">
        <v>374</v>
      </c>
      <c r="N8" s="445"/>
      <c r="O8" s="445"/>
      <c r="P8" s="465"/>
      <c r="Q8" s="466"/>
    </row>
    <row r="9" spans="1:17" ht="14.45" customHeight="1" x14ac:dyDescent="0.2">
      <c r="A9" s="444" t="s">
        <v>395</v>
      </c>
      <c r="B9" s="464" t="s">
        <v>360</v>
      </c>
      <c r="C9" s="464" t="s">
        <v>361</v>
      </c>
      <c r="D9" s="464" t="s">
        <v>366</v>
      </c>
      <c r="E9" s="464" t="s">
        <v>367</v>
      </c>
      <c r="F9" s="445">
        <v>2</v>
      </c>
      <c r="G9" s="445">
        <v>1108</v>
      </c>
      <c r="H9" s="445">
        <v>0.49909909909909911</v>
      </c>
      <c r="I9" s="445">
        <v>554</v>
      </c>
      <c r="J9" s="445">
        <v>4</v>
      </c>
      <c r="K9" s="445">
        <v>2220</v>
      </c>
      <c r="L9" s="445">
        <v>1</v>
      </c>
      <c r="M9" s="445">
        <v>555</v>
      </c>
      <c r="N9" s="445">
        <v>5</v>
      </c>
      <c r="O9" s="445">
        <v>2790</v>
      </c>
      <c r="P9" s="465">
        <v>1.2567567567567568</v>
      </c>
      <c r="Q9" s="466">
        <v>558</v>
      </c>
    </row>
    <row r="10" spans="1:17" ht="14.45" customHeight="1" x14ac:dyDescent="0.2">
      <c r="A10" s="444" t="s">
        <v>396</v>
      </c>
      <c r="B10" s="464" t="s">
        <v>360</v>
      </c>
      <c r="C10" s="464" t="s">
        <v>361</v>
      </c>
      <c r="D10" s="464" t="s">
        <v>366</v>
      </c>
      <c r="E10" s="464" t="s">
        <v>367</v>
      </c>
      <c r="F10" s="445">
        <v>7</v>
      </c>
      <c r="G10" s="445">
        <v>3878</v>
      </c>
      <c r="H10" s="445">
        <v>0.46582582582582582</v>
      </c>
      <c r="I10" s="445">
        <v>554</v>
      </c>
      <c r="J10" s="445">
        <v>15</v>
      </c>
      <c r="K10" s="445">
        <v>8325</v>
      </c>
      <c r="L10" s="445">
        <v>1</v>
      </c>
      <c r="M10" s="445">
        <v>555</v>
      </c>
      <c r="N10" s="445">
        <v>22</v>
      </c>
      <c r="O10" s="445">
        <v>12276</v>
      </c>
      <c r="P10" s="465">
        <v>1.4745945945945946</v>
      </c>
      <c r="Q10" s="466">
        <v>558</v>
      </c>
    </row>
    <row r="11" spans="1:17" ht="14.45" customHeight="1" x14ac:dyDescent="0.2">
      <c r="A11" s="444" t="s">
        <v>396</v>
      </c>
      <c r="B11" s="464" t="s">
        <v>360</v>
      </c>
      <c r="C11" s="464" t="s">
        <v>361</v>
      </c>
      <c r="D11" s="464" t="s">
        <v>368</v>
      </c>
      <c r="E11" s="464" t="s">
        <v>369</v>
      </c>
      <c r="F11" s="445"/>
      <c r="G11" s="445"/>
      <c r="H11" s="445"/>
      <c r="I11" s="445"/>
      <c r="J11" s="445">
        <v>1</v>
      </c>
      <c r="K11" s="445">
        <v>33.33</v>
      </c>
      <c r="L11" s="445">
        <v>1</v>
      </c>
      <c r="M11" s="445">
        <v>33.33</v>
      </c>
      <c r="N11" s="445">
        <v>2</v>
      </c>
      <c r="O11" s="445">
        <v>66.66</v>
      </c>
      <c r="P11" s="465">
        <v>2</v>
      </c>
      <c r="Q11" s="466">
        <v>33.33</v>
      </c>
    </row>
    <row r="12" spans="1:17" ht="14.45" customHeight="1" x14ac:dyDescent="0.2">
      <c r="A12" s="444" t="s">
        <v>396</v>
      </c>
      <c r="B12" s="464" t="s">
        <v>360</v>
      </c>
      <c r="C12" s="464" t="s">
        <v>361</v>
      </c>
      <c r="D12" s="464" t="s">
        <v>370</v>
      </c>
      <c r="E12" s="464" t="s">
        <v>371</v>
      </c>
      <c r="F12" s="445">
        <v>1</v>
      </c>
      <c r="G12" s="445">
        <v>373</v>
      </c>
      <c r="H12" s="445"/>
      <c r="I12" s="445">
        <v>373</v>
      </c>
      <c r="J12" s="445"/>
      <c r="K12" s="445"/>
      <c r="L12" s="445"/>
      <c r="M12" s="445"/>
      <c r="N12" s="445">
        <v>3</v>
      </c>
      <c r="O12" s="445">
        <v>1131</v>
      </c>
      <c r="P12" s="465"/>
      <c r="Q12" s="466">
        <v>377</v>
      </c>
    </row>
    <row r="13" spans="1:17" ht="14.45" customHeight="1" x14ac:dyDescent="0.2">
      <c r="A13" s="444" t="s">
        <v>396</v>
      </c>
      <c r="B13" s="464" t="s">
        <v>360</v>
      </c>
      <c r="C13" s="464" t="s">
        <v>361</v>
      </c>
      <c r="D13" s="464" t="s">
        <v>374</v>
      </c>
      <c r="E13" s="464" t="s">
        <v>375</v>
      </c>
      <c r="F13" s="445">
        <v>2</v>
      </c>
      <c r="G13" s="445">
        <v>566</v>
      </c>
      <c r="H13" s="445">
        <v>1</v>
      </c>
      <c r="I13" s="445">
        <v>283</v>
      </c>
      <c r="J13" s="445">
        <v>2</v>
      </c>
      <c r="K13" s="445">
        <v>566</v>
      </c>
      <c r="L13" s="445">
        <v>1</v>
      </c>
      <c r="M13" s="445">
        <v>283</v>
      </c>
      <c r="N13" s="445">
        <v>1</v>
      </c>
      <c r="O13" s="445">
        <v>285</v>
      </c>
      <c r="P13" s="465">
        <v>0.50353356890459366</v>
      </c>
      <c r="Q13" s="466">
        <v>285</v>
      </c>
    </row>
    <row r="14" spans="1:17" ht="14.45" customHeight="1" x14ac:dyDescent="0.2">
      <c r="A14" s="444" t="s">
        <v>397</v>
      </c>
      <c r="B14" s="464" t="s">
        <v>360</v>
      </c>
      <c r="C14" s="464" t="s">
        <v>361</v>
      </c>
      <c r="D14" s="464" t="s">
        <v>366</v>
      </c>
      <c r="E14" s="464" t="s">
        <v>367</v>
      </c>
      <c r="F14" s="445">
        <v>1</v>
      </c>
      <c r="G14" s="445">
        <v>554</v>
      </c>
      <c r="H14" s="445">
        <v>0.99819819819819822</v>
      </c>
      <c r="I14" s="445">
        <v>554</v>
      </c>
      <c r="J14" s="445">
        <v>1</v>
      </c>
      <c r="K14" s="445">
        <v>555</v>
      </c>
      <c r="L14" s="445">
        <v>1</v>
      </c>
      <c r="M14" s="445">
        <v>555</v>
      </c>
      <c r="N14" s="445">
        <v>1</v>
      </c>
      <c r="O14" s="445">
        <v>558</v>
      </c>
      <c r="P14" s="465">
        <v>1.0054054054054054</v>
      </c>
      <c r="Q14" s="466">
        <v>558</v>
      </c>
    </row>
    <row r="15" spans="1:17" ht="14.45" customHeight="1" x14ac:dyDescent="0.2">
      <c r="A15" s="444" t="s">
        <v>359</v>
      </c>
      <c r="B15" s="464" t="s">
        <v>360</v>
      </c>
      <c r="C15" s="464" t="s">
        <v>361</v>
      </c>
      <c r="D15" s="464" t="s">
        <v>366</v>
      </c>
      <c r="E15" s="464" t="s">
        <v>367</v>
      </c>
      <c r="F15" s="445">
        <v>21</v>
      </c>
      <c r="G15" s="445">
        <v>11634</v>
      </c>
      <c r="H15" s="445">
        <v>0.72283317800559177</v>
      </c>
      <c r="I15" s="445">
        <v>554</v>
      </c>
      <c r="J15" s="445">
        <v>29</v>
      </c>
      <c r="K15" s="445">
        <v>16095</v>
      </c>
      <c r="L15" s="445">
        <v>1</v>
      </c>
      <c r="M15" s="445">
        <v>555</v>
      </c>
      <c r="N15" s="445">
        <v>41</v>
      </c>
      <c r="O15" s="445">
        <v>22878</v>
      </c>
      <c r="P15" s="465">
        <v>1.4214352283317802</v>
      </c>
      <c r="Q15" s="466">
        <v>558</v>
      </c>
    </row>
    <row r="16" spans="1:17" ht="14.45" customHeight="1" x14ac:dyDescent="0.2">
      <c r="A16" s="444" t="s">
        <v>359</v>
      </c>
      <c r="B16" s="464" t="s">
        <v>360</v>
      </c>
      <c r="C16" s="464" t="s">
        <v>361</v>
      </c>
      <c r="D16" s="464" t="s">
        <v>368</v>
      </c>
      <c r="E16" s="464" t="s">
        <v>369</v>
      </c>
      <c r="F16" s="445">
        <v>0</v>
      </c>
      <c r="G16" s="445">
        <v>0</v>
      </c>
      <c r="H16" s="445">
        <v>0</v>
      </c>
      <c r="I16" s="445"/>
      <c r="J16" s="445">
        <v>3</v>
      </c>
      <c r="K16" s="445">
        <v>100</v>
      </c>
      <c r="L16" s="445">
        <v>1</v>
      </c>
      <c r="M16" s="445">
        <v>33.333333333333336</v>
      </c>
      <c r="N16" s="445">
        <v>1</v>
      </c>
      <c r="O16" s="445">
        <v>33.33</v>
      </c>
      <c r="P16" s="465">
        <v>0.33329999999999999</v>
      </c>
      <c r="Q16" s="466">
        <v>33.33</v>
      </c>
    </row>
    <row r="17" spans="1:17" ht="14.45" customHeight="1" x14ac:dyDescent="0.2">
      <c r="A17" s="444" t="s">
        <v>359</v>
      </c>
      <c r="B17" s="464" t="s">
        <v>360</v>
      </c>
      <c r="C17" s="464" t="s">
        <v>361</v>
      </c>
      <c r="D17" s="464" t="s">
        <v>370</v>
      </c>
      <c r="E17" s="464" t="s">
        <v>371</v>
      </c>
      <c r="F17" s="445">
        <v>5</v>
      </c>
      <c r="G17" s="445">
        <v>1865</v>
      </c>
      <c r="H17" s="445">
        <v>1.2466577540106951</v>
      </c>
      <c r="I17" s="445">
        <v>373</v>
      </c>
      <c r="J17" s="445">
        <v>4</v>
      </c>
      <c r="K17" s="445">
        <v>1496</v>
      </c>
      <c r="L17" s="445">
        <v>1</v>
      </c>
      <c r="M17" s="445">
        <v>374</v>
      </c>
      <c r="N17" s="445">
        <v>5</v>
      </c>
      <c r="O17" s="445">
        <v>1885</v>
      </c>
      <c r="P17" s="465">
        <v>1.2600267379679144</v>
      </c>
      <c r="Q17" s="466">
        <v>377</v>
      </c>
    </row>
    <row r="18" spans="1:17" ht="14.45" customHeight="1" x14ac:dyDescent="0.2">
      <c r="A18" s="444" t="s">
        <v>359</v>
      </c>
      <c r="B18" s="464" t="s">
        <v>360</v>
      </c>
      <c r="C18" s="464" t="s">
        <v>361</v>
      </c>
      <c r="D18" s="464" t="s">
        <v>374</v>
      </c>
      <c r="E18" s="464" t="s">
        <v>375</v>
      </c>
      <c r="F18" s="445">
        <v>1</v>
      </c>
      <c r="G18" s="445">
        <v>283</v>
      </c>
      <c r="H18" s="445">
        <v>1</v>
      </c>
      <c r="I18" s="445">
        <v>283</v>
      </c>
      <c r="J18" s="445">
        <v>1</v>
      </c>
      <c r="K18" s="445">
        <v>283</v>
      </c>
      <c r="L18" s="445">
        <v>1</v>
      </c>
      <c r="M18" s="445">
        <v>283</v>
      </c>
      <c r="N18" s="445">
        <v>2</v>
      </c>
      <c r="O18" s="445">
        <v>570</v>
      </c>
      <c r="P18" s="465">
        <v>2.0141342756183747</v>
      </c>
      <c r="Q18" s="466">
        <v>285</v>
      </c>
    </row>
    <row r="19" spans="1:17" ht="14.45" customHeight="1" x14ac:dyDescent="0.2">
      <c r="A19" s="444" t="s">
        <v>398</v>
      </c>
      <c r="B19" s="464" t="s">
        <v>360</v>
      </c>
      <c r="C19" s="464" t="s">
        <v>361</v>
      </c>
      <c r="D19" s="464" t="s">
        <v>366</v>
      </c>
      <c r="E19" s="464" t="s">
        <v>367</v>
      </c>
      <c r="F19" s="445"/>
      <c r="G19" s="445"/>
      <c r="H19" s="445"/>
      <c r="I19" s="445"/>
      <c r="J19" s="445">
        <v>1</v>
      </c>
      <c r="K19" s="445">
        <v>555</v>
      </c>
      <c r="L19" s="445">
        <v>1</v>
      </c>
      <c r="M19" s="445">
        <v>555</v>
      </c>
      <c r="N19" s="445">
        <v>30</v>
      </c>
      <c r="O19" s="445">
        <v>16740</v>
      </c>
      <c r="P19" s="465">
        <v>30.162162162162161</v>
      </c>
      <c r="Q19" s="466">
        <v>558</v>
      </c>
    </row>
    <row r="20" spans="1:17" ht="14.45" customHeight="1" x14ac:dyDescent="0.2">
      <c r="A20" s="444" t="s">
        <v>398</v>
      </c>
      <c r="B20" s="464" t="s">
        <v>360</v>
      </c>
      <c r="C20" s="464" t="s">
        <v>361</v>
      </c>
      <c r="D20" s="464" t="s">
        <v>368</v>
      </c>
      <c r="E20" s="464" t="s">
        <v>369</v>
      </c>
      <c r="F20" s="445"/>
      <c r="G20" s="445"/>
      <c r="H20" s="445"/>
      <c r="I20" s="445"/>
      <c r="J20" s="445"/>
      <c r="K20" s="445"/>
      <c r="L20" s="445"/>
      <c r="M20" s="445"/>
      <c r="N20" s="445">
        <v>1</v>
      </c>
      <c r="O20" s="445">
        <v>33.33</v>
      </c>
      <c r="P20" s="465"/>
      <c r="Q20" s="466">
        <v>33.33</v>
      </c>
    </row>
    <row r="21" spans="1:17" ht="14.45" customHeight="1" x14ac:dyDescent="0.2">
      <c r="A21" s="444" t="s">
        <v>398</v>
      </c>
      <c r="B21" s="464" t="s">
        <v>360</v>
      </c>
      <c r="C21" s="464" t="s">
        <v>361</v>
      </c>
      <c r="D21" s="464" t="s">
        <v>370</v>
      </c>
      <c r="E21" s="464" t="s">
        <v>371</v>
      </c>
      <c r="F21" s="445"/>
      <c r="G21" s="445"/>
      <c r="H21" s="445"/>
      <c r="I21" s="445"/>
      <c r="J21" s="445"/>
      <c r="K21" s="445"/>
      <c r="L21" s="445"/>
      <c r="M21" s="445"/>
      <c r="N21" s="445">
        <v>2</v>
      </c>
      <c r="O21" s="445">
        <v>754</v>
      </c>
      <c r="P21" s="465"/>
      <c r="Q21" s="466">
        <v>377</v>
      </c>
    </row>
    <row r="22" spans="1:17" ht="14.45" customHeight="1" x14ac:dyDescent="0.2">
      <c r="A22" s="444" t="s">
        <v>398</v>
      </c>
      <c r="B22" s="464" t="s">
        <v>360</v>
      </c>
      <c r="C22" s="464" t="s">
        <v>361</v>
      </c>
      <c r="D22" s="464" t="s">
        <v>374</v>
      </c>
      <c r="E22" s="464" t="s">
        <v>375</v>
      </c>
      <c r="F22" s="445"/>
      <c r="G22" s="445"/>
      <c r="H22" s="445"/>
      <c r="I22" s="445"/>
      <c r="J22" s="445"/>
      <c r="K22" s="445"/>
      <c r="L22" s="445"/>
      <c r="M22" s="445"/>
      <c r="N22" s="445">
        <v>1</v>
      </c>
      <c r="O22" s="445">
        <v>285</v>
      </c>
      <c r="P22" s="465"/>
      <c r="Q22" s="466">
        <v>285</v>
      </c>
    </row>
    <row r="23" spans="1:17" ht="14.45" customHeight="1" x14ac:dyDescent="0.2">
      <c r="A23" s="444" t="s">
        <v>399</v>
      </c>
      <c r="B23" s="464" t="s">
        <v>360</v>
      </c>
      <c r="C23" s="464" t="s">
        <v>361</v>
      </c>
      <c r="D23" s="464" t="s">
        <v>372</v>
      </c>
      <c r="E23" s="464" t="s">
        <v>373</v>
      </c>
      <c r="F23" s="445"/>
      <c r="G23" s="445"/>
      <c r="H23" s="445"/>
      <c r="I23" s="445"/>
      <c r="J23" s="445">
        <v>1</v>
      </c>
      <c r="K23" s="445">
        <v>432</v>
      </c>
      <c r="L23" s="445">
        <v>1</v>
      </c>
      <c r="M23" s="445">
        <v>432</v>
      </c>
      <c r="N23" s="445"/>
      <c r="O23" s="445"/>
      <c r="P23" s="465"/>
      <c r="Q23" s="466"/>
    </row>
    <row r="24" spans="1:17" ht="14.45" customHeight="1" x14ac:dyDescent="0.2">
      <c r="A24" s="444" t="s">
        <v>400</v>
      </c>
      <c r="B24" s="464" t="s">
        <v>360</v>
      </c>
      <c r="C24" s="464" t="s">
        <v>361</v>
      </c>
      <c r="D24" s="464" t="s">
        <v>366</v>
      </c>
      <c r="E24" s="464" t="s">
        <v>367</v>
      </c>
      <c r="F24" s="445"/>
      <c r="G24" s="445"/>
      <c r="H24" s="445"/>
      <c r="I24" s="445"/>
      <c r="J24" s="445"/>
      <c r="K24" s="445"/>
      <c r="L24" s="445"/>
      <c r="M24" s="445"/>
      <c r="N24" s="445">
        <v>1</v>
      </c>
      <c r="O24" s="445">
        <v>558</v>
      </c>
      <c r="P24" s="465"/>
      <c r="Q24" s="466">
        <v>558</v>
      </c>
    </row>
    <row r="25" spans="1:17" ht="14.45" customHeight="1" x14ac:dyDescent="0.2">
      <c r="A25" s="444" t="s">
        <v>401</v>
      </c>
      <c r="B25" s="464" t="s">
        <v>360</v>
      </c>
      <c r="C25" s="464" t="s">
        <v>361</v>
      </c>
      <c r="D25" s="464" t="s">
        <v>366</v>
      </c>
      <c r="E25" s="464" t="s">
        <v>367</v>
      </c>
      <c r="F25" s="445"/>
      <c r="G25" s="445"/>
      <c r="H25" s="445"/>
      <c r="I25" s="445"/>
      <c r="J25" s="445">
        <v>5</v>
      </c>
      <c r="K25" s="445">
        <v>2775</v>
      </c>
      <c r="L25" s="445">
        <v>1</v>
      </c>
      <c r="M25" s="445">
        <v>555</v>
      </c>
      <c r="N25" s="445">
        <v>4</v>
      </c>
      <c r="O25" s="445">
        <v>2232</v>
      </c>
      <c r="P25" s="465">
        <v>0.80432432432432432</v>
      </c>
      <c r="Q25" s="466">
        <v>558</v>
      </c>
    </row>
    <row r="26" spans="1:17" ht="14.45" customHeight="1" x14ac:dyDescent="0.2">
      <c r="A26" s="444" t="s">
        <v>401</v>
      </c>
      <c r="B26" s="464" t="s">
        <v>360</v>
      </c>
      <c r="C26" s="464" t="s">
        <v>361</v>
      </c>
      <c r="D26" s="464" t="s">
        <v>368</v>
      </c>
      <c r="E26" s="464" t="s">
        <v>369</v>
      </c>
      <c r="F26" s="445"/>
      <c r="G26" s="445"/>
      <c r="H26" s="445"/>
      <c r="I26" s="445"/>
      <c r="J26" s="445">
        <v>1</v>
      </c>
      <c r="K26" s="445">
        <v>33.33</v>
      </c>
      <c r="L26" s="445">
        <v>1</v>
      </c>
      <c r="M26" s="445">
        <v>33.33</v>
      </c>
      <c r="N26" s="445"/>
      <c r="O26" s="445"/>
      <c r="P26" s="465"/>
      <c r="Q26" s="466"/>
    </row>
    <row r="27" spans="1:17" ht="14.45" customHeight="1" x14ac:dyDescent="0.2">
      <c r="A27" s="444" t="s">
        <v>401</v>
      </c>
      <c r="B27" s="464" t="s">
        <v>360</v>
      </c>
      <c r="C27" s="464" t="s">
        <v>361</v>
      </c>
      <c r="D27" s="464" t="s">
        <v>374</v>
      </c>
      <c r="E27" s="464" t="s">
        <v>375</v>
      </c>
      <c r="F27" s="445"/>
      <c r="G27" s="445"/>
      <c r="H27" s="445"/>
      <c r="I27" s="445"/>
      <c r="J27" s="445">
        <v>1</v>
      </c>
      <c r="K27" s="445">
        <v>283</v>
      </c>
      <c r="L27" s="445">
        <v>1</v>
      </c>
      <c r="M27" s="445">
        <v>283</v>
      </c>
      <c r="N27" s="445"/>
      <c r="O27" s="445"/>
      <c r="P27" s="465"/>
      <c r="Q27" s="466"/>
    </row>
    <row r="28" spans="1:17" ht="14.45" customHeight="1" x14ac:dyDescent="0.2">
      <c r="A28" s="444" t="s">
        <v>402</v>
      </c>
      <c r="B28" s="464" t="s">
        <v>360</v>
      </c>
      <c r="C28" s="464" t="s">
        <v>361</v>
      </c>
      <c r="D28" s="464" t="s">
        <v>362</v>
      </c>
      <c r="E28" s="464" t="s">
        <v>363</v>
      </c>
      <c r="F28" s="445"/>
      <c r="G28" s="445"/>
      <c r="H28" s="445"/>
      <c r="I28" s="445"/>
      <c r="J28" s="445">
        <v>1</v>
      </c>
      <c r="K28" s="445">
        <v>142</v>
      </c>
      <c r="L28" s="445">
        <v>1</v>
      </c>
      <c r="M28" s="445">
        <v>142</v>
      </c>
      <c r="N28" s="445"/>
      <c r="O28" s="445"/>
      <c r="P28" s="465"/>
      <c r="Q28" s="466"/>
    </row>
    <row r="29" spans="1:17" ht="14.45" customHeight="1" x14ac:dyDescent="0.2">
      <c r="A29" s="444" t="s">
        <v>402</v>
      </c>
      <c r="B29" s="464" t="s">
        <v>360</v>
      </c>
      <c r="C29" s="464" t="s">
        <v>361</v>
      </c>
      <c r="D29" s="464" t="s">
        <v>366</v>
      </c>
      <c r="E29" s="464" t="s">
        <v>367</v>
      </c>
      <c r="F29" s="445">
        <v>373</v>
      </c>
      <c r="G29" s="445">
        <v>206642</v>
      </c>
      <c r="H29" s="445">
        <v>0.44167013989078047</v>
      </c>
      <c r="I29" s="445">
        <v>554</v>
      </c>
      <c r="J29" s="445">
        <v>843</v>
      </c>
      <c r="K29" s="445">
        <v>467865</v>
      </c>
      <c r="L29" s="445">
        <v>1</v>
      </c>
      <c r="M29" s="445">
        <v>555</v>
      </c>
      <c r="N29" s="445">
        <v>1063</v>
      </c>
      <c r="O29" s="445">
        <v>593154</v>
      </c>
      <c r="P29" s="465">
        <v>1.2677887852265077</v>
      </c>
      <c r="Q29" s="466">
        <v>558</v>
      </c>
    </row>
    <row r="30" spans="1:17" ht="14.45" customHeight="1" x14ac:dyDescent="0.2">
      <c r="A30" s="444" t="s">
        <v>402</v>
      </c>
      <c r="B30" s="464" t="s">
        <v>360</v>
      </c>
      <c r="C30" s="464" t="s">
        <v>361</v>
      </c>
      <c r="D30" s="464" t="s">
        <v>368</v>
      </c>
      <c r="E30" s="464" t="s">
        <v>369</v>
      </c>
      <c r="F30" s="445">
        <v>16</v>
      </c>
      <c r="G30" s="445">
        <v>533.33999999999992</v>
      </c>
      <c r="H30" s="445">
        <v>0.23188796473028142</v>
      </c>
      <c r="I30" s="445">
        <v>33.333749999999995</v>
      </c>
      <c r="J30" s="445">
        <v>69</v>
      </c>
      <c r="K30" s="445">
        <v>2299.9899999999998</v>
      </c>
      <c r="L30" s="445">
        <v>1</v>
      </c>
      <c r="M30" s="445">
        <v>33.333188405797095</v>
      </c>
      <c r="N30" s="445">
        <v>30</v>
      </c>
      <c r="O30" s="445">
        <v>999.99</v>
      </c>
      <c r="P30" s="465">
        <v>0.4347801512180488</v>
      </c>
      <c r="Q30" s="466">
        <v>33.332999999999998</v>
      </c>
    </row>
    <row r="31" spans="1:17" ht="14.45" customHeight="1" x14ac:dyDescent="0.2">
      <c r="A31" s="444" t="s">
        <v>402</v>
      </c>
      <c r="B31" s="464" t="s">
        <v>360</v>
      </c>
      <c r="C31" s="464" t="s">
        <v>361</v>
      </c>
      <c r="D31" s="464" t="s">
        <v>370</v>
      </c>
      <c r="E31" s="464" t="s">
        <v>371</v>
      </c>
      <c r="F31" s="445">
        <v>114</v>
      </c>
      <c r="G31" s="445">
        <v>42522</v>
      </c>
      <c r="H31" s="445">
        <v>0.71506407022500251</v>
      </c>
      <c r="I31" s="445">
        <v>373</v>
      </c>
      <c r="J31" s="445">
        <v>159</v>
      </c>
      <c r="K31" s="445">
        <v>59466</v>
      </c>
      <c r="L31" s="445">
        <v>1</v>
      </c>
      <c r="M31" s="445">
        <v>374</v>
      </c>
      <c r="N31" s="445">
        <v>158</v>
      </c>
      <c r="O31" s="445">
        <v>59566</v>
      </c>
      <c r="P31" s="465">
        <v>1.0016816332021659</v>
      </c>
      <c r="Q31" s="466">
        <v>377</v>
      </c>
    </row>
    <row r="32" spans="1:17" ht="14.45" customHeight="1" x14ac:dyDescent="0.2">
      <c r="A32" s="444" t="s">
        <v>402</v>
      </c>
      <c r="B32" s="464" t="s">
        <v>360</v>
      </c>
      <c r="C32" s="464" t="s">
        <v>361</v>
      </c>
      <c r="D32" s="464" t="s">
        <v>372</v>
      </c>
      <c r="E32" s="464" t="s">
        <v>373</v>
      </c>
      <c r="F32" s="445"/>
      <c r="G32" s="445"/>
      <c r="H32" s="445"/>
      <c r="I32" s="445"/>
      <c r="J32" s="445"/>
      <c r="K32" s="445"/>
      <c r="L32" s="445"/>
      <c r="M32" s="445"/>
      <c r="N32" s="445">
        <v>1</v>
      </c>
      <c r="O32" s="445">
        <v>434</v>
      </c>
      <c r="P32" s="465"/>
      <c r="Q32" s="466">
        <v>434</v>
      </c>
    </row>
    <row r="33" spans="1:17" ht="14.45" customHeight="1" x14ac:dyDescent="0.2">
      <c r="A33" s="444" t="s">
        <v>402</v>
      </c>
      <c r="B33" s="464" t="s">
        <v>360</v>
      </c>
      <c r="C33" s="464" t="s">
        <v>361</v>
      </c>
      <c r="D33" s="464" t="s">
        <v>374</v>
      </c>
      <c r="E33" s="464" t="s">
        <v>375</v>
      </c>
      <c r="F33" s="445">
        <v>35</v>
      </c>
      <c r="G33" s="445">
        <v>9905</v>
      </c>
      <c r="H33" s="445">
        <v>0.92148106800632612</v>
      </c>
      <c r="I33" s="445">
        <v>283</v>
      </c>
      <c r="J33" s="445">
        <v>38</v>
      </c>
      <c r="K33" s="445">
        <v>10749</v>
      </c>
      <c r="L33" s="445">
        <v>1</v>
      </c>
      <c r="M33" s="445">
        <v>282.86842105263156</v>
      </c>
      <c r="N33" s="445">
        <v>41</v>
      </c>
      <c r="O33" s="445">
        <v>11685</v>
      </c>
      <c r="P33" s="465">
        <v>1.0870778677086241</v>
      </c>
      <c r="Q33" s="466">
        <v>285</v>
      </c>
    </row>
    <row r="34" spans="1:17" ht="14.45" customHeight="1" x14ac:dyDescent="0.2">
      <c r="A34" s="444" t="s">
        <v>402</v>
      </c>
      <c r="B34" s="464" t="s">
        <v>360</v>
      </c>
      <c r="C34" s="464" t="s">
        <v>361</v>
      </c>
      <c r="D34" s="464" t="s">
        <v>403</v>
      </c>
      <c r="E34" s="464" t="s">
        <v>404</v>
      </c>
      <c r="F34" s="445"/>
      <c r="G34" s="445"/>
      <c r="H34" s="445"/>
      <c r="I34" s="445"/>
      <c r="J34" s="445"/>
      <c r="K34" s="445"/>
      <c r="L34" s="445"/>
      <c r="M34" s="445"/>
      <c r="N34" s="445">
        <v>1</v>
      </c>
      <c r="O34" s="445">
        <v>482</v>
      </c>
      <c r="P34" s="465"/>
      <c r="Q34" s="466">
        <v>482</v>
      </c>
    </row>
    <row r="35" spans="1:17" ht="14.45" customHeight="1" x14ac:dyDescent="0.2">
      <c r="A35" s="444" t="s">
        <v>405</v>
      </c>
      <c r="B35" s="464" t="s">
        <v>360</v>
      </c>
      <c r="C35" s="464" t="s">
        <v>361</v>
      </c>
      <c r="D35" s="464" t="s">
        <v>366</v>
      </c>
      <c r="E35" s="464" t="s">
        <v>367</v>
      </c>
      <c r="F35" s="445"/>
      <c r="G35" s="445"/>
      <c r="H35" s="445"/>
      <c r="I35" s="445"/>
      <c r="J35" s="445">
        <v>12</v>
      </c>
      <c r="K35" s="445">
        <v>6660</v>
      </c>
      <c r="L35" s="445">
        <v>1</v>
      </c>
      <c r="M35" s="445">
        <v>555</v>
      </c>
      <c r="N35" s="445">
        <v>1</v>
      </c>
      <c r="O35" s="445">
        <v>558</v>
      </c>
      <c r="P35" s="465">
        <v>8.3783783783783788E-2</v>
      </c>
      <c r="Q35" s="466">
        <v>558</v>
      </c>
    </row>
    <row r="36" spans="1:17" ht="14.45" customHeight="1" x14ac:dyDescent="0.2">
      <c r="A36" s="444" t="s">
        <v>405</v>
      </c>
      <c r="B36" s="464" t="s">
        <v>360</v>
      </c>
      <c r="C36" s="464" t="s">
        <v>361</v>
      </c>
      <c r="D36" s="464" t="s">
        <v>370</v>
      </c>
      <c r="E36" s="464" t="s">
        <v>371</v>
      </c>
      <c r="F36" s="445"/>
      <c r="G36" s="445"/>
      <c r="H36" s="445"/>
      <c r="I36" s="445"/>
      <c r="J36" s="445">
        <v>1</v>
      </c>
      <c r="K36" s="445">
        <v>374</v>
      </c>
      <c r="L36" s="445">
        <v>1</v>
      </c>
      <c r="M36" s="445">
        <v>374</v>
      </c>
      <c r="N36" s="445"/>
      <c r="O36" s="445"/>
      <c r="P36" s="465"/>
      <c r="Q36" s="466"/>
    </row>
    <row r="37" spans="1:17" ht="14.45" customHeight="1" x14ac:dyDescent="0.2">
      <c r="A37" s="444" t="s">
        <v>406</v>
      </c>
      <c r="B37" s="464" t="s">
        <v>360</v>
      </c>
      <c r="C37" s="464" t="s">
        <v>361</v>
      </c>
      <c r="D37" s="464" t="s">
        <v>362</v>
      </c>
      <c r="E37" s="464" t="s">
        <v>363</v>
      </c>
      <c r="F37" s="445">
        <v>3</v>
      </c>
      <c r="G37" s="445">
        <v>423</v>
      </c>
      <c r="H37" s="445">
        <v>0.21277665995975856</v>
      </c>
      <c r="I37" s="445">
        <v>141</v>
      </c>
      <c r="J37" s="445">
        <v>14</v>
      </c>
      <c r="K37" s="445">
        <v>1988</v>
      </c>
      <c r="L37" s="445">
        <v>1</v>
      </c>
      <c r="M37" s="445">
        <v>142</v>
      </c>
      <c r="N37" s="445">
        <v>5</v>
      </c>
      <c r="O37" s="445">
        <v>715</v>
      </c>
      <c r="P37" s="465">
        <v>0.3596579476861167</v>
      </c>
      <c r="Q37" s="466">
        <v>143</v>
      </c>
    </row>
    <row r="38" spans="1:17" ht="14.45" customHeight="1" x14ac:dyDescent="0.2">
      <c r="A38" s="444" t="s">
        <v>406</v>
      </c>
      <c r="B38" s="464" t="s">
        <v>360</v>
      </c>
      <c r="C38" s="464" t="s">
        <v>361</v>
      </c>
      <c r="D38" s="464" t="s">
        <v>366</v>
      </c>
      <c r="E38" s="464" t="s">
        <v>367</v>
      </c>
      <c r="F38" s="445">
        <v>253</v>
      </c>
      <c r="G38" s="445">
        <v>140162</v>
      </c>
      <c r="H38" s="445">
        <v>0.2936559815629583</v>
      </c>
      <c r="I38" s="445">
        <v>554</v>
      </c>
      <c r="J38" s="445">
        <v>860</v>
      </c>
      <c r="K38" s="445">
        <v>477300</v>
      </c>
      <c r="L38" s="445">
        <v>1</v>
      </c>
      <c r="M38" s="445">
        <v>555</v>
      </c>
      <c r="N38" s="445">
        <v>620</v>
      </c>
      <c r="O38" s="445">
        <v>345960</v>
      </c>
      <c r="P38" s="465">
        <v>0.72482715273412945</v>
      </c>
      <c r="Q38" s="466">
        <v>558</v>
      </c>
    </row>
    <row r="39" spans="1:17" ht="14.45" customHeight="1" x14ac:dyDescent="0.2">
      <c r="A39" s="444" t="s">
        <v>406</v>
      </c>
      <c r="B39" s="464" t="s">
        <v>360</v>
      </c>
      <c r="C39" s="464" t="s">
        <v>361</v>
      </c>
      <c r="D39" s="464" t="s">
        <v>368</v>
      </c>
      <c r="E39" s="464" t="s">
        <v>369</v>
      </c>
      <c r="F39" s="445">
        <v>1</v>
      </c>
      <c r="G39" s="445">
        <v>33.33</v>
      </c>
      <c r="H39" s="445">
        <v>9.9990999909999101E-2</v>
      </c>
      <c r="I39" s="445">
        <v>33.33</v>
      </c>
      <c r="J39" s="445">
        <v>10</v>
      </c>
      <c r="K39" s="445">
        <v>333.33</v>
      </c>
      <c r="L39" s="445">
        <v>1</v>
      </c>
      <c r="M39" s="445">
        <v>33.332999999999998</v>
      </c>
      <c r="N39" s="445">
        <v>1</v>
      </c>
      <c r="O39" s="445">
        <v>33.33</v>
      </c>
      <c r="P39" s="465">
        <v>9.9990999909999101E-2</v>
      </c>
      <c r="Q39" s="466">
        <v>33.33</v>
      </c>
    </row>
    <row r="40" spans="1:17" ht="14.45" customHeight="1" x14ac:dyDescent="0.2">
      <c r="A40" s="444" t="s">
        <v>406</v>
      </c>
      <c r="B40" s="464" t="s">
        <v>360</v>
      </c>
      <c r="C40" s="464" t="s">
        <v>361</v>
      </c>
      <c r="D40" s="464" t="s">
        <v>370</v>
      </c>
      <c r="E40" s="464" t="s">
        <v>371</v>
      </c>
      <c r="F40" s="445">
        <v>10</v>
      </c>
      <c r="G40" s="445">
        <v>3730</v>
      </c>
      <c r="H40" s="445">
        <v>0.90666018473505106</v>
      </c>
      <c r="I40" s="445">
        <v>373</v>
      </c>
      <c r="J40" s="445">
        <v>11</v>
      </c>
      <c r="K40" s="445">
        <v>4114</v>
      </c>
      <c r="L40" s="445">
        <v>1</v>
      </c>
      <c r="M40" s="445">
        <v>374</v>
      </c>
      <c r="N40" s="445">
        <v>8</v>
      </c>
      <c r="O40" s="445">
        <v>3016</v>
      </c>
      <c r="P40" s="465">
        <v>0.73310646572678662</v>
      </c>
      <c r="Q40" s="466">
        <v>377</v>
      </c>
    </row>
    <row r="41" spans="1:17" ht="14.45" customHeight="1" x14ac:dyDescent="0.2">
      <c r="A41" s="444" t="s">
        <v>406</v>
      </c>
      <c r="B41" s="464" t="s">
        <v>360</v>
      </c>
      <c r="C41" s="464" t="s">
        <v>361</v>
      </c>
      <c r="D41" s="464" t="s">
        <v>374</v>
      </c>
      <c r="E41" s="464" t="s">
        <v>375</v>
      </c>
      <c r="F41" s="445">
        <v>4</v>
      </c>
      <c r="G41" s="445">
        <v>1132</v>
      </c>
      <c r="H41" s="445">
        <v>0.44444444444444442</v>
      </c>
      <c r="I41" s="445">
        <v>283</v>
      </c>
      <c r="J41" s="445">
        <v>9</v>
      </c>
      <c r="K41" s="445">
        <v>2547</v>
      </c>
      <c r="L41" s="445">
        <v>1</v>
      </c>
      <c r="M41" s="445">
        <v>283</v>
      </c>
      <c r="N41" s="445">
        <v>5</v>
      </c>
      <c r="O41" s="445">
        <v>1425</v>
      </c>
      <c r="P41" s="465">
        <v>0.55948174322732624</v>
      </c>
      <c r="Q41" s="466">
        <v>285</v>
      </c>
    </row>
    <row r="42" spans="1:17" ht="14.45" customHeight="1" x14ac:dyDescent="0.2">
      <c r="A42" s="444" t="s">
        <v>407</v>
      </c>
      <c r="B42" s="464" t="s">
        <v>360</v>
      </c>
      <c r="C42" s="464" t="s">
        <v>361</v>
      </c>
      <c r="D42" s="464" t="s">
        <v>362</v>
      </c>
      <c r="E42" s="464" t="s">
        <v>363</v>
      </c>
      <c r="F42" s="445">
        <v>2</v>
      </c>
      <c r="G42" s="445">
        <v>282</v>
      </c>
      <c r="H42" s="445">
        <v>0.49647887323943662</v>
      </c>
      <c r="I42" s="445">
        <v>141</v>
      </c>
      <c r="J42" s="445">
        <v>4</v>
      </c>
      <c r="K42" s="445">
        <v>568</v>
      </c>
      <c r="L42" s="445">
        <v>1</v>
      </c>
      <c r="M42" s="445">
        <v>142</v>
      </c>
      <c r="N42" s="445"/>
      <c r="O42" s="445"/>
      <c r="P42" s="465"/>
      <c r="Q42" s="466"/>
    </row>
    <row r="43" spans="1:17" ht="14.45" customHeight="1" x14ac:dyDescent="0.2">
      <c r="A43" s="444" t="s">
        <v>407</v>
      </c>
      <c r="B43" s="464" t="s">
        <v>360</v>
      </c>
      <c r="C43" s="464" t="s">
        <v>361</v>
      </c>
      <c r="D43" s="464" t="s">
        <v>366</v>
      </c>
      <c r="E43" s="464" t="s">
        <v>367</v>
      </c>
      <c r="F43" s="445">
        <v>111</v>
      </c>
      <c r="G43" s="445">
        <v>61494</v>
      </c>
      <c r="H43" s="445">
        <v>0.4181132075471698</v>
      </c>
      <c r="I43" s="445">
        <v>554</v>
      </c>
      <c r="J43" s="445">
        <v>265</v>
      </c>
      <c r="K43" s="445">
        <v>147075</v>
      </c>
      <c r="L43" s="445">
        <v>1</v>
      </c>
      <c r="M43" s="445">
        <v>555</v>
      </c>
      <c r="N43" s="445">
        <v>113</v>
      </c>
      <c r="O43" s="445">
        <v>63054</v>
      </c>
      <c r="P43" s="465">
        <v>0.42872004079551251</v>
      </c>
      <c r="Q43" s="466">
        <v>558</v>
      </c>
    </row>
    <row r="44" spans="1:17" ht="14.45" customHeight="1" x14ac:dyDescent="0.2">
      <c r="A44" s="444" t="s">
        <v>407</v>
      </c>
      <c r="B44" s="464" t="s">
        <v>360</v>
      </c>
      <c r="C44" s="464" t="s">
        <v>361</v>
      </c>
      <c r="D44" s="464" t="s">
        <v>368</v>
      </c>
      <c r="E44" s="464" t="s">
        <v>369</v>
      </c>
      <c r="F44" s="445"/>
      <c r="G44" s="445"/>
      <c r="H44" s="445"/>
      <c r="I44" s="445"/>
      <c r="J44" s="445">
        <v>2</v>
      </c>
      <c r="K44" s="445">
        <v>66.67</v>
      </c>
      <c r="L44" s="445">
        <v>1</v>
      </c>
      <c r="M44" s="445">
        <v>33.335000000000001</v>
      </c>
      <c r="N44" s="445">
        <v>2</v>
      </c>
      <c r="O44" s="445">
        <v>66.66</v>
      </c>
      <c r="P44" s="465">
        <v>0.99985000749962494</v>
      </c>
      <c r="Q44" s="466">
        <v>33.33</v>
      </c>
    </row>
    <row r="45" spans="1:17" ht="14.45" customHeight="1" x14ac:dyDescent="0.2">
      <c r="A45" s="444" t="s">
        <v>407</v>
      </c>
      <c r="B45" s="464" t="s">
        <v>360</v>
      </c>
      <c r="C45" s="464" t="s">
        <v>361</v>
      </c>
      <c r="D45" s="464" t="s">
        <v>370</v>
      </c>
      <c r="E45" s="464" t="s">
        <v>371</v>
      </c>
      <c r="F45" s="445">
        <v>4</v>
      </c>
      <c r="G45" s="445">
        <v>1492</v>
      </c>
      <c r="H45" s="445">
        <v>1.9946524064171123</v>
      </c>
      <c r="I45" s="445">
        <v>373</v>
      </c>
      <c r="J45" s="445">
        <v>2</v>
      </c>
      <c r="K45" s="445">
        <v>748</v>
      </c>
      <c r="L45" s="445">
        <v>1</v>
      </c>
      <c r="M45" s="445">
        <v>374</v>
      </c>
      <c r="N45" s="445">
        <v>3</v>
      </c>
      <c r="O45" s="445">
        <v>1131</v>
      </c>
      <c r="P45" s="465">
        <v>1.5120320855614973</v>
      </c>
      <c r="Q45" s="466">
        <v>377</v>
      </c>
    </row>
    <row r="46" spans="1:17" ht="14.45" customHeight="1" x14ac:dyDescent="0.2">
      <c r="A46" s="444" t="s">
        <v>407</v>
      </c>
      <c r="B46" s="464" t="s">
        <v>360</v>
      </c>
      <c r="C46" s="464" t="s">
        <v>361</v>
      </c>
      <c r="D46" s="464" t="s">
        <v>374</v>
      </c>
      <c r="E46" s="464" t="s">
        <v>375</v>
      </c>
      <c r="F46" s="445">
        <v>1</v>
      </c>
      <c r="G46" s="445">
        <v>283</v>
      </c>
      <c r="H46" s="445">
        <v>0.33333333333333331</v>
      </c>
      <c r="I46" s="445">
        <v>283</v>
      </c>
      <c r="J46" s="445">
        <v>3</v>
      </c>
      <c r="K46" s="445">
        <v>849</v>
      </c>
      <c r="L46" s="445">
        <v>1</v>
      </c>
      <c r="M46" s="445">
        <v>283</v>
      </c>
      <c r="N46" s="445"/>
      <c r="O46" s="445"/>
      <c r="P46" s="465"/>
      <c r="Q46" s="466"/>
    </row>
    <row r="47" spans="1:17" ht="14.45" customHeight="1" x14ac:dyDescent="0.2">
      <c r="A47" s="444" t="s">
        <v>408</v>
      </c>
      <c r="B47" s="464" t="s">
        <v>360</v>
      </c>
      <c r="C47" s="464" t="s">
        <v>361</v>
      </c>
      <c r="D47" s="464" t="s">
        <v>366</v>
      </c>
      <c r="E47" s="464" t="s">
        <v>367</v>
      </c>
      <c r="F47" s="445"/>
      <c r="G47" s="445"/>
      <c r="H47" s="445"/>
      <c r="I47" s="445"/>
      <c r="J47" s="445"/>
      <c r="K47" s="445"/>
      <c r="L47" s="445"/>
      <c r="M47" s="445"/>
      <c r="N47" s="445">
        <v>2</v>
      </c>
      <c r="O47" s="445">
        <v>1116</v>
      </c>
      <c r="P47" s="465"/>
      <c r="Q47" s="466">
        <v>558</v>
      </c>
    </row>
    <row r="48" spans="1:17" ht="14.45" customHeight="1" x14ac:dyDescent="0.2">
      <c r="A48" s="444" t="s">
        <v>408</v>
      </c>
      <c r="B48" s="464" t="s">
        <v>360</v>
      </c>
      <c r="C48" s="464" t="s">
        <v>361</v>
      </c>
      <c r="D48" s="464" t="s">
        <v>370</v>
      </c>
      <c r="E48" s="464" t="s">
        <v>371</v>
      </c>
      <c r="F48" s="445"/>
      <c r="G48" s="445"/>
      <c r="H48" s="445"/>
      <c r="I48" s="445"/>
      <c r="J48" s="445"/>
      <c r="K48" s="445"/>
      <c r="L48" s="445"/>
      <c r="M48" s="445"/>
      <c r="N48" s="445">
        <v>1</v>
      </c>
      <c r="O48" s="445">
        <v>377</v>
      </c>
      <c r="P48" s="465"/>
      <c r="Q48" s="466">
        <v>377</v>
      </c>
    </row>
    <row r="49" spans="1:17" ht="14.45" customHeight="1" x14ac:dyDescent="0.2">
      <c r="A49" s="444" t="s">
        <v>409</v>
      </c>
      <c r="B49" s="464" t="s">
        <v>360</v>
      </c>
      <c r="C49" s="464" t="s">
        <v>361</v>
      </c>
      <c r="D49" s="464" t="s">
        <v>366</v>
      </c>
      <c r="E49" s="464" t="s">
        <v>367</v>
      </c>
      <c r="F49" s="445"/>
      <c r="G49" s="445"/>
      <c r="H49" s="445"/>
      <c r="I49" s="445"/>
      <c r="J49" s="445"/>
      <c r="K49" s="445"/>
      <c r="L49" s="445"/>
      <c r="M49" s="445"/>
      <c r="N49" s="445">
        <v>26</v>
      </c>
      <c r="O49" s="445">
        <v>14508</v>
      </c>
      <c r="P49" s="465"/>
      <c r="Q49" s="466">
        <v>558</v>
      </c>
    </row>
    <row r="50" spans="1:17" ht="14.45" customHeight="1" x14ac:dyDescent="0.2">
      <c r="A50" s="444" t="s">
        <v>409</v>
      </c>
      <c r="B50" s="464" t="s">
        <v>360</v>
      </c>
      <c r="C50" s="464" t="s">
        <v>361</v>
      </c>
      <c r="D50" s="464" t="s">
        <v>370</v>
      </c>
      <c r="E50" s="464" t="s">
        <v>371</v>
      </c>
      <c r="F50" s="445"/>
      <c r="G50" s="445"/>
      <c r="H50" s="445"/>
      <c r="I50" s="445"/>
      <c r="J50" s="445"/>
      <c r="K50" s="445"/>
      <c r="L50" s="445"/>
      <c r="M50" s="445"/>
      <c r="N50" s="445">
        <v>1</v>
      </c>
      <c r="O50" s="445">
        <v>377</v>
      </c>
      <c r="P50" s="465"/>
      <c r="Q50" s="466">
        <v>377</v>
      </c>
    </row>
    <row r="51" spans="1:17" ht="14.45" customHeight="1" x14ac:dyDescent="0.2">
      <c r="A51" s="444" t="s">
        <v>410</v>
      </c>
      <c r="B51" s="464" t="s">
        <v>360</v>
      </c>
      <c r="C51" s="464" t="s">
        <v>361</v>
      </c>
      <c r="D51" s="464" t="s">
        <v>366</v>
      </c>
      <c r="E51" s="464" t="s">
        <v>367</v>
      </c>
      <c r="F51" s="445"/>
      <c r="G51" s="445"/>
      <c r="H51" s="445"/>
      <c r="I51" s="445"/>
      <c r="J51" s="445">
        <v>6</v>
      </c>
      <c r="K51" s="445">
        <v>3330</v>
      </c>
      <c r="L51" s="445">
        <v>1</v>
      </c>
      <c r="M51" s="445">
        <v>555</v>
      </c>
      <c r="N51" s="445"/>
      <c r="O51" s="445"/>
      <c r="P51" s="465"/>
      <c r="Q51" s="466"/>
    </row>
    <row r="52" spans="1:17" ht="14.45" customHeight="1" thickBot="1" x14ac:dyDescent="0.25">
      <c r="A52" s="448" t="s">
        <v>410</v>
      </c>
      <c r="B52" s="467" t="s">
        <v>360</v>
      </c>
      <c r="C52" s="467" t="s">
        <v>361</v>
      </c>
      <c r="D52" s="467" t="s">
        <v>370</v>
      </c>
      <c r="E52" s="467" t="s">
        <v>371</v>
      </c>
      <c r="F52" s="408"/>
      <c r="G52" s="408"/>
      <c r="H52" s="408"/>
      <c r="I52" s="408"/>
      <c r="J52" s="408">
        <v>1</v>
      </c>
      <c r="K52" s="408">
        <v>374</v>
      </c>
      <c r="L52" s="408">
        <v>1</v>
      </c>
      <c r="M52" s="408">
        <v>374</v>
      </c>
      <c r="N52" s="408"/>
      <c r="O52" s="408"/>
      <c r="P52" s="409"/>
      <c r="Q52" s="41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3E0AC54-AAA6-4C2C-BAE9-4898146567F2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5" t="s">
        <v>89</v>
      </c>
      <c r="B1" s="275"/>
      <c r="C1" s="276"/>
      <c r="D1" s="276"/>
      <c r="E1" s="276"/>
    </row>
    <row r="2" spans="1:5" ht="14.45" customHeight="1" thickBot="1" x14ac:dyDescent="0.25">
      <c r="A2" s="190" t="s">
        <v>213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3098.6385380668639</v>
      </c>
      <c r="D4" s="129">
        <f ca="1">IF(ISERROR(VLOOKUP("Náklady celkem",INDIRECT("HI!$A:$G"),5,0)),0,VLOOKUP("Náklady celkem",INDIRECT("HI!$A:$G"),5,0))</f>
        <v>3378.3694700000001</v>
      </c>
      <c r="E4" s="130">
        <f ca="1">IF(C4=0,0,D4/C4)</f>
        <v>1.0902754317732235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07" t="str">
        <f>HYPERLINK("#'LŽ Statim'!A1","Podíl statimových žádanek (max. 30%)")</f>
        <v>Podíl statimových žádanek (max. 30%)</v>
      </c>
      <c r="B8" s="205" t="s">
        <v>150</v>
      </c>
      <c r="C8" s="206">
        <v>0.3</v>
      </c>
      <c r="D8" s="206">
        <f>IF('LŽ Statim'!G3="",0,'LŽ Statim'!G3)</f>
        <v>0</v>
      </c>
      <c r="E8" s="134">
        <f>IF(C8=0,0,D8/C8)</f>
        <v>0</v>
      </c>
    </row>
    <row r="9" spans="1:5" ht="14.45" customHeight="1" x14ac:dyDescent="0.2">
      <c r="A9" s="139" t="s">
        <v>102</v>
      </c>
      <c r="B9" s="136"/>
      <c r="C9" s="137"/>
      <c r="D9" s="137"/>
      <c r="E9" s="134"/>
    </row>
    <row r="10" spans="1:5" ht="14.45" customHeight="1" x14ac:dyDescent="0.2">
      <c r="A10" s="139" t="s">
        <v>103</v>
      </c>
      <c r="B10" s="136"/>
      <c r="C10" s="137"/>
      <c r="D10" s="137"/>
      <c r="E10" s="134"/>
    </row>
    <row r="11" spans="1:5" ht="14.45" customHeight="1" x14ac:dyDescent="0.2">
      <c r="A11" s="140" t="s">
        <v>107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85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2917.2829160156248</v>
      </c>
      <c r="D13" s="133">
        <f ca="1">IF(ISERROR(VLOOKUP("Osobní náklady (Kč) *",INDIRECT("HI!$A:$G"),5,0)),0,VLOOKUP("Osobní náklady (Kč) *",INDIRECT("HI!$A:$G"),5,0))</f>
        <v>3195.1721899999998</v>
      </c>
      <c r="E13" s="134">
        <f ca="1">IF(C13=0,0,D13/C13)</f>
        <v>1.0952561962567249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774.77566999999988</v>
      </c>
      <c r="D15" s="152">
        <f ca="1">IF(ISERROR(VLOOKUP("Výnosy celkem",INDIRECT("HI!$A:$G"),5,0)),0,VLOOKUP("Výnosy celkem",INDIRECT("HI!$A:$G"),5,0))</f>
        <v>1168.1243099999999</v>
      </c>
      <c r="E15" s="153">
        <f t="shared" ref="E15:E20" ca="1" si="1">IF(C15=0,0,D15/C15)</f>
        <v>1.5076935882614901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774.77566999999988</v>
      </c>
      <c r="D16" s="133">
        <f ca="1">IF(ISERROR(VLOOKUP("Ambulance *",INDIRECT("HI!$A:$G"),5,0)),0,VLOOKUP("Ambulance *",INDIRECT("HI!$A:$G"),5,0))</f>
        <v>1168.1243099999999</v>
      </c>
      <c r="E16" s="134">
        <f t="shared" ca="1" si="1"/>
        <v>1.5076935882614901</v>
      </c>
    </row>
    <row r="17" spans="1:5" ht="14.45" customHeight="1" x14ac:dyDescent="0.25">
      <c r="A17" s="214" t="str">
        <f>HYPERLINK("#'ZV Vykáz.-A'!A1","Zdravotní výkony vykázané u ambulantních pacientů (min. 100 % 2016)")</f>
        <v>Zdravotní výkony vykázané u ambulantních pacientů (min. 100 % 2016)</v>
      </c>
      <c r="B17" s="215" t="s">
        <v>91</v>
      </c>
      <c r="C17" s="138">
        <v>1</v>
      </c>
      <c r="D17" s="138">
        <f>IF(ISERROR(VLOOKUP("Celkem:",'ZV Vykáz.-A'!$A:$AB,10,0)),"",VLOOKUP("Celkem:",'ZV Vykáz.-A'!$A:$AB,10,0))</f>
        <v>1.5076935882614899</v>
      </c>
      <c r="E17" s="134">
        <f t="shared" si="1"/>
        <v>1.5076935882614899</v>
      </c>
    </row>
    <row r="18" spans="1:5" ht="14.45" customHeight="1" x14ac:dyDescent="0.25">
      <c r="A18" s="213" t="str">
        <f>HYPERLINK("#'ZV Vykáz.-A'!A1","Specializovaná ambulantní péče")</f>
        <v>Specializovaná ambulantní péče</v>
      </c>
      <c r="B18" s="215" t="s">
        <v>91</v>
      </c>
      <c r="C18" s="138">
        <v>1</v>
      </c>
      <c r="D18" s="206">
        <f>IF(ISERROR(VLOOKUP("Specializovaná ambulantní péče",'ZV Vykáz.-A'!$A:$AB,10,0)),"",VLOOKUP("Specializovaná ambulantní péče",'ZV Vykáz.-A'!$A:$AB,10,0))</f>
        <v>1.5076935882614895</v>
      </c>
      <c r="E18" s="134">
        <f t="shared" si="1"/>
        <v>1.5076935882614895</v>
      </c>
    </row>
    <row r="19" spans="1:5" ht="14.45" customHeight="1" x14ac:dyDescent="0.25">
      <c r="A19" s="213" t="str">
        <f>HYPERLINK("#'ZV Vykáz.-A'!A1","Ambulantní péče ve vyjmenovaných odbornostech (§9)")</f>
        <v>Ambulantní péče ve vyjmenovaných odbornostech (§9)</v>
      </c>
      <c r="B19" s="215" t="s">
        <v>91</v>
      </c>
      <c r="C19" s="138">
        <v>1</v>
      </c>
      <c r="D19" s="206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15" t="s">
        <v>93</v>
      </c>
      <c r="C20" s="138">
        <v>0.85</v>
      </c>
      <c r="D20" s="138">
        <f>IF(ISERROR(VLOOKUP("Celkem:",'ZV Vykáz.-H'!$A:$S,7,0)),"",VLOOKUP("Celkem:",'ZV Vykáz.-H'!$A:$S,7,0))</f>
        <v>0.95305906028745302</v>
      </c>
      <c r="E20" s="134">
        <f t="shared" si="1"/>
        <v>1.1212459532793566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104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105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2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1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1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1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1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1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1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09D411E-7C37-4369-921F-061AAE21C690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6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5" customHeight="1" thickBot="1" x14ac:dyDescent="0.25">
      <c r="A2" s="190" t="s">
        <v>213</v>
      </c>
      <c r="B2" s="83"/>
      <c r="C2" s="83"/>
      <c r="D2" s="83"/>
      <c r="E2" s="83"/>
      <c r="F2" s="83"/>
    </row>
    <row r="3" spans="1:10" ht="14.45" customHeight="1" x14ac:dyDescent="0.2">
      <c r="A3" s="277"/>
      <c r="B3" s="79">
        <v>2015</v>
      </c>
      <c r="C3" s="40">
        <v>2018</v>
      </c>
      <c r="D3" s="7"/>
      <c r="E3" s="281">
        <v>2019</v>
      </c>
      <c r="F3" s="282"/>
      <c r="G3" s="282"/>
      <c r="H3" s="283"/>
      <c r="I3" s="284">
        <v>2017</v>
      </c>
      <c r="J3" s="285"/>
    </row>
    <row r="4" spans="1:10" ht="14.45" customHeight="1" thickBot="1" x14ac:dyDescent="0.25">
      <c r="A4" s="278"/>
      <c r="B4" s="279" t="s">
        <v>47</v>
      </c>
      <c r="C4" s="280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18" t="s">
        <v>158</v>
      </c>
      <c r="J4" s="219" t="s">
        <v>159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2783.0279999999998</v>
      </c>
      <c r="C7" s="31">
        <v>2912.2472299999999</v>
      </c>
      <c r="D7" s="8"/>
      <c r="E7" s="90">
        <v>3195.1721899999998</v>
      </c>
      <c r="F7" s="30">
        <v>2917.2829160156248</v>
      </c>
      <c r="G7" s="91">
        <f>E7-F7</f>
        <v>277.889273984375</v>
      </c>
      <c r="H7" s="95">
        <f>IF(F7&lt;0.00000001,"",E7/F7)</f>
        <v>1.0952561962567249</v>
      </c>
    </row>
    <row r="8" spans="1:10" ht="14.45" customHeight="1" thickBot="1" x14ac:dyDescent="0.25">
      <c r="A8" s="1" t="s">
        <v>50</v>
      </c>
      <c r="B8" s="11">
        <v>155.70047999999997</v>
      </c>
      <c r="C8" s="33">
        <v>177.02086000000008</v>
      </c>
      <c r="D8" s="8"/>
      <c r="E8" s="92">
        <v>183.19728000000032</v>
      </c>
      <c r="F8" s="32">
        <v>181.35562205123915</v>
      </c>
      <c r="G8" s="93">
        <f>E8-F8</f>
        <v>1.8416579487611671</v>
      </c>
      <c r="H8" s="96">
        <f>IF(F8&lt;0.00000001,"",E8/F8)</f>
        <v>1.0101549537198291</v>
      </c>
    </row>
    <row r="9" spans="1:10" ht="14.45" customHeight="1" thickBot="1" x14ac:dyDescent="0.25">
      <c r="A9" s="2" t="s">
        <v>51</v>
      </c>
      <c r="B9" s="3">
        <v>2938.7284799999998</v>
      </c>
      <c r="C9" s="35">
        <v>3089.26809</v>
      </c>
      <c r="D9" s="8"/>
      <c r="E9" s="3">
        <v>3378.3694700000001</v>
      </c>
      <c r="F9" s="34">
        <v>3098.6385380668639</v>
      </c>
      <c r="G9" s="34">
        <f>E9-F9</f>
        <v>279.73093193313616</v>
      </c>
      <c r="H9" s="97">
        <f>IF(F9&lt;0.00000001,"",E9/F9)</f>
        <v>1.0902754317732235</v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598.69965999999999</v>
      </c>
      <c r="C11" s="29">
        <f>IF(ISERROR(VLOOKUP("Celkem:",'ZV Vykáz.-A'!A:H,5,0)),0,VLOOKUP("Celkem:",'ZV Vykáz.-A'!A:H,5,0)/1000)</f>
        <v>774.77566999999988</v>
      </c>
      <c r="D11" s="8"/>
      <c r="E11" s="89">
        <f>IF(ISERROR(VLOOKUP("Celkem:",'ZV Vykáz.-A'!A:H,8,0)),0,VLOOKUP("Celkem:",'ZV Vykáz.-A'!A:H,8,0)/1000)</f>
        <v>1168.1243099999999</v>
      </c>
      <c r="F11" s="28">
        <f>C11</f>
        <v>774.77566999999988</v>
      </c>
      <c r="G11" s="88">
        <f>E11-F11</f>
        <v>393.34864000000005</v>
      </c>
      <c r="H11" s="94">
        <f>IF(F11&lt;0.00000001,"",E11/F11)</f>
        <v>1.5076935882614901</v>
      </c>
      <c r="I11" s="88">
        <f>E11-B11</f>
        <v>569.42464999999993</v>
      </c>
      <c r="J11" s="94">
        <f>IF(B11&lt;0.00000001,"",E11/B11)</f>
        <v>1.9511023440367412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598.69965999999999</v>
      </c>
      <c r="C13" s="37">
        <f>SUM(C11:C12)</f>
        <v>774.77566999999988</v>
      </c>
      <c r="D13" s="8"/>
      <c r="E13" s="5">
        <f>SUM(E11:E12)</f>
        <v>1168.1243099999999</v>
      </c>
      <c r="F13" s="36">
        <f>SUM(F11:F12)</f>
        <v>774.77566999999988</v>
      </c>
      <c r="G13" s="36">
        <f>E13-F13</f>
        <v>393.34864000000005</v>
      </c>
      <c r="H13" s="98">
        <f>IF(F13&lt;0.00000001,"",E13/F13)</f>
        <v>1.5076935882614901</v>
      </c>
      <c r="I13" s="36">
        <f>SUM(I11:I12)</f>
        <v>569.42464999999993</v>
      </c>
      <c r="J13" s="98">
        <f>IF(B13&lt;0.00000001,"",E13/B13)</f>
        <v>1.9511023440367412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0.20372745017940549</v>
      </c>
      <c r="C15" s="39">
        <f>IF(C9=0,"",C13/C9)</f>
        <v>0.25079586731496645</v>
      </c>
      <c r="D15" s="8"/>
      <c r="E15" s="6">
        <f>IF(E9=0,"",E13/E9)</f>
        <v>0.34576570750267877</v>
      </c>
      <c r="F15" s="38">
        <f>IF(F9=0,"",F13/F9)</f>
        <v>0.25003744724718885</v>
      </c>
      <c r="G15" s="38">
        <f>IF(ISERROR(F15-E15),"",E15-F15)</f>
        <v>9.5728260255489916E-2</v>
      </c>
      <c r="H15" s="99">
        <f>IF(ISERROR(F15-E15),"",IF(F15&lt;0.00000001,"",E15/F15))</f>
        <v>1.3828556934547978</v>
      </c>
    </row>
    <row r="17" spans="1:8" ht="14.45" customHeight="1" x14ac:dyDescent="0.2">
      <c r="A17" s="85" t="s">
        <v>108</v>
      </c>
    </row>
    <row r="18" spans="1:8" ht="14.45" customHeight="1" x14ac:dyDescent="0.25">
      <c r="A18" s="193" t="s">
        <v>133</v>
      </c>
      <c r="B18" s="194"/>
      <c r="C18" s="194"/>
      <c r="D18" s="194"/>
      <c r="E18" s="194"/>
      <c r="F18" s="194"/>
      <c r="G18" s="194"/>
      <c r="H18" s="194"/>
    </row>
    <row r="19" spans="1:8" ht="15" x14ac:dyDescent="0.25">
      <c r="A19" s="192" t="s">
        <v>132</v>
      </c>
      <c r="B19" s="194"/>
      <c r="C19" s="194"/>
      <c r="D19" s="194"/>
      <c r="E19" s="194"/>
      <c r="F19" s="194"/>
      <c r="G19" s="194"/>
      <c r="H19" s="194"/>
    </row>
    <row r="20" spans="1:8" ht="14.45" customHeight="1" x14ac:dyDescent="0.2">
      <c r="A20" s="86" t="s">
        <v>151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192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1" priority="8" operator="greaterThan">
      <formula>0</formula>
    </cfRule>
  </conditionalFormatting>
  <conditionalFormatting sqref="G11:G13 G15">
    <cfRule type="cellIs" dxfId="10" priority="7" operator="lessThan">
      <formula>0</formula>
    </cfRule>
  </conditionalFormatting>
  <conditionalFormatting sqref="H5:H9">
    <cfRule type="cellIs" dxfId="9" priority="6" operator="greaterThan">
      <formula>1</formula>
    </cfRule>
  </conditionalFormatting>
  <conditionalFormatting sqref="H11:H13 H15">
    <cfRule type="cellIs" dxfId="8" priority="5" operator="lessThan">
      <formula>1</formula>
    </cfRule>
  </conditionalFormatting>
  <conditionalFormatting sqref="I11:I13">
    <cfRule type="cellIs" dxfId="7" priority="4" operator="lessThan">
      <formula>0</formula>
    </cfRule>
  </conditionalFormatting>
  <conditionalFormatting sqref="J11:J13">
    <cfRule type="cellIs" dxfId="6" priority="3" operator="lessThan">
      <formula>1</formula>
    </cfRule>
  </conditionalFormatting>
  <hyperlinks>
    <hyperlink ref="A2" location="Obsah!A1" display="Zpět na Obsah  KL 01  1.-4.měsíc" xr:uid="{6F0EB98A-65DA-47A8-81A4-9A6B27554A1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5" t="s">
        <v>78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5" customHeight="1" x14ac:dyDescent="0.2">
      <c r="A2" s="190" t="s">
        <v>213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5" customHeight="1" x14ac:dyDescent="0.2">
      <c r="A4" s="167" t="s">
        <v>55</v>
      </c>
      <c r="B4" s="170">
        <f>(B10+B8)/B6</f>
        <v>0.33422436232062541</v>
      </c>
      <c r="C4" s="170">
        <f t="shared" ref="C4:M4" si="0">(C10+C8)/C6</f>
        <v>0.30878459879062631</v>
      </c>
      <c r="D4" s="170">
        <f t="shared" si="0"/>
        <v>0.32535825522991918</v>
      </c>
      <c r="E4" s="170">
        <f t="shared" si="0"/>
        <v>0.34590443239028351</v>
      </c>
      <c r="F4" s="170">
        <f t="shared" si="0"/>
        <v>0.36610152977148963</v>
      </c>
      <c r="G4" s="170">
        <f t="shared" si="0"/>
        <v>0.36988305416134387</v>
      </c>
      <c r="H4" s="170">
        <f t="shared" si="0"/>
        <v>0.35138587274834804</v>
      </c>
      <c r="I4" s="170">
        <f t="shared" si="0"/>
        <v>0.34433594277022894</v>
      </c>
      <c r="J4" s="170">
        <f t="shared" si="0"/>
        <v>0.34576569566264792</v>
      </c>
      <c r="K4" s="170">
        <f t="shared" si="0"/>
        <v>0.34576569566264792</v>
      </c>
      <c r="L4" s="170">
        <f t="shared" si="0"/>
        <v>0.34576569566264792</v>
      </c>
      <c r="M4" s="170">
        <f t="shared" si="0"/>
        <v>0.34576569566264792</v>
      </c>
    </row>
    <row r="5" spans="1:13" ht="14.45" customHeight="1" x14ac:dyDescent="0.2">
      <c r="A5" s="171" t="s">
        <v>28</v>
      </c>
      <c r="B5" s="170">
        <f>IF(ISERROR(VLOOKUP($A5,'Man Tab'!$A:$Q,COLUMN()+2,0)),0,VLOOKUP($A5,'Man Tab'!$A:$Q,COLUMN()+2,0))</f>
        <v>373.81874000000101</v>
      </c>
      <c r="C5" s="170">
        <f>IF(ISERROR(VLOOKUP($A5,'Man Tab'!$A:$Q,COLUMN()+2,0)),0,VLOOKUP($A5,'Man Tab'!$A:$Q,COLUMN()+2,0))</f>
        <v>359.71846000000102</v>
      </c>
      <c r="D5" s="170">
        <f>IF(ISERROR(VLOOKUP($A5,'Man Tab'!$A:$Q,COLUMN()+2,0)),0,VLOOKUP($A5,'Man Tab'!$A:$Q,COLUMN()+2,0))</f>
        <v>356.41408999999902</v>
      </c>
      <c r="E5" s="170">
        <f>IF(ISERROR(VLOOKUP($A5,'Man Tab'!$A:$Q,COLUMN()+2,0)),0,VLOOKUP($A5,'Man Tab'!$A:$Q,COLUMN()+2,0))</f>
        <v>356.23994999999798</v>
      </c>
      <c r="F5" s="170">
        <f>IF(ISERROR(VLOOKUP($A5,'Man Tab'!$A:$Q,COLUMN()+2,0)),0,VLOOKUP($A5,'Man Tab'!$A:$Q,COLUMN()+2,0))</f>
        <v>361.99189000000001</v>
      </c>
      <c r="G5" s="170">
        <f>IF(ISERROR(VLOOKUP($A5,'Man Tab'!$A:$Q,COLUMN()+2,0)),0,VLOOKUP($A5,'Man Tab'!$A:$Q,COLUMN()+2,0))</f>
        <v>362.85606999999902</v>
      </c>
      <c r="H5" s="170">
        <f>IF(ISERROR(VLOOKUP($A5,'Man Tab'!$A:$Q,COLUMN()+2,0)),0,VLOOKUP($A5,'Man Tab'!$A:$Q,COLUMN()+2,0))</f>
        <v>478.54352999999998</v>
      </c>
      <c r="I5" s="170">
        <f>IF(ISERROR(VLOOKUP($A5,'Man Tab'!$A:$Q,COLUMN()+2,0)),0,VLOOKUP($A5,'Man Tab'!$A:$Q,COLUMN()+2,0))</f>
        <v>361.87925000000098</v>
      </c>
      <c r="J5" s="170">
        <f>IF(ISERROR(VLOOKUP($A5,'Man Tab'!$A:$Q,COLUMN()+2,0)),0,VLOOKUP($A5,'Man Tab'!$A:$Q,COLUMN()+2,0))</f>
        <v>366.90748999999801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51</v>
      </c>
      <c r="B6" s="172">
        <f>B5</f>
        <v>373.81874000000101</v>
      </c>
      <c r="C6" s="172">
        <f t="shared" ref="C6:M6" si="1">C5+B6</f>
        <v>733.53720000000203</v>
      </c>
      <c r="D6" s="172">
        <f t="shared" si="1"/>
        <v>1089.9512900000011</v>
      </c>
      <c r="E6" s="172">
        <f t="shared" si="1"/>
        <v>1446.1912399999992</v>
      </c>
      <c r="F6" s="172">
        <f t="shared" si="1"/>
        <v>1808.1831299999992</v>
      </c>
      <c r="G6" s="172">
        <f t="shared" si="1"/>
        <v>2171.0391999999983</v>
      </c>
      <c r="H6" s="172">
        <f t="shared" si="1"/>
        <v>2649.5827299999983</v>
      </c>
      <c r="I6" s="172">
        <f t="shared" si="1"/>
        <v>3011.4619799999991</v>
      </c>
      <c r="J6" s="172">
        <f t="shared" si="1"/>
        <v>3378.3694699999969</v>
      </c>
      <c r="K6" s="172">
        <f t="shared" si="1"/>
        <v>3378.3694699999969</v>
      </c>
      <c r="L6" s="172">
        <f t="shared" si="1"/>
        <v>3378.3694699999969</v>
      </c>
      <c r="M6" s="172">
        <f t="shared" si="1"/>
        <v>3378.3694699999969</v>
      </c>
    </row>
    <row r="7" spans="1:13" ht="14.45" customHeight="1" x14ac:dyDescent="0.2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77</v>
      </c>
      <c r="B9" s="171">
        <v>124939.33</v>
      </c>
      <c r="C9" s="171">
        <v>101565.66</v>
      </c>
      <c r="D9" s="171">
        <v>128119.66</v>
      </c>
      <c r="E9" s="171">
        <v>145619.31</v>
      </c>
      <c r="F9" s="171">
        <v>161734.65000000002</v>
      </c>
      <c r="G9" s="171">
        <v>141052</v>
      </c>
      <c r="H9" s="171">
        <v>127995.33</v>
      </c>
      <c r="I9" s="171">
        <v>105928.66</v>
      </c>
      <c r="J9" s="171">
        <v>131169.66999999998</v>
      </c>
      <c r="K9" s="171">
        <v>0</v>
      </c>
      <c r="L9" s="171">
        <v>0</v>
      </c>
      <c r="M9" s="171">
        <v>0</v>
      </c>
    </row>
    <row r="10" spans="1:13" ht="14.45" customHeight="1" x14ac:dyDescent="0.2">
      <c r="A10" s="171" t="s">
        <v>53</v>
      </c>
      <c r="B10" s="172">
        <f>B9/1000</f>
        <v>124.93933</v>
      </c>
      <c r="C10" s="172">
        <f t="shared" ref="C10:M10" si="3">C9/1000+B10</f>
        <v>226.50499000000002</v>
      </c>
      <c r="D10" s="172">
        <f t="shared" si="3"/>
        <v>354.62465000000003</v>
      </c>
      <c r="E10" s="172">
        <f t="shared" si="3"/>
        <v>500.24396000000002</v>
      </c>
      <c r="F10" s="172">
        <f t="shared" si="3"/>
        <v>661.97861</v>
      </c>
      <c r="G10" s="172">
        <f t="shared" si="3"/>
        <v>803.03061000000002</v>
      </c>
      <c r="H10" s="172">
        <f t="shared" si="3"/>
        <v>931.02593999999999</v>
      </c>
      <c r="I10" s="172">
        <f t="shared" si="3"/>
        <v>1036.9546</v>
      </c>
      <c r="J10" s="172">
        <f t="shared" si="3"/>
        <v>1168.12427</v>
      </c>
      <c r="K10" s="172">
        <f t="shared" si="3"/>
        <v>1168.12427</v>
      </c>
      <c r="L10" s="172">
        <f t="shared" si="3"/>
        <v>1168.12427</v>
      </c>
      <c r="M10" s="172">
        <f t="shared" si="3"/>
        <v>1168.12427</v>
      </c>
    </row>
    <row r="11" spans="1:13" ht="14.45" customHeight="1" x14ac:dyDescent="0.2">
      <c r="A11" s="167"/>
      <c r="B11" s="167" t="s">
        <v>68</v>
      </c>
      <c r="C11" s="167">
        <f ca="1">IF(MONTH(TODAY())=1,12,MONTH(TODAY())-1)</f>
        <v>9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>
        <f>IF(ISERROR(HI!F15),#REF!,HI!F15)</f>
        <v>0.25003744724718885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>
        <f>IF(ISERROR(HI!F15),#REF!,HI!F15)</f>
        <v>0.25003744724718885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B2693739-8FB3-48E6-9717-EAD03F60B96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287" t="s">
        <v>215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5" customHeight="1" thickBot="1" x14ac:dyDescent="0.25">
      <c r="A2" s="190" t="s">
        <v>213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288" t="s">
        <v>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5" customHeight="1" x14ac:dyDescent="0.2">
      <c r="A4" s="60"/>
      <c r="B4" s="20">
        <v>2019</v>
      </c>
      <c r="C4" s="110" t="s">
        <v>5</v>
      </c>
      <c r="D4" s="212" t="s">
        <v>193</v>
      </c>
      <c r="E4" s="212" t="s">
        <v>194</v>
      </c>
      <c r="F4" s="212" t="s">
        <v>195</v>
      </c>
      <c r="G4" s="212" t="s">
        <v>196</v>
      </c>
      <c r="H4" s="212" t="s">
        <v>197</v>
      </c>
      <c r="I4" s="212" t="s">
        <v>198</v>
      </c>
      <c r="J4" s="212" t="s">
        <v>199</v>
      </c>
      <c r="K4" s="212" t="s">
        <v>200</v>
      </c>
      <c r="L4" s="212" t="s">
        <v>201</v>
      </c>
      <c r="M4" s="212" t="s">
        <v>202</v>
      </c>
      <c r="N4" s="212" t="s">
        <v>203</v>
      </c>
      <c r="O4" s="212" t="s">
        <v>204</v>
      </c>
      <c r="P4" s="290" t="s">
        <v>2</v>
      </c>
      <c r="Q4" s="291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214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214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214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214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214</v>
      </c>
    </row>
    <row r="11" spans="1:17" ht="14.45" customHeight="1" x14ac:dyDescent="0.2">
      <c r="A11" s="15" t="s">
        <v>14</v>
      </c>
      <c r="B11" s="46">
        <v>10.683012961743</v>
      </c>
      <c r="C11" s="47">
        <v>0.89025108014499998</v>
      </c>
      <c r="D11" s="47">
        <v>0.44700000000000001</v>
      </c>
      <c r="E11" s="47">
        <v>3.6787299999999998</v>
      </c>
      <c r="F11" s="47">
        <v>0</v>
      </c>
      <c r="G11" s="47">
        <v>0</v>
      </c>
      <c r="H11" s="47">
        <v>0.30215999999999998</v>
      </c>
      <c r="I11" s="47">
        <v>2.6126899999990001</v>
      </c>
      <c r="J11" s="47">
        <v>0</v>
      </c>
      <c r="K11" s="47">
        <v>1.452</v>
      </c>
      <c r="L11" s="47">
        <v>0.929039999999</v>
      </c>
      <c r="M11" s="47">
        <v>0</v>
      </c>
      <c r="N11" s="47">
        <v>0</v>
      </c>
      <c r="O11" s="47">
        <v>0</v>
      </c>
      <c r="P11" s="48">
        <v>9.4216200000000008</v>
      </c>
      <c r="Q11" s="70">
        <v>1.1759004734880001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0.26899999999899998</v>
      </c>
      <c r="J12" s="47">
        <v>-0.26900000000000002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-9.9920072216264108E-16</v>
      </c>
      <c r="Q12" s="70" t="s">
        <v>214</v>
      </c>
    </row>
    <row r="13" spans="1:17" ht="14.45" customHeight="1" x14ac:dyDescent="0.2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0.35695999999900002</v>
      </c>
      <c r="M13" s="47">
        <v>0</v>
      </c>
      <c r="N13" s="47">
        <v>0</v>
      </c>
      <c r="O13" s="47">
        <v>0</v>
      </c>
      <c r="P13" s="48">
        <v>0.35695999999900002</v>
      </c>
      <c r="Q13" s="70" t="s">
        <v>214</v>
      </c>
    </row>
    <row r="14" spans="1:17" ht="14.45" customHeight="1" x14ac:dyDescent="0.2">
      <c r="A14" s="15" t="s">
        <v>17</v>
      </c>
      <c r="B14" s="46">
        <v>158.336532600064</v>
      </c>
      <c r="C14" s="47">
        <v>13.194711050005001</v>
      </c>
      <c r="D14" s="47">
        <v>19.123999999999999</v>
      </c>
      <c r="E14" s="47">
        <v>14.88</v>
      </c>
      <c r="F14" s="47">
        <v>14.238</v>
      </c>
      <c r="G14" s="47">
        <v>12.646999999999</v>
      </c>
      <c r="H14" s="47">
        <v>11.897</v>
      </c>
      <c r="I14" s="47">
        <v>10.035</v>
      </c>
      <c r="J14" s="47">
        <v>10.297000000000001</v>
      </c>
      <c r="K14" s="47">
        <v>9.9760000000000009</v>
      </c>
      <c r="L14" s="47">
        <v>10.539</v>
      </c>
      <c r="M14" s="47">
        <v>0</v>
      </c>
      <c r="N14" s="47">
        <v>0</v>
      </c>
      <c r="O14" s="47">
        <v>0</v>
      </c>
      <c r="P14" s="48">
        <v>113.633</v>
      </c>
      <c r="Q14" s="70">
        <v>0.95689013886200003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214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214</v>
      </c>
    </row>
    <row r="17" spans="1:17" ht="14.45" customHeight="1" x14ac:dyDescent="0.2">
      <c r="A17" s="15" t="s">
        <v>20</v>
      </c>
      <c r="B17" s="46">
        <v>18.935594709282999</v>
      </c>
      <c r="C17" s="47">
        <v>1.5779662257730001</v>
      </c>
      <c r="D17" s="47">
        <v>2.4929999999999999</v>
      </c>
      <c r="E17" s="47">
        <v>1.0955299999999999</v>
      </c>
      <c r="F17" s="47">
        <v>0.58342999999900003</v>
      </c>
      <c r="G17" s="47">
        <v>0.62445999999900004</v>
      </c>
      <c r="H17" s="47">
        <v>0.57120000000000004</v>
      </c>
      <c r="I17" s="47">
        <v>0.60551999999899997</v>
      </c>
      <c r="J17" s="47">
        <v>2.45295</v>
      </c>
      <c r="K17" s="47">
        <v>0.80027999999999999</v>
      </c>
      <c r="L17" s="47">
        <v>0</v>
      </c>
      <c r="M17" s="47">
        <v>0</v>
      </c>
      <c r="N17" s="47">
        <v>0</v>
      </c>
      <c r="O17" s="47">
        <v>0</v>
      </c>
      <c r="P17" s="48">
        <v>9.2263699999999993</v>
      </c>
      <c r="Q17" s="70">
        <v>0.64966677073099999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1.03</v>
      </c>
      <c r="E18" s="47">
        <v>0</v>
      </c>
      <c r="F18" s="47">
        <v>0</v>
      </c>
      <c r="G18" s="47">
        <v>0</v>
      </c>
      <c r="H18" s="47">
        <v>1.67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2.7</v>
      </c>
      <c r="Q18" s="70" t="s">
        <v>214</v>
      </c>
    </row>
    <row r="19" spans="1:17" ht="14.45" customHeight="1" x14ac:dyDescent="0.2">
      <c r="A19" s="15" t="s">
        <v>22</v>
      </c>
      <c r="B19" s="46">
        <v>31.852353964178</v>
      </c>
      <c r="C19" s="47">
        <v>2.654362830348</v>
      </c>
      <c r="D19" s="47">
        <v>2.5553900000000001</v>
      </c>
      <c r="E19" s="47">
        <v>1.79721</v>
      </c>
      <c r="F19" s="47">
        <v>1.80671</v>
      </c>
      <c r="G19" s="47">
        <v>2.3477199999990002</v>
      </c>
      <c r="H19" s="47">
        <v>1.68303</v>
      </c>
      <c r="I19" s="47">
        <v>1.883019999999</v>
      </c>
      <c r="J19" s="47">
        <v>3.95113</v>
      </c>
      <c r="K19" s="47">
        <v>5.0037000000000003</v>
      </c>
      <c r="L19" s="47">
        <v>4.4378199999990002</v>
      </c>
      <c r="M19" s="47">
        <v>0</v>
      </c>
      <c r="N19" s="47">
        <v>0</v>
      </c>
      <c r="O19" s="47">
        <v>0</v>
      </c>
      <c r="P19" s="48">
        <v>25.465730000000001</v>
      </c>
      <c r="Q19" s="70">
        <v>1.0659904980599999</v>
      </c>
    </row>
    <row r="20" spans="1:17" ht="14.45" customHeight="1" x14ac:dyDescent="0.2">
      <c r="A20" s="15" t="s">
        <v>23</v>
      </c>
      <c r="B20" s="46">
        <v>3889.7105539999998</v>
      </c>
      <c r="C20" s="47">
        <v>324.14254616666699</v>
      </c>
      <c r="D20" s="47">
        <v>344.46382000000102</v>
      </c>
      <c r="E20" s="47">
        <v>336.49349000000097</v>
      </c>
      <c r="F20" s="47">
        <v>338.01244999999898</v>
      </c>
      <c r="G20" s="47">
        <v>338.84724999999901</v>
      </c>
      <c r="H20" s="47">
        <v>339.59499</v>
      </c>
      <c r="I20" s="47">
        <v>345.67732999999902</v>
      </c>
      <c r="J20" s="47">
        <v>460.33794</v>
      </c>
      <c r="K20" s="47">
        <v>342.87376000000103</v>
      </c>
      <c r="L20" s="47">
        <v>348.87115999999799</v>
      </c>
      <c r="M20" s="47">
        <v>0</v>
      </c>
      <c r="N20" s="47">
        <v>0</v>
      </c>
      <c r="O20" s="47">
        <v>0</v>
      </c>
      <c r="P20" s="48">
        <v>3195.1721899999998</v>
      </c>
      <c r="Q20" s="70">
        <v>1.0952561964500001</v>
      </c>
    </row>
    <row r="21" spans="1:17" ht="14.45" customHeight="1" x14ac:dyDescent="0.2">
      <c r="A21" s="16" t="s">
        <v>24</v>
      </c>
      <c r="B21" s="46">
        <v>21.999999999999002</v>
      </c>
      <c r="C21" s="47">
        <v>1.833333333333</v>
      </c>
      <c r="D21" s="47">
        <v>1.7735300000000001</v>
      </c>
      <c r="E21" s="47">
        <v>1.7735000000000001</v>
      </c>
      <c r="F21" s="47">
        <v>1.7735000000000001</v>
      </c>
      <c r="G21" s="47">
        <v>1.7735199999989999</v>
      </c>
      <c r="H21" s="47">
        <v>1.7735099999999999</v>
      </c>
      <c r="I21" s="47">
        <v>1.7735099999990001</v>
      </c>
      <c r="J21" s="47">
        <v>1.7735099999999999</v>
      </c>
      <c r="K21" s="47">
        <v>1.7735099999999999</v>
      </c>
      <c r="L21" s="47">
        <v>1.7735099999990001</v>
      </c>
      <c r="M21" s="47">
        <v>0</v>
      </c>
      <c r="N21" s="47">
        <v>0</v>
      </c>
      <c r="O21" s="47">
        <v>0</v>
      </c>
      <c r="P21" s="48">
        <v>15.961600000000001</v>
      </c>
      <c r="Q21" s="70">
        <v>0.96736969696899999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214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214</v>
      </c>
    </row>
    <row r="24" spans="1:17" ht="14.45" customHeight="1" x14ac:dyDescent="0.2">
      <c r="A24" s="16" t="s">
        <v>27</v>
      </c>
      <c r="B24" s="46">
        <v>9.0949470177292804E-13</v>
      </c>
      <c r="C24" s="47">
        <v>5.6843418860808002E-14</v>
      </c>
      <c r="D24" s="47">
        <v>1.9319999999990001</v>
      </c>
      <c r="E24" s="47">
        <v>5.6843418860808002E-14</v>
      </c>
      <c r="F24" s="47">
        <v>-5.6843418860808002E-14</v>
      </c>
      <c r="G24" s="47">
        <v>0</v>
      </c>
      <c r="H24" s="47">
        <v>4.4999999999989999</v>
      </c>
      <c r="I24" s="47">
        <v>-5.6843418860808002E-14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6.4319999999990003</v>
      </c>
      <c r="Q24" s="70"/>
    </row>
    <row r="25" spans="1:17" ht="14.45" customHeight="1" x14ac:dyDescent="0.2">
      <c r="A25" s="17" t="s">
        <v>28</v>
      </c>
      <c r="B25" s="49">
        <v>4131.5180482352698</v>
      </c>
      <c r="C25" s="50">
        <v>344.29317068627302</v>
      </c>
      <c r="D25" s="50">
        <v>373.81874000000101</v>
      </c>
      <c r="E25" s="50">
        <v>359.71846000000102</v>
      </c>
      <c r="F25" s="50">
        <v>356.41408999999902</v>
      </c>
      <c r="G25" s="50">
        <v>356.23994999999798</v>
      </c>
      <c r="H25" s="50">
        <v>361.99189000000001</v>
      </c>
      <c r="I25" s="50">
        <v>362.85606999999902</v>
      </c>
      <c r="J25" s="50">
        <v>478.54352999999998</v>
      </c>
      <c r="K25" s="50">
        <v>361.87925000000098</v>
      </c>
      <c r="L25" s="50">
        <v>366.90748999999801</v>
      </c>
      <c r="M25" s="50">
        <v>0</v>
      </c>
      <c r="N25" s="50">
        <v>0</v>
      </c>
      <c r="O25" s="50">
        <v>0</v>
      </c>
      <c r="P25" s="51">
        <v>3378.3694700000001</v>
      </c>
      <c r="Q25" s="71">
        <v>1.090275432438</v>
      </c>
    </row>
    <row r="26" spans="1:17" ht="14.45" customHeight="1" x14ac:dyDescent="0.2">
      <c r="A26" s="15" t="s">
        <v>29</v>
      </c>
      <c r="B26" s="46">
        <v>543.83877935298096</v>
      </c>
      <c r="C26" s="47">
        <v>45.319898279415</v>
      </c>
      <c r="D26" s="47">
        <v>44.441189999999999</v>
      </c>
      <c r="E26" s="47">
        <v>49.175710000000002</v>
      </c>
      <c r="F26" s="47">
        <v>42.843249999999998</v>
      </c>
      <c r="G26" s="47">
        <v>53.08878</v>
      </c>
      <c r="H26" s="47">
        <v>43.298789999999997</v>
      </c>
      <c r="I26" s="47">
        <v>64.528239999999997</v>
      </c>
      <c r="J26" s="47">
        <v>54.32582</v>
      </c>
      <c r="K26" s="47">
        <v>41.105620000000002</v>
      </c>
      <c r="L26" s="47">
        <v>43.621690000000001</v>
      </c>
      <c r="M26" s="47">
        <v>0</v>
      </c>
      <c r="N26" s="47">
        <v>0</v>
      </c>
      <c r="O26" s="47">
        <v>0</v>
      </c>
      <c r="P26" s="48">
        <v>436.42908999999997</v>
      </c>
      <c r="Q26" s="70">
        <v>1.069996247832</v>
      </c>
    </row>
    <row r="27" spans="1:17" ht="14.45" customHeight="1" x14ac:dyDescent="0.2">
      <c r="A27" s="18" t="s">
        <v>30</v>
      </c>
      <c r="B27" s="49">
        <v>4675.3568275882599</v>
      </c>
      <c r="C27" s="50">
        <v>389.613068965688</v>
      </c>
      <c r="D27" s="50">
        <v>418.25993000000102</v>
      </c>
      <c r="E27" s="50">
        <v>408.894170000001</v>
      </c>
      <c r="F27" s="50">
        <v>399.25733999999898</v>
      </c>
      <c r="G27" s="50">
        <v>409.32872999999802</v>
      </c>
      <c r="H27" s="50">
        <v>405.29068000000001</v>
      </c>
      <c r="I27" s="50">
        <v>427.384309999999</v>
      </c>
      <c r="J27" s="50">
        <v>532.86935000000005</v>
      </c>
      <c r="K27" s="50">
        <v>402.98487000000102</v>
      </c>
      <c r="L27" s="50">
        <v>410.52917999999801</v>
      </c>
      <c r="M27" s="50">
        <v>0</v>
      </c>
      <c r="N27" s="50">
        <v>0</v>
      </c>
      <c r="O27" s="50">
        <v>0</v>
      </c>
      <c r="P27" s="51">
        <v>3814.7985600000002</v>
      </c>
      <c r="Q27" s="71">
        <v>1.087916552162</v>
      </c>
    </row>
    <row r="28" spans="1:17" ht="14.45" customHeight="1" x14ac:dyDescent="0.2">
      <c r="A28" s="16" t="s">
        <v>31</v>
      </c>
      <c r="B28" s="46">
        <v>0.18192918203799999</v>
      </c>
      <c r="C28" s="47">
        <v>1.5160765168999999E-2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214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214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191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31B16DD-5E62-414F-9269-151EE5F4E8C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1" s="55" customFormat="1" ht="18.600000000000001" customHeight="1" thickBot="1" x14ac:dyDescent="0.35">
      <c r="A1" s="287" t="s">
        <v>36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1" s="55" customFormat="1" ht="14.45" customHeight="1" thickBot="1" x14ac:dyDescent="0.25">
      <c r="A2" s="190" t="s">
        <v>213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9"/>
      <c r="B3" s="288" t="s">
        <v>37</v>
      </c>
      <c r="C3" s="289"/>
      <c r="D3" s="289"/>
      <c r="E3" s="289"/>
      <c r="F3" s="295" t="s">
        <v>38</v>
      </c>
      <c r="G3" s="289"/>
      <c r="H3" s="289"/>
      <c r="I3" s="289"/>
      <c r="J3" s="289"/>
      <c r="K3" s="296"/>
    </row>
    <row r="4" spans="1:11" ht="14.45" customHeight="1" x14ac:dyDescent="0.2">
      <c r="A4" s="60"/>
      <c r="B4" s="293"/>
      <c r="C4" s="294"/>
      <c r="D4" s="294"/>
      <c r="E4" s="294"/>
      <c r="F4" s="297" t="s">
        <v>209</v>
      </c>
      <c r="G4" s="299" t="s">
        <v>39</v>
      </c>
      <c r="H4" s="112" t="s">
        <v>100</v>
      </c>
      <c r="I4" s="297" t="s">
        <v>40</v>
      </c>
      <c r="J4" s="299" t="s">
        <v>211</v>
      </c>
      <c r="K4" s="300" t="s">
        <v>212</v>
      </c>
    </row>
    <row r="5" spans="1:11" ht="39" thickBot="1" x14ac:dyDescent="0.25">
      <c r="A5" s="61"/>
      <c r="B5" s="24" t="s">
        <v>205</v>
      </c>
      <c r="C5" s="25" t="s">
        <v>206</v>
      </c>
      <c r="D5" s="26" t="s">
        <v>207</v>
      </c>
      <c r="E5" s="26" t="s">
        <v>208</v>
      </c>
      <c r="F5" s="298"/>
      <c r="G5" s="298"/>
      <c r="H5" s="25" t="s">
        <v>210</v>
      </c>
      <c r="I5" s="298"/>
      <c r="J5" s="298"/>
      <c r="K5" s="301"/>
    </row>
    <row r="6" spans="1:11" ht="14.45" customHeight="1" thickBot="1" x14ac:dyDescent="0.25">
      <c r="A6" s="388" t="s">
        <v>216</v>
      </c>
      <c r="B6" s="370">
        <v>3890.73705373233</v>
      </c>
      <c r="C6" s="370">
        <v>4280.3619800000097</v>
      </c>
      <c r="D6" s="371">
        <v>389.62492626767403</v>
      </c>
      <c r="E6" s="372">
        <v>1.1001416751849999</v>
      </c>
      <c r="F6" s="370">
        <v>4131.5180482352698</v>
      </c>
      <c r="G6" s="371">
        <v>3098.6385361764601</v>
      </c>
      <c r="H6" s="373">
        <v>366.90748999999801</v>
      </c>
      <c r="I6" s="370">
        <v>3378.3694700000001</v>
      </c>
      <c r="J6" s="371">
        <v>279.73093382354102</v>
      </c>
      <c r="K6" s="374">
        <v>0.81770657432799998</v>
      </c>
    </row>
    <row r="7" spans="1:11" ht="14.45" customHeight="1" thickBot="1" x14ac:dyDescent="0.25">
      <c r="A7" s="389" t="s">
        <v>217</v>
      </c>
      <c r="B7" s="370">
        <v>155.92580832235399</v>
      </c>
      <c r="C7" s="370">
        <v>156.29861</v>
      </c>
      <c r="D7" s="371">
        <v>0.37280167764599997</v>
      </c>
      <c r="E7" s="372">
        <v>1.0023908914220001</v>
      </c>
      <c r="F7" s="370">
        <v>169.01954556180701</v>
      </c>
      <c r="G7" s="371">
        <v>126.76465917135501</v>
      </c>
      <c r="H7" s="373">
        <v>11.824999999999999</v>
      </c>
      <c r="I7" s="370">
        <v>123.54358000000001</v>
      </c>
      <c r="J7" s="371">
        <v>-3.221079171355</v>
      </c>
      <c r="K7" s="374">
        <v>0.73094256400500002</v>
      </c>
    </row>
    <row r="8" spans="1:11" ht="14.45" customHeight="1" thickBot="1" x14ac:dyDescent="0.25">
      <c r="A8" s="390" t="s">
        <v>218</v>
      </c>
      <c r="B8" s="370">
        <v>11.450097574803999</v>
      </c>
      <c r="C8" s="370">
        <v>10.854609999999999</v>
      </c>
      <c r="D8" s="371">
        <v>-0.59548757480400005</v>
      </c>
      <c r="E8" s="372">
        <v>0.94799279474099996</v>
      </c>
      <c r="F8" s="370">
        <v>10.683012961743</v>
      </c>
      <c r="G8" s="371">
        <v>8.0122597213070001</v>
      </c>
      <c r="H8" s="373">
        <v>1.2859999999989999</v>
      </c>
      <c r="I8" s="370">
        <v>9.9105799999989994</v>
      </c>
      <c r="J8" s="371">
        <v>1.8983202786919999</v>
      </c>
      <c r="K8" s="374">
        <v>0.927695214401</v>
      </c>
    </row>
    <row r="9" spans="1:11" ht="14.45" customHeight="1" thickBot="1" x14ac:dyDescent="0.25">
      <c r="A9" s="391" t="s">
        <v>219</v>
      </c>
      <c r="B9" s="375">
        <v>9.1628049235080002</v>
      </c>
      <c r="C9" s="375">
        <v>9.6688100000000006</v>
      </c>
      <c r="D9" s="376">
        <v>0.50600507649100002</v>
      </c>
      <c r="E9" s="377">
        <v>1.0552238185480001</v>
      </c>
      <c r="F9" s="375">
        <v>10.683012961743</v>
      </c>
      <c r="G9" s="376">
        <v>8.0122597213070001</v>
      </c>
      <c r="H9" s="378">
        <v>0.929039999999</v>
      </c>
      <c r="I9" s="375">
        <v>9.4216200000000008</v>
      </c>
      <c r="J9" s="376">
        <v>1.4093602786920001</v>
      </c>
      <c r="K9" s="379">
        <v>0.88192535511600001</v>
      </c>
    </row>
    <row r="10" spans="1:11" ht="14.45" customHeight="1" thickBot="1" x14ac:dyDescent="0.25">
      <c r="A10" s="392" t="s">
        <v>220</v>
      </c>
      <c r="B10" s="370">
        <v>1.7250610238649999</v>
      </c>
      <c r="C10" s="370">
        <v>1.37347</v>
      </c>
      <c r="D10" s="371">
        <v>-0.35159102386500002</v>
      </c>
      <c r="E10" s="372">
        <v>0.79618632674300005</v>
      </c>
      <c r="F10" s="370">
        <v>2</v>
      </c>
      <c r="G10" s="371">
        <v>1.5</v>
      </c>
      <c r="H10" s="373">
        <v>0.17278999999899999</v>
      </c>
      <c r="I10" s="370">
        <v>1.1237299999999999</v>
      </c>
      <c r="J10" s="371">
        <v>-0.37626999999999999</v>
      </c>
      <c r="K10" s="374">
        <v>0.56186499999899997</v>
      </c>
    </row>
    <row r="11" spans="1:11" ht="14.45" customHeight="1" thickBot="1" x14ac:dyDescent="0.25">
      <c r="A11" s="392" t="s">
        <v>221</v>
      </c>
      <c r="B11" s="370">
        <v>5</v>
      </c>
      <c r="C11" s="370">
        <v>4.2819599999999998</v>
      </c>
      <c r="D11" s="371">
        <v>-0.71803999999900003</v>
      </c>
      <c r="E11" s="372">
        <v>0.85639200000000004</v>
      </c>
      <c r="F11" s="370">
        <v>5</v>
      </c>
      <c r="G11" s="371">
        <v>3.75</v>
      </c>
      <c r="H11" s="373">
        <v>0</v>
      </c>
      <c r="I11" s="370">
        <v>5.3526800000000003</v>
      </c>
      <c r="J11" s="371">
        <v>1.6026800000000001</v>
      </c>
      <c r="K11" s="374">
        <v>1.0705359999999999</v>
      </c>
    </row>
    <row r="12" spans="1:11" ht="14.45" customHeight="1" thickBot="1" x14ac:dyDescent="0.25">
      <c r="A12" s="392" t="s">
        <v>222</v>
      </c>
      <c r="B12" s="370">
        <v>0.13108270061800001</v>
      </c>
      <c r="C12" s="370">
        <v>0.31369999999999998</v>
      </c>
      <c r="D12" s="371">
        <v>0.18261729938099999</v>
      </c>
      <c r="E12" s="372">
        <v>2.393145689862</v>
      </c>
      <c r="F12" s="370">
        <v>0.29589184963300003</v>
      </c>
      <c r="G12" s="371">
        <v>0.22191888722399999</v>
      </c>
      <c r="H12" s="373">
        <v>0</v>
      </c>
      <c r="I12" s="370">
        <v>0</v>
      </c>
      <c r="J12" s="371">
        <v>-0.22191888722399999</v>
      </c>
      <c r="K12" s="374">
        <v>0</v>
      </c>
    </row>
    <row r="13" spans="1:11" ht="14.45" customHeight="1" thickBot="1" x14ac:dyDescent="0.25">
      <c r="A13" s="392" t="s">
        <v>223</v>
      </c>
      <c r="B13" s="370">
        <v>0.30666119902400002</v>
      </c>
      <c r="C13" s="370">
        <v>1.23539</v>
      </c>
      <c r="D13" s="371">
        <v>0.92872880097499999</v>
      </c>
      <c r="E13" s="372">
        <v>4.0285174776849999</v>
      </c>
      <c r="F13" s="370">
        <v>1.38712111211</v>
      </c>
      <c r="G13" s="371">
        <v>1.040340834082</v>
      </c>
      <c r="H13" s="373">
        <v>0.756249999999</v>
      </c>
      <c r="I13" s="370">
        <v>1.65666</v>
      </c>
      <c r="J13" s="371">
        <v>0.61631916591699998</v>
      </c>
      <c r="K13" s="374">
        <v>1.1943153236849999</v>
      </c>
    </row>
    <row r="14" spans="1:11" ht="14.45" customHeight="1" thickBot="1" x14ac:dyDescent="0.25">
      <c r="A14" s="392" t="s">
        <v>224</v>
      </c>
      <c r="B14" s="370">
        <v>0</v>
      </c>
      <c r="C14" s="370">
        <v>1.7490000000000001</v>
      </c>
      <c r="D14" s="371">
        <v>1.7490000000000001</v>
      </c>
      <c r="E14" s="380" t="s">
        <v>225</v>
      </c>
      <c r="F14" s="370">
        <v>0</v>
      </c>
      <c r="G14" s="371">
        <v>0</v>
      </c>
      <c r="H14" s="373">
        <v>0</v>
      </c>
      <c r="I14" s="370">
        <v>0</v>
      </c>
      <c r="J14" s="371">
        <v>0</v>
      </c>
      <c r="K14" s="374">
        <v>0</v>
      </c>
    </row>
    <row r="15" spans="1:11" ht="14.45" customHeight="1" thickBot="1" x14ac:dyDescent="0.25">
      <c r="A15" s="392" t="s">
        <v>226</v>
      </c>
      <c r="B15" s="370">
        <v>2</v>
      </c>
      <c r="C15" s="370">
        <v>0.71528999999999998</v>
      </c>
      <c r="D15" s="371">
        <v>-1.28471</v>
      </c>
      <c r="E15" s="372">
        <v>0.35764499999999999</v>
      </c>
      <c r="F15" s="370">
        <v>2</v>
      </c>
      <c r="G15" s="371">
        <v>1.5</v>
      </c>
      <c r="H15" s="373">
        <v>0</v>
      </c>
      <c r="I15" s="370">
        <v>1.2885500000000001</v>
      </c>
      <c r="J15" s="371">
        <v>-0.21144999999899999</v>
      </c>
      <c r="K15" s="374">
        <v>0.64427500000000004</v>
      </c>
    </row>
    <row r="16" spans="1:11" ht="14.45" customHeight="1" thickBot="1" x14ac:dyDescent="0.25">
      <c r="A16" s="391" t="s">
        <v>227</v>
      </c>
      <c r="B16" s="375">
        <v>2.287292651295</v>
      </c>
      <c r="C16" s="375">
        <v>1.1858</v>
      </c>
      <c r="D16" s="376">
        <v>-1.1014926512950001</v>
      </c>
      <c r="E16" s="377">
        <v>0.51842950630999995</v>
      </c>
      <c r="F16" s="375">
        <v>0</v>
      </c>
      <c r="G16" s="376">
        <v>0</v>
      </c>
      <c r="H16" s="378">
        <v>0.35695999999900002</v>
      </c>
      <c r="I16" s="375">
        <v>0.35695999999900002</v>
      </c>
      <c r="J16" s="376">
        <v>0.35695999999900002</v>
      </c>
      <c r="K16" s="381" t="s">
        <v>214</v>
      </c>
    </row>
    <row r="17" spans="1:11" ht="14.45" customHeight="1" thickBot="1" x14ac:dyDescent="0.25">
      <c r="A17" s="392" t="s">
        <v>228</v>
      </c>
      <c r="B17" s="370">
        <v>2.287292651295</v>
      </c>
      <c r="C17" s="370">
        <v>1.1858</v>
      </c>
      <c r="D17" s="371">
        <v>-1.1014926512950001</v>
      </c>
      <c r="E17" s="372">
        <v>0.51842950630999995</v>
      </c>
      <c r="F17" s="370">
        <v>0</v>
      </c>
      <c r="G17" s="371">
        <v>0</v>
      </c>
      <c r="H17" s="373">
        <v>0.35695999999900002</v>
      </c>
      <c r="I17" s="370">
        <v>0.35695999999900002</v>
      </c>
      <c r="J17" s="371">
        <v>0.35695999999900002</v>
      </c>
      <c r="K17" s="382" t="s">
        <v>214</v>
      </c>
    </row>
    <row r="18" spans="1:11" ht="14.45" customHeight="1" thickBot="1" x14ac:dyDescent="0.25">
      <c r="A18" s="391" t="s">
        <v>229</v>
      </c>
      <c r="B18" s="375">
        <v>0</v>
      </c>
      <c r="C18" s="375">
        <v>0</v>
      </c>
      <c r="D18" s="376">
        <v>0</v>
      </c>
      <c r="E18" s="377">
        <v>1</v>
      </c>
      <c r="F18" s="375">
        <v>0</v>
      </c>
      <c r="G18" s="376">
        <v>0</v>
      </c>
      <c r="H18" s="378">
        <v>0</v>
      </c>
      <c r="I18" s="375">
        <v>0.13200000000000001</v>
      </c>
      <c r="J18" s="376">
        <v>0.13200000000000001</v>
      </c>
      <c r="K18" s="381" t="s">
        <v>225</v>
      </c>
    </row>
    <row r="19" spans="1:11" ht="14.45" customHeight="1" thickBot="1" x14ac:dyDescent="0.25">
      <c r="A19" s="392" t="s">
        <v>230</v>
      </c>
      <c r="B19" s="370">
        <v>0</v>
      </c>
      <c r="C19" s="370">
        <v>0</v>
      </c>
      <c r="D19" s="371">
        <v>0</v>
      </c>
      <c r="E19" s="372">
        <v>1</v>
      </c>
      <c r="F19" s="370">
        <v>0</v>
      </c>
      <c r="G19" s="371">
        <v>0</v>
      </c>
      <c r="H19" s="373">
        <v>0</v>
      </c>
      <c r="I19" s="370">
        <v>0.13200000000000001</v>
      </c>
      <c r="J19" s="371">
        <v>0.13200000000000001</v>
      </c>
      <c r="K19" s="382" t="s">
        <v>225</v>
      </c>
    </row>
    <row r="20" spans="1:11" ht="14.45" customHeight="1" thickBot="1" x14ac:dyDescent="0.25">
      <c r="A20" s="390" t="s">
        <v>17</v>
      </c>
      <c r="B20" s="370">
        <v>144.47571074754899</v>
      </c>
      <c r="C20" s="370">
        <v>145.44399999999999</v>
      </c>
      <c r="D20" s="371">
        <v>0.96828925245099995</v>
      </c>
      <c r="E20" s="372">
        <v>1.0067020902499999</v>
      </c>
      <c r="F20" s="370">
        <v>158.336532600064</v>
      </c>
      <c r="G20" s="371">
        <v>118.752399450048</v>
      </c>
      <c r="H20" s="373">
        <v>10.539</v>
      </c>
      <c r="I20" s="370">
        <v>113.633</v>
      </c>
      <c r="J20" s="371">
        <v>-5.1193994500470001</v>
      </c>
      <c r="K20" s="374">
        <v>0.71766760414599995</v>
      </c>
    </row>
    <row r="21" spans="1:11" ht="14.45" customHeight="1" thickBot="1" x14ac:dyDescent="0.25">
      <c r="A21" s="391" t="s">
        <v>231</v>
      </c>
      <c r="B21" s="375">
        <v>144.47571074754899</v>
      </c>
      <c r="C21" s="375">
        <v>145.44399999999999</v>
      </c>
      <c r="D21" s="376">
        <v>0.96828925245099995</v>
      </c>
      <c r="E21" s="377">
        <v>1.0067020902499999</v>
      </c>
      <c r="F21" s="375">
        <v>158.336532600064</v>
      </c>
      <c r="G21" s="376">
        <v>118.752399450048</v>
      </c>
      <c r="H21" s="378">
        <v>10.539</v>
      </c>
      <c r="I21" s="375">
        <v>113.633</v>
      </c>
      <c r="J21" s="376">
        <v>-5.1193994500470001</v>
      </c>
      <c r="K21" s="379">
        <v>0.71766760414599995</v>
      </c>
    </row>
    <row r="22" spans="1:11" ht="14.45" customHeight="1" thickBot="1" x14ac:dyDescent="0.25">
      <c r="A22" s="392" t="s">
        <v>232</v>
      </c>
      <c r="B22" s="370">
        <v>24.936078608548002</v>
      </c>
      <c r="C22" s="370">
        <v>25.984999999999999</v>
      </c>
      <c r="D22" s="371">
        <v>1.0489213914510001</v>
      </c>
      <c r="E22" s="372">
        <v>1.042064408278</v>
      </c>
      <c r="F22" s="370">
        <v>34.022358086064997</v>
      </c>
      <c r="G22" s="371">
        <v>25.516768564547998</v>
      </c>
      <c r="H22" s="373">
        <v>2.9089999999990002</v>
      </c>
      <c r="I22" s="370">
        <v>27.175999999999998</v>
      </c>
      <c r="J22" s="371">
        <v>1.659231435451</v>
      </c>
      <c r="K22" s="374">
        <v>0.79876885462299996</v>
      </c>
    </row>
    <row r="23" spans="1:11" ht="14.45" customHeight="1" thickBot="1" x14ac:dyDescent="0.25">
      <c r="A23" s="392" t="s">
        <v>233</v>
      </c>
      <c r="B23" s="370">
        <v>56.554263551082002</v>
      </c>
      <c r="C23" s="370">
        <v>60.140999999999998</v>
      </c>
      <c r="D23" s="371">
        <v>3.5867364489170002</v>
      </c>
      <c r="E23" s="372">
        <v>1.0634211503019999</v>
      </c>
      <c r="F23" s="370">
        <v>59.333844447289998</v>
      </c>
      <c r="G23" s="371">
        <v>44.500383335466999</v>
      </c>
      <c r="H23" s="373">
        <v>4.7219999999990003</v>
      </c>
      <c r="I23" s="370">
        <v>43.603999999999999</v>
      </c>
      <c r="J23" s="371">
        <v>-0.896383335467</v>
      </c>
      <c r="K23" s="374">
        <v>0.73489254583399999</v>
      </c>
    </row>
    <row r="24" spans="1:11" ht="14.45" customHeight="1" thickBot="1" x14ac:dyDescent="0.25">
      <c r="A24" s="392" t="s">
        <v>234</v>
      </c>
      <c r="B24" s="370">
        <v>62.985368587918003</v>
      </c>
      <c r="C24" s="370">
        <v>59.317999999999998</v>
      </c>
      <c r="D24" s="371">
        <v>-3.6673685879170002</v>
      </c>
      <c r="E24" s="372">
        <v>0.94177427757999999</v>
      </c>
      <c r="F24" s="370">
        <v>64.980330066708007</v>
      </c>
      <c r="G24" s="371">
        <v>48.735247550030998</v>
      </c>
      <c r="H24" s="373">
        <v>2.9079999999989998</v>
      </c>
      <c r="I24" s="370">
        <v>42.853000000000002</v>
      </c>
      <c r="J24" s="371">
        <v>-5.8822475500309999</v>
      </c>
      <c r="K24" s="374">
        <v>0.65947649013099996</v>
      </c>
    </row>
    <row r="25" spans="1:11" ht="14.45" customHeight="1" thickBot="1" x14ac:dyDescent="0.25">
      <c r="A25" s="393" t="s">
        <v>235</v>
      </c>
      <c r="B25" s="375">
        <v>30.380042663491999</v>
      </c>
      <c r="C25" s="375">
        <v>53.566659999999999</v>
      </c>
      <c r="D25" s="376">
        <v>23.186617336506998</v>
      </c>
      <c r="E25" s="377">
        <v>1.763218722018</v>
      </c>
      <c r="F25" s="375">
        <v>50.787948673461003</v>
      </c>
      <c r="G25" s="376">
        <v>38.090961505095997</v>
      </c>
      <c r="H25" s="378">
        <v>4.4378199999990002</v>
      </c>
      <c r="I25" s="375">
        <v>37.392099999999999</v>
      </c>
      <c r="J25" s="376">
        <v>-0.69886150509599998</v>
      </c>
      <c r="K25" s="379">
        <v>0.73623961937100002</v>
      </c>
    </row>
    <row r="26" spans="1:11" ht="14.45" customHeight="1" thickBot="1" x14ac:dyDescent="0.25">
      <c r="A26" s="390" t="s">
        <v>20</v>
      </c>
      <c r="B26" s="370">
        <v>1.190799967524</v>
      </c>
      <c r="C26" s="370">
        <v>15.113</v>
      </c>
      <c r="D26" s="371">
        <v>13.922200032475001</v>
      </c>
      <c r="E26" s="372">
        <v>12.691468266846</v>
      </c>
      <c r="F26" s="370">
        <v>18.935594709282999</v>
      </c>
      <c r="G26" s="371">
        <v>14.201696031961999</v>
      </c>
      <c r="H26" s="373">
        <v>0</v>
      </c>
      <c r="I26" s="370">
        <v>9.2263699999999993</v>
      </c>
      <c r="J26" s="371">
        <v>-4.9753260319620001</v>
      </c>
      <c r="K26" s="374">
        <v>0.48725007804800002</v>
      </c>
    </row>
    <row r="27" spans="1:11" ht="14.45" customHeight="1" thickBot="1" x14ac:dyDescent="0.25">
      <c r="A27" s="394" t="s">
        <v>236</v>
      </c>
      <c r="B27" s="370">
        <v>1.190799967524</v>
      </c>
      <c r="C27" s="370">
        <v>15.113</v>
      </c>
      <c r="D27" s="371">
        <v>13.922200032475001</v>
      </c>
      <c r="E27" s="372">
        <v>12.691468266846</v>
      </c>
      <c r="F27" s="370">
        <v>18.935594709282999</v>
      </c>
      <c r="G27" s="371">
        <v>14.201696031961999</v>
      </c>
      <c r="H27" s="373">
        <v>0</v>
      </c>
      <c r="I27" s="370">
        <v>9.2263699999999993</v>
      </c>
      <c r="J27" s="371">
        <v>-4.9753260319620001</v>
      </c>
      <c r="K27" s="374">
        <v>0.48725007804800002</v>
      </c>
    </row>
    <row r="28" spans="1:11" ht="14.45" customHeight="1" thickBot="1" x14ac:dyDescent="0.25">
      <c r="A28" s="392" t="s">
        <v>237</v>
      </c>
      <c r="B28" s="370">
        <v>0.11328915218299999</v>
      </c>
      <c r="C28" s="370">
        <v>0.23530000000000001</v>
      </c>
      <c r="D28" s="371">
        <v>0.122010847816</v>
      </c>
      <c r="E28" s="372">
        <v>2.0769861497390001</v>
      </c>
      <c r="F28" s="370">
        <v>1.2035123946999999E-2</v>
      </c>
      <c r="G28" s="371">
        <v>9.0263429599999993E-3</v>
      </c>
      <c r="H28" s="373">
        <v>0</v>
      </c>
      <c r="I28" s="370">
        <v>0.26900000000000002</v>
      </c>
      <c r="J28" s="371">
        <v>0.25997365703899999</v>
      </c>
      <c r="K28" s="374">
        <v>0</v>
      </c>
    </row>
    <row r="29" spans="1:11" ht="14.45" customHeight="1" thickBot="1" x14ac:dyDescent="0.25">
      <c r="A29" s="392" t="s">
        <v>238</v>
      </c>
      <c r="B29" s="370">
        <v>0</v>
      </c>
      <c r="C29" s="370">
        <v>8.7193699999999996</v>
      </c>
      <c r="D29" s="371">
        <v>8.7193699999999996</v>
      </c>
      <c r="E29" s="380" t="s">
        <v>225</v>
      </c>
      <c r="F29" s="370">
        <v>14.116164084423</v>
      </c>
      <c r="G29" s="371">
        <v>10.587123063317</v>
      </c>
      <c r="H29" s="373">
        <v>0</v>
      </c>
      <c r="I29" s="370">
        <v>2.4929999999999999</v>
      </c>
      <c r="J29" s="371">
        <v>-8.0941230633169994</v>
      </c>
      <c r="K29" s="374">
        <v>0.17660605140899999</v>
      </c>
    </row>
    <row r="30" spans="1:11" ht="14.45" customHeight="1" thickBot="1" x14ac:dyDescent="0.25">
      <c r="A30" s="392" t="s">
        <v>239</v>
      </c>
      <c r="B30" s="370">
        <v>1.077510815341</v>
      </c>
      <c r="C30" s="370">
        <v>6.1583300000000003</v>
      </c>
      <c r="D30" s="371">
        <v>5.080819184658</v>
      </c>
      <c r="E30" s="372">
        <v>5.7153301037149999</v>
      </c>
      <c r="F30" s="370">
        <v>4.5704134365850004</v>
      </c>
      <c r="G30" s="371">
        <v>3.427810077438</v>
      </c>
      <c r="H30" s="373">
        <v>0</v>
      </c>
      <c r="I30" s="370">
        <v>6.4643699999999997</v>
      </c>
      <c r="J30" s="371">
        <v>3.036559922561</v>
      </c>
      <c r="K30" s="374">
        <v>1.414395019114</v>
      </c>
    </row>
    <row r="31" spans="1:11" ht="14.45" customHeight="1" thickBot="1" x14ac:dyDescent="0.25">
      <c r="A31" s="392" t="s">
        <v>240</v>
      </c>
      <c r="B31" s="370">
        <v>0</v>
      </c>
      <c r="C31" s="370">
        <v>0</v>
      </c>
      <c r="D31" s="371">
        <v>0</v>
      </c>
      <c r="E31" s="372">
        <v>1</v>
      </c>
      <c r="F31" s="370">
        <v>0.17894564041</v>
      </c>
      <c r="G31" s="371">
        <v>0.13420923030699999</v>
      </c>
      <c r="H31" s="373">
        <v>0</v>
      </c>
      <c r="I31" s="370">
        <v>0</v>
      </c>
      <c r="J31" s="371">
        <v>-0.13420923030699999</v>
      </c>
      <c r="K31" s="374">
        <v>0</v>
      </c>
    </row>
    <row r="32" spans="1:11" ht="14.45" customHeight="1" thickBot="1" x14ac:dyDescent="0.25">
      <c r="A32" s="392" t="s">
        <v>241</v>
      </c>
      <c r="B32" s="370">
        <v>0</v>
      </c>
      <c r="C32" s="370">
        <v>0</v>
      </c>
      <c r="D32" s="371">
        <v>0</v>
      </c>
      <c r="E32" s="372">
        <v>1</v>
      </c>
      <c r="F32" s="370">
        <v>5.8036423916000002E-2</v>
      </c>
      <c r="G32" s="371">
        <v>4.3527317937000001E-2</v>
      </c>
      <c r="H32" s="373">
        <v>0</v>
      </c>
      <c r="I32" s="370">
        <v>0</v>
      </c>
      <c r="J32" s="371">
        <v>-4.3527317937000001E-2</v>
      </c>
      <c r="K32" s="374">
        <v>0</v>
      </c>
    </row>
    <row r="33" spans="1:11" ht="14.45" customHeight="1" thickBot="1" x14ac:dyDescent="0.25">
      <c r="A33" s="395" t="s">
        <v>21</v>
      </c>
      <c r="B33" s="375">
        <v>0</v>
      </c>
      <c r="C33" s="375">
        <v>3.3740000000000001</v>
      </c>
      <c r="D33" s="376">
        <v>3.3740000000000001</v>
      </c>
      <c r="E33" s="383" t="s">
        <v>214</v>
      </c>
      <c r="F33" s="375">
        <v>0</v>
      </c>
      <c r="G33" s="376">
        <v>0</v>
      </c>
      <c r="H33" s="378">
        <v>0</v>
      </c>
      <c r="I33" s="375">
        <v>2.7</v>
      </c>
      <c r="J33" s="376">
        <v>2.7</v>
      </c>
      <c r="K33" s="381" t="s">
        <v>214</v>
      </c>
    </row>
    <row r="34" spans="1:11" ht="14.45" customHeight="1" thickBot="1" x14ac:dyDescent="0.25">
      <c r="A34" s="391" t="s">
        <v>242</v>
      </c>
      <c r="B34" s="375">
        <v>0</v>
      </c>
      <c r="C34" s="375">
        <v>3.3740000000000001</v>
      </c>
      <c r="D34" s="376">
        <v>3.3740000000000001</v>
      </c>
      <c r="E34" s="383" t="s">
        <v>214</v>
      </c>
      <c r="F34" s="375">
        <v>0</v>
      </c>
      <c r="G34" s="376">
        <v>0</v>
      </c>
      <c r="H34" s="378">
        <v>0</v>
      </c>
      <c r="I34" s="375">
        <v>2.7</v>
      </c>
      <c r="J34" s="376">
        <v>2.7</v>
      </c>
      <c r="K34" s="381" t="s">
        <v>214</v>
      </c>
    </row>
    <row r="35" spans="1:11" ht="14.45" customHeight="1" thickBot="1" x14ac:dyDescent="0.25">
      <c r="A35" s="392" t="s">
        <v>243</v>
      </c>
      <c r="B35" s="370">
        <v>0</v>
      </c>
      <c r="C35" s="370">
        <v>3.3740000000000001</v>
      </c>
      <c r="D35" s="371">
        <v>3.3740000000000001</v>
      </c>
      <c r="E35" s="380" t="s">
        <v>214</v>
      </c>
      <c r="F35" s="370">
        <v>0</v>
      </c>
      <c r="G35" s="371">
        <v>0</v>
      </c>
      <c r="H35" s="373">
        <v>0</v>
      </c>
      <c r="I35" s="370">
        <v>2.7</v>
      </c>
      <c r="J35" s="371">
        <v>2.7</v>
      </c>
      <c r="K35" s="382" t="s">
        <v>214</v>
      </c>
    </row>
    <row r="36" spans="1:11" ht="14.45" customHeight="1" thickBot="1" x14ac:dyDescent="0.25">
      <c r="A36" s="390" t="s">
        <v>22</v>
      </c>
      <c r="B36" s="370">
        <v>29.189242695968002</v>
      </c>
      <c r="C36" s="370">
        <v>35.079659999999997</v>
      </c>
      <c r="D36" s="371">
        <v>5.8904173040309997</v>
      </c>
      <c r="E36" s="372">
        <v>1.201800963642</v>
      </c>
      <c r="F36" s="370">
        <v>31.852353964178</v>
      </c>
      <c r="G36" s="371">
        <v>23.889265473133001</v>
      </c>
      <c r="H36" s="373">
        <v>4.4378199999990002</v>
      </c>
      <c r="I36" s="370">
        <v>25.465730000000001</v>
      </c>
      <c r="J36" s="371">
        <v>1.576464526866</v>
      </c>
      <c r="K36" s="374">
        <v>0.79949287354499998</v>
      </c>
    </row>
    <row r="37" spans="1:11" ht="14.45" customHeight="1" thickBot="1" x14ac:dyDescent="0.25">
      <c r="A37" s="391" t="s">
        <v>244</v>
      </c>
      <c r="B37" s="375">
        <v>4.9705299658640003</v>
      </c>
      <c r="C37" s="375">
        <v>2.29392</v>
      </c>
      <c r="D37" s="376">
        <v>-2.6766099658639999</v>
      </c>
      <c r="E37" s="377">
        <v>0.461504108365</v>
      </c>
      <c r="F37" s="375">
        <v>2.3047557493749999</v>
      </c>
      <c r="G37" s="376">
        <v>1.728566812031</v>
      </c>
      <c r="H37" s="378">
        <v>0.193719999999</v>
      </c>
      <c r="I37" s="375">
        <v>2.0930800000000001</v>
      </c>
      <c r="J37" s="376">
        <v>0.36451318796799997</v>
      </c>
      <c r="K37" s="379">
        <v>0.90815697089199998</v>
      </c>
    </row>
    <row r="38" spans="1:11" ht="14.45" customHeight="1" thickBot="1" x14ac:dyDescent="0.25">
      <c r="A38" s="392" t="s">
        <v>245</v>
      </c>
      <c r="B38" s="370">
        <v>5.5946743638999999E-2</v>
      </c>
      <c r="C38" s="370">
        <v>0.10639999999999999</v>
      </c>
      <c r="D38" s="371">
        <v>5.0453256359999997E-2</v>
      </c>
      <c r="E38" s="372">
        <v>1.9018086322579999</v>
      </c>
      <c r="F38" s="370">
        <v>0.10560607165700001</v>
      </c>
      <c r="G38" s="371">
        <v>7.9204553742E-2</v>
      </c>
      <c r="H38" s="373">
        <v>0</v>
      </c>
      <c r="I38" s="370">
        <v>1.8999999999000001E-2</v>
      </c>
      <c r="J38" s="371">
        <v>-6.0204553741999997E-2</v>
      </c>
      <c r="K38" s="374">
        <v>0.17991389795900001</v>
      </c>
    </row>
    <row r="39" spans="1:11" ht="14.45" customHeight="1" thickBot="1" x14ac:dyDescent="0.25">
      <c r="A39" s="392" t="s">
        <v>246</v>
      </c>
      <c r="B39" s="370">
        <v>4.9145832222239996</v>
      </c>
      <c r="C39" s="370">
        <v>2.1875200000000001</v>
      </c>
      <c r="D39" s="371">
        <v>-2.7270632222239999</v>
      </c>
      <c r="E39" s="372">
        <v>0.44510793715000002</v>
      </c>
      <c r="F39" s="370">
        <v>2.1991496777180002</v>
      </c>
      <c r="G39" s="371">
        <v>1.6493622582880001</v>
      </c>
      <c r="H39" s="373">
        <v>0.193719999999</v>
      </c>
      <c r="I39" s="370">
        <v>2.0740799999999999</v>
      </c>
      <c r="J39" s="371">
        <v>0.42471774171100002</v>
      </c>
      <c r="K39" s="374">
        <v>0.94312816495100005</v>
      </c>
    </row>
    <row r="40" spans="1:11" ht="14.45" customHeight="1" thickBot="1" x14ac:dyDescent="0.25">
      <c r="A40" s="391" t="s">
        <v>247</v>
      </c>
      <c r="B40" s="375">
        <v>3.9752112676050002</v>
      </c>
      <c r="C40" s="375">
        <v>3.375</v>
      </c>
      <c r="D40" s="376">
        <v>-0.60021126760499999</v>
      </c>
      <c r="E40" s="377">
        <v>0.84901147959099998</v>
      </c>
      <c r="F40" s="375">
        <v>1.9999999999989999</v>
      </c>
      <c r="G40" s="376">
        <v>1.4999999999989999</v>
      </c>
      <c r="H40" s="378">
        <v>0</v>
      </c>
      <c r="I40" s="375">
        <v>1.62</v>
      </c>
      <c r="J40" s="376">
        <v>0.12</v>
      </c>
      <c r="K40" s="379">
        <v>0.81</v>
      </c>
    </row>
    <row r="41" spans="1:11" ht="14.45" customHeight="1" thickBot="1" x14ac:dyDescent="0.25">
      <c r="A41" s="392" t="s">
        <v>248</v>
      </c>
      <c r="B41" s="370">
        <v>3.9752112676050002</v>
      </c>
      <c r="C41" s="370">
        <v>3.375</v>
      </c>
      <c r="D41" s="371">
        <v>-0.60021126760499999</v>
      </c>
      <c r="E41" s="372">
        <v>0.84901147959099998</v>
      </c>
      <c r="F41" s="370">
        <v>1.9999999999989999</v>
      </c>
      <c r="G41" s="371">
        <v>1.4999999999989999</v>
      </c>
      <c r="H41" s="373">
        <v>0</v>
      </c>
      <c r="I41" s="370">
        <v>1.62</v>
      </c>
      <c r="J41" s="371">
        <v>0.12</v>
      </c>
      <c r="K41" s="374">
        <v>0.81</v>
      </c>
    </row>
    <row r="42" spans="1:11" ht="14.45" customHeight="1" thickBot="1" x14ac:dyDescent="0.25">
      <c r="A42" s="391" t="s">
        <v>249</v>
      </c>
      <c r="B42" s="375">
        <v>19.569821208876</v>
      </c>
      <c r="C42" s="375">
        <v>17.80904</v>
      </c>
      <c r="D42" s="376">
        <v>-1.760781208876</v>
      </c>
      <c r="E42" s="377">
        <v>0.91002568750699997</v>
      </c>
      <c r="F42" s="375">
        <v>19.132620810790002</v>
      </c>
      <c r="G42" s="376">
        <v>14.349465608093</v>
      </c>
      <c r="H42" s="378">
        <v>4.2440999999990003</v>
      </c>
      <c r="I42" s="375">
        <v>16.316649999999999</v>
      </c>
      <c r="J42" s="376">
        <v>1.9671843919059999</v>
      </c>
      <c r="K42" s="379">
        <v>0.852818344196</v>
      </c>
    </row>
    <row r="43" spans="1:11" ht="14.45" customHeight="1" thickBot="1" x14ac:dyDescent="0.25">
      <c r="A43" s="392" t="s">
        <v>250</v>
      </c>
      <c r="B43" s="370">
        <v>19.569821208876</v>
      </c>
      <c r="C43" s="370">
        <v>17.80904</v>
      </c>
      <c r="D43" s="371">
        <v>-1.760781208876</v>
      </c>
      <c r="E43" s="372">
        <v>0.91002568750699997</v>
      </c>
      <c r="F43" s="370">
        <v>19.132620810790002</v>
      </c>
      <c r="G43" s="371">
        <v>14.349465608093</v>
      </c>
      <c r="H43" s="373">
        <v>1.630979999999</v>
      </c>
      <c r="I43" s="370">
        <v>13.703530000000001</v>
      </c>
      <c r="J43" s="371">
        <v>-0.64593560809299999</v>
      </c>
      <c r="K43" s="374">
        <v>0.71623904197499999</v>
      </c>
    </row>
    <row r="44" spans="1:11" ht="14.45" customHeight="1" thickBot="1" x14ac:dyDescent="0.25">
      <c r="A44" s="392" t="s">
        <v>251</v>
      </c>
      <c r="B44" s="370">
        <v>0</v>
      </c>
      <c r="C44" s="370">
        <v>0</v>
      </c>
      <c r="D44" s="371">
        <v>0</v>
      </c>
      <c r="E44" s="372">
        <v>1</v>
      </c>
      <c r="F44" s="370">
        <v>0</v>
      </c>
      <c r="G44" s="371">
        <v>0</v>
      </c>
      <c r="H44" s="373">
        <v>2.6131199999989998</v>
      </c>
      <c r="I44" s="370">
        <v>2.6131199999989998</v>
      </c>
      <c r="J44" s="371">
        <v>2.6131199999989998</v>
      </c>
      <c r="K44" s="382" t="s">
        <v>225</v>
      </c>
    </row>
    <row r="45" spans="1:11" ht="14.45" customHeight="1" thickBot="1" x14ac:dyDescent="0.25">
      <c r="A45" s="391" t="s">
        <v>252</v>
      </c>
      <c r="B45" s="375">
        <v>0.67368025362200001</v>
      </c>
      <c r="C45" s="375">
        <v>7.524</v>
      </c>
      <c r="D45" s="376">
        <v>6.850319746377</v>
      </c>
      <c r="E45" s="377">
        <v>11.168503098531</v>
      </c>
      <c r="F45" s="375">
        <v>8.4149774040119993</v>
      </c>
      <c r="G45" s="376">
        <v>6.3112330530090004</v>
      </c>
      <c r="H45" s="378">
        <v>0</v>
      </c>
      <c r="I45" s="375">
        <v>0.19999999999900001</v>
      </c>
      <c r="J45" s="376">
        <v>-6.1112330530090002</v>
      </c>
      <c r="K45" s="379">
        <v>2.3767146409999999E-2</v>
      </c>
    </row>
    <row r="46" spans="1:11" ht="14.45" customHeight="1" thickBot="1" x14ac:dyDescent="0.25">
      <c r="A46" s="392" t="s">
        <v>253</v>
      </c>
      <c r="B46" s="370">
        <v>0</v>
      </c>
      <c r="C46" s="370">
        <v>7.1239999999999997</v>
      </c>
      <c r="D46" s="371">
        <v>7.1239999999999997</v>
      </c>
      <c r="E46" s="380" t="s">
        <v>225</v>
      </c>
      <c r="F46" s="370">
        <v>8.215950047023</v>
      </c>
      <c r="G46" s="371">
        <v>6.1619625352670004</v>
      </c>
      <c r="H46" s="373">
        <v>0</v>
      </c>
      <c r="I46" s="370">
        <v>0</v>
      </c>
      <c r="J46" s="371">
        <v>-6.1619625352670004</v>
      </c>
      <c r="K46" s="374">
        <v>0</v>
      </c>
    </row>
    <row r="47" spans="1:11" ht="14.45" customHeight="1" thickBot="1" x14ac:dyDescent="0.25">
      <c r="A47" s="392" t="s">
        <v>254</v>
      </c>
      <c r="B47" s="370">
        <v>0.67368025362200001</v>
      </c>
      <c r="C47" s="370">
        <v>0.4</v>
      </c>
      <c r="D47" s="371">
        <v>-0.27368025362199999</v>
      </c>
      <c r="E47" s="372">
        <v>0.59375348742800005</v>
      </c>
      <c r="F47" s="370">
        <v>0.199027356988</v>
      </c>
      <c r="G47" s="371">
        <v>0.149270517741</v>
      </c>
      <c r="H47" s="373">
        <v>0</v>
      </c>
      <c r="I47" s="370">
        <v>0.19999999999900001</v>
      </c>
      <c r="J47" s="371">
        <v>5.0729482258000003E-2</v>
      </c>
      <c r="K47" s="374">
        <v>0</v>
      </c>
    </row>
    <row r="48" spans="1:11" ht="14.45" customHeight="1" thickBot="1" x14ac:dyDescent="0.25">
      <c r="A48" s="391" t="s">
        <v>255</v>
      </c>
      <c r="B48" s="375">
        <v>0</v>
      </c>
      <c r="C48" s="375">
        <v>4.0777000000000001</v>
      </c>
      <c r="D48" s="376">
        <v>4.0777000000000001</v>
      </c>
      <c r="E48" s="383" t="s">
        <v>214</v>
      </c>
      <c r="F48" s="375">
        <v>0</v>
      </c>
      <c r="G48" s="376">
        <v>0</v>
      </c>
      <c r="H48" s="378">
        <v>0</v>
      </c>
      <c r="I48" s="375">
        <v>5.2359999999999998</v>
      </c>
      <c r="J48" s="376">
        <v>5.2359999999999998</v>
      </c>
      <c r="K48" s="381" t="s">
        <v>214</v>
      </c>
    </row>
    <row r="49" spans="1:11" ht="14.45" customHeight="1" thickBot="1" x14ac:dyDescent="0.25">
      <c r="A49" s="392" t="s">
        <v>256</v>
      </c>
      <c r="B49" s="370">
        <v>0</v>
      </c>
      <c r="C49" s="370">
        <v>4.0777000000000001</v>
      </c>
      <c r="D49" s="371">
        <v>4.0777000000000001</v>
      </c>
      <c r="E49" s="380" t="s">
        <v>225</v>
      </c>
      <c r="F49" s="370">
        <v>0</v>
      </c>
      <c r="G49" s="371">
        <v>0</v>
      </c>
      <c r="H49" s="373">
        <v>0</v>
      </c>
      <c r="I49" s="370">
        <v>5.2359999999999998</v>
      </c>
      <c r="J49" s="371">
        <v>5.2359999999999998</v>
      </c>
      <c r="K49" s="382" t="s">
        <v>214</v>
      </c>
    </row>
    <row r="50" spans="1:11" ht="14.45" customHeight="1" thickBot="1" x14ac:dyDescent="0.25">
      <c r="A50" s="389" t="s">
        <v>23</v>
      </c>
      <c r="B50" s="370">
        <v>3681.1589999999901</v>
      </c>
      <c r="C50" s="370">
        <v>4034.4044600000102</v>
      </c>
      <c r="D50" s="371">
        <v>353.24546000001402</v>
      </c>
      <c r="E50" s="372">
        <v>1.095960391822</v>
      </c>
      <c r="F50" s="370">
        <v>3889.7105539999998</v>
      </c>
      <c r="G50" s="371">
        <v>2917.2829154999999</v>
      </c>
      <c r="H50" s="373">
        <v>348.87115999999799</v>
      </c>
      <c r="I50" s="370">
        <v>3195.1721899999998</v>
      </c>
      <c r="J50" s="371">
        <v>277.88927449999301</v>
      </c>
      <c r="K50" s="374">
        <v>0.82144214733700005</v>
      </c>
    </row>
    <row r="51" spans="1:11" ht="14.45" customHeight="1" thickBot="1" x14ac:dyDescent="0.25">
      <c r="A51" s="395" t="s">
        <v>257</v>
      </c>
      <c r="B51" s="375">
        <v>2708.4389999999898</v>
      </c>
      <c r="C51" s="375">
        <v>2968.5039999999999</v>
      </c>
      <c r="D51" s="376">
        <v>260.06500000001199</v>
      </c>
      <c r="E51" s="377">
        <v>1.0960202537320001</v>
      </c>
      <c r="F51" s="375">
        <v>2795.8700000000099</v>
      </c>
      <c r="G51" s="376">
        <v>2096.9025000000001</v>
      </c>
      <c r="H51" s="378">
        <v>258.76199999999898</v>
      </c>
      <c r="I51" s="375">
        <v>2352.5</v>
      </c>
      <c r="J51" s="376">
        <v>255.597499999994</v>
      </c>
      <c r="K51" s="379">
        <v>0.84141966543500002</v>
      </c>
    </row>
    <row r="52" spans="1:11" ht="14.45" customHeight="1" thickBot="1" x14ac:dyDescent="0.25">
      <c r="A52" s="391" t="s">
        <v>258</v>
      </c>
      <c r="B52" s="375">
        <v>2701.99999999999</v>
      </c>
      <c r="C52" s="375">
        <v>2960.3910000000001</v>
      </c>
      <c r="D52" s="376">
        <v>258.39100000001201</v>
      </c>
      <c r="E52" s="377">
        <v>1.095629533678</v>
      </c>
      <c r="F52" s="375">
        <v>2787.7400000000098</v>
      </c>
      <c r="G52" s="376">
        <v>2090.8049999999998</v>
      </c>
      <c r="H52" s="378">
        <v>237.16999999999899</v>
      </c>
      <c r="I52" s="375">
        <v>2330.9079999999999</v>
      </c>
      <c r="J52" s="376">
        <v>240.10299999999401</v>
      </c>
      <c r="K52" s="379">
        <v>0.83612818985899995</v>
      </c>
    </row>
    <row r="53" spans="1:11" ht="14.45" customHeight="1" thickBot="1" x14ac:dyDescent="0.25">
      <c r="A53" s="392" t="s">
        <v>259</v>
      </c>
      <c r="B53" s="370">
        <v>2701.99999999999</v>
      </c>
      <c r="C53" s="370">
        <v>2960.3910000000001</v>
      </c>
      <c r="D53" s="371">
        <v>258.39100000001201</v>
      </c>
      <c r="E53" s="372">
        <v>1.095629533678</v>
      </c>
      <c r="F53" s="370">
        <v>2787.7400000000098</v>
      </c>
      <c r="G53" s="371">
        <v>2090.8049999999998</v>
      </c>
      <c r="H53" s="373">
        <v>237.16999999999899</v>
      </c>
      <c r="I53" s="370">
        <v>2330.9079999999999</v>
      </c>
      <c r="J53" s="371">
        <v>240.10299999999401</v>
      </c>
      <c r="K53" s="374">
        <v>0.83612818985899995</v>
      </c>
    </row>
    <row r="54" spans="1:11" ht="14.45" customHeight="1" thickBot="1" x14ac:dyDescent="0.25">
      <c r="A54" s="391" t="s">
        <v>260</v>
      </c>
      <c r="B54" s="375">
        <v>6.4390000000000001</v>
      </c>
      <c r="C54" s="375">
        <v>8.1129999999999995</v>
      </c>
      <c r="D54" s="376">
        <v>1.6739999999999999</v>
      </c>
      <c r="E54" s="377">
        <v>1.2599782574930001</v>
      </c>
      <c r="F54" s="375">
        <v>8.1300000000000008</v>
      </c>
      <c r="G54" s="376">
        <v>6.0975000000000001</v>
      </c>
      <c r="H54" s="378">
        <v>6.5919999999990004</v>
      </c>
      <c r="I54" s="375">
        <v>6.5919999999990004</v>
      </c>
      <c r="J54" s="376">
        <v>0.49449999999900002</v>
      </c>
      <c r="K54" s="379">
        <v>0.81082410824100004</v>
      </c>
    </row>
    <row r="55" spans="1:11" ht="14.45" customHeight="1" thickBot="1" x14ac:dyDescent="0.25">
      <c r="A55" s="392" t="s">
        <v>261</v>
      </c>
      <c r="B55" s="370">
        <v>6.4390000000000001</v>
      </c>
      <c r="C55" s="370">
        <v>8.1129999999999995</v>
      </c>
      <c r="D55" s="371">
        <v>1.6739999999999999</v>
      </c>
      <c r="E55" s="372">
        <v>1.2599782574930001</v>
      </c>
      <c r="F55" s="370">
        <v>8.1300000000000008</v>
      </c>
      <c r="G55" s="371">
        <v>6.0975000000000001</v>
      </c>
      <c r="H55" s="373">
        <v>6.5919999999990004</v>
      </c>
      <c r="I55" s="370">
        <v>6.5919999999990004</v>
      </c>
      <c r="J55" s="371">
        <v>0.49449999999900002</v>
      </c>
      <c r="K55" s="374">
        <v>0.81082410824100004</v>
      </c>
    </row>
    <row r="56" spans="1:11" ht="14.45" customHeight="1" thickBot="1" x14ac:dyDescent="0.25">
      <c r="A56" s="394" t="s">
        <v>262</v>
      </c>
      <c r="B56" s="370">
        <v>0</v>
      </c>
      <c r="C56" s="370">
        <v>0</v>
      </c>
      <c r="D56" s="371">
        <v>0</v>
      </c>
      <c r="E56" s="372">
        <v>1</v>
      </c>
      <c r="F56" s="370">
        <v>0</v>
      </c>
      <c r="G56" s="371">
        <v>0</v>
      </c>
      <c r="H56" s="373">
        <v>14.999999999999</v>
      </c>
      <c r="I56" s="370">
        <v>14.999999999999</v>
      </c>
      <c r="J56" s="371">
        <v>14.999999999999</v>
      </c>
      <c r="K56" s="382" t="s">
        <v>225</v>
      </c>
    </row>
    <row r="57" spans="1:11" ht="14.45" customHeight="1" thickBot="1" x14ac:dyDescent="0.25">
      <c r="A57" s="392" t="s">
        <v>263</v>
      </c>
      <c r="B57" s="370">
        <v>0</v>
      </c>
      <c r="C57" s="370">
        <v>0</v>
      </c>
      <c r="D57" s="371">
        <v>0</v>
      </c>
      <c r="E57" s="372">
        <v>1</v>
      </c>
      <c r="F57" s="370">
        <v>0</v>
      </c>
      <c r="G57" s="371">
        <v>0</v>
      </c>
      <c r="H57" s="373">
        <v>14.999999999999</v>
      </c>
      <c r="I57" s="370">
        <v>14.999999999999</v>
      </c>
      <c r="J57" s="371">
        <v>14.999999999999</v>
      </c>
      <c r="K57" s="382" t="s">
        <v>225</v>
      </c>
    </row>
    <row r="58" spans="1:11" ht="14.45" customHeight="1" thickBot="1" x14ac:dyDescent="0.25">
      <c r="A58" s="390" t="s">
        <v>264</v>
      </c>
      <c r="B58" s="370">
        <v>918.68</v>
      </c>
      <c r="C58" s="370">
        <v>1006.53122</v>
      </c>
      <c r="D58" s="371">
        <v>87.851220000002002</v>
      </c>
      <c r="E58" s="372">
        <v>1.095627661427</v>
      </c>
      <c r="F58" s="370">
        <v>1021.18</v>
      </c>
      <c r="G58" s="371">
        <v>765.88499999999897</v>
      </c>
      <c r="H58" s="373">
        <v>85.233289999999002</v>
      </c>
      <c r="I58" s="370">
        <v>795.92015999999899</v>
      </c>
      <c r="J58" s="371">
        <v>30.035160000000001</v>
      </c>
      <c r="K58" s="374">
        <v>0.77941220940400002</v>
      </c>
    </row>
    <row r="59" spans="1:11" ht="14.45" customHeight="1" thickBot="1" x14ac:dyDescent="0.25">
      <c r="A59" s="391" t="s">
        <v>265</v>
      </c>
      <c r="B59" s="375">
        <v>243.180000000001</v>
      </c>
      <c r="C59" s="375">
        <v>266.43347</v>
      </c>
      <c r="D59" s="376">
        <v>23.253469999999002</v>
      </c>
      <c r="E59" s="377">
        <v>1.0956224607280001</v>
      </c>
      <c r="F59" s="375">
        <v>270.30999999999898</v>
      </c>
      <c r="G59" s="376">
        <v>202.73249999999999</v>
      </c>
      <c r="H59" s="378">
        <v>22.695129999999001</v>
      </c>
      <c r="I59" s="375">
        <v>211.13041999999999</v>
      </c>
      <c r="J59" s="376">
        <v>8.3979199999999992</v>
      </c>
      <c r="K59" s="379">
        <v>0.78106773704200005</v>
      </c>
    </row>
    <row r="60" spans="1:11" ht="14.45" customHeight="1" thickBot="1" x14ac:dyDescent="0.25">
      <c r="A60" s="392" t="s">
        <v>266</v>
      </c>
      <c r="B60" s="370">
        <v>243.180000000001</v>
      </c>
      <c r="C60" s="370">
        <v>266.43347</v>
      </c>
      <c r="D60" s="371">
        <v>23.253469999999002</v>
      </c>
      <c r="E60" s="372">
        <v>1.0956224607280001</v>
      </c>
      <c r="F60" s="370">
        <v>270.30999999999898</v>
      </c>
      <c r="G60" s="371">
        <v>202.73249999999999</v>
      </c>
      <c r="H60" s="373">
        <v>22.695129999999001</v>
      </c>
      <c r="I60" s="370">
        <v>211.13041999999999</v>
      </c>
      <c r="J60" s="371">
        <v>8.3979199999999992</v>
      </c>
      <c r="K60" s="374">
        <v>0.78106773704200005</v>
      </c>
    </row>
    <row r="61" spans="1:11" ht="14.45" customHeight="1" thickBot="1" x14ac:dyDescent="0.25">
      <c r="A61" s="391" t="s">
        <v>267</v>
      </c>
      <c r="B61" s="375">
        <v>675.49999999999898</v>
      </c>
      <c r="C61" s="375">
        <v>740.09775000000104</v>
      </c>
      <c r="D61" s="376">
        <v>64.597750000001994</v>
      </c>
      <c r="E61" s="377">
        <v>1.095629533678</v>
      </c>
      <c r="F61" s="375">
        <v>750.87</v>
      </c>
      <c r="G61" s="376">
        <v>563.15250000000003</v>
      </c>
      <c r="H61" s="378">
        <v>62.538159999999003</v>
      </c>
      <c r="I61" s="375">
        <v>584.78973999999903</v>
      </c>
      <c r="J61" s="376">
        <v>21.637239999999</v>
      </c>
      <c r="K61" s="379">
        <v>0.77881622651000004</v>
      </c>
    </row>
    <row r="62" spans="1:11" ht="14.45" customHeight="1" thickBot="1" x14ac:dyDescent="0.25">
      <c r="A62" s="392" t="s">
        <v>268</v>
      </c>
      <c r="B62" s="370">
        <v>675.49999999999898</v>
      </c>
      <c r="C62" s="370">
        <v>740.09775000000104</v>
      </c>
      <c r="D62" s="371">
        <v>64.597750000001994</v>
      </c>
      <c r="E62" s="372">
        <v>1.095629533678</v>
      </c>
      <c r="F62" s="370">
        <v>750.87</v>
      </c>
      <c r="G62" s="371">
        <v>563.15250000000003</v>
      </c>
      <c r="H62" s="373">
        <v>62.538159999999003</v>
      </c>
      <c r="I62" s="370">
        <v>584.78973999999903</v>
      </c>
      <c r="J62" s="371">
        <v>21.637239999999</v>
      </c>
      <c r="K62" s="374">
        <v>0.77881622651000004</v>
      </c>
    </row>
    <row r="63" spans="1:11" ht="14.45" customHeight="1" thickBot="1" x14ac:dyDescent="0.25">
      <c r="A63" s="390" t="s">
        <v>269</v>
      </c>
      <c r="B63" s="370">
        <v>0</v>
      </c>
      <c r="C63" s="370">
        <v>0</v>
      </c>
      <c r="D63" s="371">
        <v>0</v>
      </c>
      <c r="E63" s="372">
        <v>1</v>
      </c>
      <c r="F63" s="370">
        <v>12.580553999999999</v>
      </c>
      <c r="G63" s="371">
        <v>9.4354154999999995</v>
      </c>
      <c r="H63" s="373">
        <v>0</v>
      </c>
      <c r="I63" s="370">
        <v>0</v>
      </c>
      <c r="J63" s="371">
        <v>-9.4354154999999995</v>
      </c>
      <c r="K63" s="374">
        <v>0</v>
      </c>
    </row>
    <row r="64" spans="1:11" ht="14.45" customHeight="1" thickBot="1" x14ac:dyDescent="0.25">
      <c r="A64" s="391" t="s">
        <v>270</v>
      </c>
      <c r="B64" s="375">
        <v>0</v>
      </c>
      <c r="C64" s="375">
        <v>0</v>
      </c>
      <c r="D64" s="376">
        <v>0</v>
      </c>
      <c r="E64" s="377">
        <v>1</v>
      </c>
      <c r="F64" s="375">
        <v>12.580553999999999</v>
      </c>
      <c r="G64" s="376">
        <v>9.4354154999999995</v>
      </c>
      <c r="H64" s="378">
        <v>0</v>
      </c>
      <c r="I64" s="375">
        <v>0</v>
      </c>
      <c r="J64" s="376">
        <v>-9.4354154999999995</v>
      </c>
      <c r="K64" s="379">
        <v>0</v>
      </c>
    </row>
    <row r="65" spans="1:11" ht="14.45" customHeight="1" thickBot="1" x14ac:dyDescent="0.25">
      <c r="A65" s="392" t="s">
        <v>271</v>
      </c>
      <c r="B65" s="370">
        <v>0</v>
      </c>
      <c r="C65" s="370">
        <v>0</v>
      </c>
      <c r="D65" s="371">
        <v>0</v>
      </c>
      <c r="E65" s="372">
        <v>1</v>
      </c>
      <c r="F65" s="370">
        <v>12.580553999999999</v>
      </c>
      <c r="G65" s="371">
        <v>9.4354154999999995</v>
      </c>
      <c r="H65" s="373">
        <v>0</v>
      </c>
      <c r="I65" s="370">
        <v>0</v>
      </c>
      <c r="J65" s="371">
        <v>-9.4354154999999995</v>
      </c>
      <c r="K65" s="374">
        <v>0</v>
      </c>
    </row>
    <row r="66" spans="1:11" ht="14.45" customHeight="1" thickBot="1" x14ac:dyDescent="0.25">
      <c r="A66" s="390" t="s">
        <v>272</v>
      </c>
      <c r="B66" s="370">
        <v>54.04</v>
      </c>
      <c r="C66" s="370">
        <v>59.369239999999998</v>
      </c>
      <c r="D66" s="371">
        <v>5.3292399999990003</v>
      </c>
      <c r="E66" s="372">
        <v>1.0986165803100001</v>
      </c>
      <c r="F66" s="370">
        <v>60.079999999999004</v>
      </c>
      <c r="G66" s="371">
        <v>45.06</v>
      </c>
      <c r="H66" s="373">
        <v>4.8758699999989998</v>
      </c>
      <c r="I66" s="370">
        <v>46.752029999999003</v>
      </c>
      <c r="J66" s="371">
        <v>1.6920299999999999</v>
      </c>
      <c r="K66" s="374">
        <v>0.77816294939999997</v>
      </c>
    </row>
    <row r="67" spans="1:11" ht="14.45" customHeight="1" thickBot="1" x14ac:dyDescent="0.25">
      <c r="A67" s="391" t="s">
        <v>273</v>
      </c>
      <c r="B67" s="375">
        <v>54.04</v>
      </c>
      <c r="C67" s="375">
        <v>59.369239999999998</v>
      </c>
      <c r="D67" s="376">
        <v>5.3292399999990003</v>
      </c>
      <c r="E67" s="377">
        <v>1.0986165803100001</v>
      </c>
      <c r="F67" s="375">
        <v>60.079999999999004</v>
      </c>
      <c r="G67" s="376">
        <v>45.06</v>
      </c>
      <c r="H67" s="378">
        <v>4.8758699999989998</v>
      </c>
      <c r="I67" s="375">
        <v>46.752029999999003</v>
      </c>
      <c r="J67" s="376">
        <v>1.6920299999999999</v>
      </c>
      <c r="K67" s="379">
        <v>0.77816294939999997</v>
      </c>
    </row>
    <row r="68" spans="1:11" ht="14.45" customHeight="1" thickBot="1" x14ac:dyDescent="0.25">
      <c r="A68" s="392" t="s">
        <v>274</v>
      </c>
      <c r="B68" s="370">
        <v>54.04</v>
      </c>
      <c r="C68" s="370">
        <v>59.369239999999998</v>
      </c>
      <c r="D68" s="371">
        <v>5.3292399999990003</v>
      </c>
      <c r="E68" s="372">
        <v>1.0986165803100001</v>
      </c>
      <c r="F68" s="370">
        <v>60.079999999999004</v>
      </c>
      <c r="G68" s="371">
        <v>45.06</v>
      </c>
      <c r="H68" s="373">
        <v>4.8758699999989998</v>
      </c>
      <c r="I68" s="370">
        <v>46.752029999999003</v>
      </c>
      <c r="J68" s="371">
        <v>1.6920299999999999</v>
      </c>
      <c r="K68" s="374">
        <v>0.77816294939999997</v>
      </c>
    </row>
    <row r="69" spans="1:11" ht="14.45" customHeight="1" thickBot="1" x14ac:dyDescent="0.25">
      <c r="A69" s="389" t="s">
        <v>275</v>
      </c>
      <c r="B69" s="370">
        <v>1.247647293674</v>
      </c>
      <c r="C69" s="370">
        <v>8.7852499999999996</v>
      </c>
      <c r="D69" s="371">
        <v>7.537602706325</v>
      </c>
      <c r="E69" s="372">
        <v>7.0414531771420004</v>
      </c>
      <c r="F69" s="370">
        <v>0</v>
      </c>
      <c r="G69" s="371">
        <v>0</v>
      </c>
      <c r="H69" s="373">
        <v>0</v>
      </c>
      <c r="I69" s="370">
        <v>6.3</v>
      </c>
      <c r="J69" s="371">
        <v>6.3</v>
      </c>
      <c r="K69" s="382" t="s">
        <v>214</v>
      </c>
    </row>
    <row r="70" spans="1:11" ht="14.45" customHeight="1" thickBot="1" x14ac:dyDescent="0.25">
      <c r="A70" s="390" t="s">
        <v>276</v>
      </c>
      <c r="B70" s="370">
        <v>1.247647293674</v>
      </c>
      <c r="C70" s="370">
        <v>8.7852499999999996</v>
      </c>
      <c r="D70" s="371">
        <v>7.537602706325</v>
      </c>
      <c r="E70" s="372">
        <v>7.0414531771420004</v>
      </c>
      <c r="F70" s="370">
        <v>0</v>
      </c>
      <c r="G70" s="371">
        <v>0</v>
      </c>
      <c r="H70" s="373">
        <v>0</v>
      </c>
      <c r="I70" s="370">
        <v>6.3</v>
      </c>
      <c r="J70" s="371">
        <v>6.3</v>
      </c>
      <c r="K70" s="382" t="s">
        <v>214</v>
      </c>
    </row>
    <row r="71" spans="1:11" ht="14.45" customHeight="1" thickBot="1" x14ac:dyDescent="0.25">
      <c r="A71" s="391" t="s">
        <v>277</v>
      </c>
      <c r="B71" s="375">
        <v>0</v>
      </c>
      <c r="C71" s="375">
        <v>8.5250000000000006E-2</v>
      </c>
      <c r="D71" s="376">
        <v>8.5250000000000006E-2</v>
      </c>
      <c r="E71" s="383" t="s">
        <v>225</v>
      </c>
      <c r="F71" s="375">
        <v>0</v>
      </c>
      <c r="G71" s="376">
        <v>0</v>
      </c>
      <c r="H71" s="378">
        <v>0</v>
      </c>
      <c r="I71" s="375">
        <v>0</v>
      </c>
      <c r="J71" s="376">
        <v>0</v>
      </c>
      <c r="K71" s="381" t="s">
        <v>214</v>
      </c>
    </row>
    <row r="72" spans="1:11" ht="14.45" customHeight="1" thickBot="1" x14ac:dyDescent="0.25">
      <c r="A72" s="392" t="s">
        <v>278</v>
      </c>
      <c r="B72" s="370">
        <v>0</v>
      </c>
      <c r="C72" s="370">
        <v>8.5250000000000006E-2</v>
      </c>
      <c r="D72" s="371">
        <v>8.5250000000000006E-2</v>
      </c>
      <c r="E72" s="380" t="s">
        <v>225</v>
      </c>
      <c r="F72" s="370">
        <v>0</v>
      </c>
      <c r="G72" s="371">
        <v>0</v>
      </c>
      <c r="H72" s="373">
        <v>0</v>
      </c>
      <c r="I72" s="370">
        <v>0</v>
      </c>
      <c r="J72" s="371">
        <v>0</v>
      </c>
      <c r="K72" s="382" t="s">
        <v>214</v>
      </c>
    </row>
    <row r="73" spans="1:11" ht="14.45" customHeight="1" thickBot="1" x14ac:dyDescent="0.25">
      <c r="A73" s="394" t="s">
        <v>279</v>
      </c>
      <c r="B73" s="370">
        <v>1.247647293674</v>
      </c>
      <c r="C73" s="370">
        <v>1.6</v>
      </c>
      <c r="D73" s="371">
        <v>0.35235270632499999</v>
      </c>
      <c r="E73" s="372">
        <v>1.2824137142850001</v>
      </c>
      <c r="F73" s="370">
        <v>0</v>
      </c>
      <c r="G73" s="371">
        <v>0</v>
      </c>
      <c r="H73" s="373">
        <v>0</v>
      </c>
      <c r="I73" s="370">
        <v>0</v>
      </c>
      <c r="J73" s="371">
        <v>0</v>
      </c>
      <c r="K73" s="382" t="s">
        <v>214</v>
      </c>
    </row>
    <row r="74" spans="1:11" ht="14.45" customHeight="1" thickBot="1" x14ac:dyDescent="0.25">
      <c r="A74" s="392" t="s">
        <v>280</v>
      </c>
      <c r="B74" s="370">
        <v>1.247647293674</v>
      </c>
      <c r="C74" s="370">
        <v>1.6</v>
      </c>
      <c r="D74" s="371">
        <v>0.35235270632499999</v>
      </c>
      <c r="E74" s="372">
        <v>1.2824137142850001</v>
      </c>
      <c r="F74" s="370">
        <v>0</v>
      </c>
      <c r="G74" s="371">
        <v>0</v>
      </c>
      <c r="H74" s="373">
        <v>0</v>
      </c>
      <c r="I74" s="370">
        <v>0</v>
      </c>
      <c r="J74" s="371">
        <v>0</v>
      </c>
      <c r="K74" s="382" t="s">
        <v>214</v>
      </c>
    </row>
    <row r="75" spans="1:11" ht="14.45" customHeight="1" thickBot="1" x14ac:dyDescent="0.25">
      <c r="A75" s="394" t="s">
        <v>281</v>
      </c>
      <c r="B75" s="370">
        <v>0</v>
      </c>
      <c r="C75" s="370">
        <v>7.1</v>
      </c>
      <c r="D75" s="371">
        <v>7.1</v>
      </c>
      <c r="E75" s="380" t="s">
        <v>214</v>
      </c>
      <c r="F75" s="370">
        <v>0</v>
      </c>
      <c r="G75" s="371">
        <v>0</v>
      </c>
      <c r="H75" s="373">
        <v>0</v>
      </c>
      <c r="I75" s="370">
        <v>6.3</v>
      </c>
      <c r="J75" s="371">
        <v>6.3</v>
      </c>
      <c r="K75" s="382" t="s">
        <v>214</v>
      </c>
    </row>
    <row r="76" spans="1:11" ht="14.45" customHeight="1" thickBot="1" x14ac:dyDescent="0.25">
      <c r="A76" s="392" t="s">
        <v>282</v>
      </c>
      <c r="B76" s="370">
        <v>0</v>
      </c>
      <c r="C76" s="370">
        <v>7.1</v>
      </c>
      <c r="D76" s="371">
        <v>7.1</v>
      </c>
      <c r="E76" s="380" t="s">
        <v>214</v>
      </c>
      <c r="F76" s="370">
        <v>0</v>
      </c>
      <c r="G76" s="371">
        <v>0</v>
      </c>
      <c r="H76" s="373">
        <v>0</v>
      </c>
      <c r="I76" s="370">
        <v>6.3</v>
      </c>
      <c r="J76" s="371">
        <v>6.3</v>
      </c>
      <c r="K76" s="382" t="s">
        <v>214</v>
      </c>
    </row>
    <row r="77" spans="1:11" ht="14.45" customHeight="1" thickBot="1" x14ac:dyDescent="0.25">
      <c r="A77" s="389" t="s">
        <v>283</v>
      </c>
      <c r="B77" s="370">
        <v>22.024555452819001</v>
      </c>
      <c r="C77" s="370">
        <v>27.306999999999999</v>
      </c>
      <c r="D77" s="371">
        <v>5.2824445471799999</v>
      </c>
      <c r="E77" s="372">
        <v>1.2398434128889999</v>
      </c>
      <c r="F77" s="370">
        <v>21.999999999999002</v>
      </c>
      <c r="G77" s="371">
        <v>16.499999999999002</v>
      </c>
      <c r="H77" s="373">
        <v>1.7735099999990001</v>
      </c>
      <c r="I77" s="370">
        <v>15.961600000000001</v>
      </c>
      <c r="J77" s="371">
        <v>-0.53839999999900001</v>
      </c>
      <c r="K77" s="374">
        <v>0.72552727272700002</v>
      </c>
    </row>
    <row r="78" spans="1:11" ht="14.45" customHeight="1" thickBot="1" x14ac:dyDescent="0.25">
      <c r="A78" s="390" t="s">
        <v>284</v>
      </c>
      <c r="B78" s="370">
        <v>22.024555452819001</v>
      </c>
      <c r="C78" s="370">
        <v>21.741</v>
      </c>
      <c r="D78" s="371">
        <v>-0.28355545281900002</v>
      </c>
      <c r="E78" s="372">
        <v>0.98712548575900005</v>
      </c>
      <c r="F78" s="370">
        <v>21.999999999999002</v>
      </c>
      <c r="G78" s="371">
        <v>16.499999999999002</v>
      </c>
      <c r="H78" s="373">
        <v>1.7735099999990001</v>
      </c>
      <c r="I78" s="370">
        <v>15.961600000000001</v>
      </c>
      <c r="J78" s="371">
        <v>-0.53839999999900001</v>
      </c>
      <c r="K78" s="374">
        <v>0.72552727272700002</v>
      </c>
    </row>
    <row r="79" spans="1:11" ht="14.45" customHeight="1" thickBot="1" x14ac:dyDescent="0.25">
      <c r="A79" s="391" t="s">
        <v>285</v>
      </c>
      <c r="B79" s="375">
        <v>22.024555452819001</v>
      </c>
      <c r="C79" s="375">
        <v>21.741</v>
      </c>
      <c r="D79" s="376">
        <v>-0.28355545281900002</v>
      </c>
      <c r="E79" s="377">
        <v>0.98712548575900005</v>
      </c>
      <c r="F79" s="375">
        <v>21.999999999999002</v>
      </c>
      <c r="G79" s="376">
        <v>16.499999999999002</v>
      </c>
      <c r="H79" s="378">
        <v>1.7735099999990001</v>
      </c>
      <c r="I79" s="375">
        <v>15.961600000000001</v>
      </c>
      <c r="J79" s="376">
        <v>-0.53839999999900001</v>
      </c>
      <c r="K79" s="379">
        <v>0.72552727272700002</v>
      </c>
    </row>
    <row r="80" spans="1:11" ht="14.45" customHeight="1" thickBot="1" x14ac:dyDescent="0.25">
      <c r="A80" s="392" t="s">
        <v>286</v>
      </c>
      <c r="B80" s="370">
        <v>19.257138815145002</v>
      </c>
      <c r="C80" s="370">
        <v>18.908000000000001</v>
      </c>
      <c r="D80" s="371">
        <v>-0.349138815145</v>
      </c>
      <c r="E80" s="372">
        <v>0.98186964229200002</v>
      </c>
      <c r="F80" s="370">
        <v>18.999999999999002</v>
      </c>
      <c r="G80" s="371">
        <v>14.249999999999</v>
      </c>
      <c r="H80" s="373">
        <v>1.544419999999</v>
      </c>
      <c r="I80" s="370">
        <v>13.89981</v>
      </c>
      <c r="J80" s="371">
        <v>-0.35018999999900002</v>
      </c>
      <c r="K80" s="374">
        <v>0.73156894736800004</v>
      </c>
    </row>
    <row r="81" spans="1:11" ht="14.45" customHeight="1" thickBot="1" x14ac:dyDescent="0.25">
      <c r="A81" s="392" t="s">
        <v>287</v>
      </c>
      <c r="B81" s="370">
        <v>2.7674166376730001</v>
      </c>
      <c r="C81" s="370">
        <v>2.8330000000000002</v>
      </c>
      <c r="D81" s="371">
        <v>6.5583362325999997E-2</v>
      </c>
      <c r="E81" s="372">
        <v>1.0236984057380001</v>
      </c>
      <c r="F81" s="370">
        <v>2.9999999999989999</v>
      </c>
      <c r="G81" s="371">
        <v>2.2499999999989999</v>
      </c>
      <c r="H81" s="373">
        <v>0.22908999999900001</v>
      </c>
      <c r="I81" s="370">
        <v>2.0617899999999998</v>
      </c>
      <c r="J81" s="371">
        <v>-0.18820999999900001</v>
      </c>
      <c r="K81" s="374">
        <v>0.68726333333300005</v>
      </c>
    </row>
    <row r="82" spans="1:11" ht="14.45" customHeight="1" thickBot="1" x14ac:dyDescent="0.25">
      <c r="A82" s="390" t="s">
        <v>288</v>
      </c>
      <c r="B82" s="370">
        <v>0</v>
      </c>
      <c r="C82" s="370">
        <v>5.5659999999999998</v>
      </c>
      <c r="D82" s="371">
        <v>5.5659999999999998</v>
      </c>
      <c r="E82" s="380" t="s">
        <v>214</v>
      </c>
      <c r="F82" s="370">
        <v>0</v>
      </c>
      <c r="G82" s="371">
        <v>0</v>
      </c>
      <c r="H82" s="373">
        <v>0</v>
      </c>
      <c r="I82" s="370">
        <v>0</v>
      </c>
      <c r="J82" s="371">
        <v>0</v>
      </c>
      <c r="K82" s="382" t="s">
        <v>214</v>
      </c>
    </row>
    <row r="83" spans="1:11" ht="14.45" customHeight="1" thickBot="1" x14ac:dyDescent="0.25">
      <c r="A83" s="391" t="s">
        <v>289</v>
      </c>
      <c r="B83" s="375">
        <v>0</v>
      </c>
      <c r="C83" s="375">
        <v>5.5659999999999998</v>
      </c>
      <c r="D83" s="376">
        <v>5.5659999999999998</v>
      </c>
      <c r="E83" s="383" t="s">
        <v>225</v>
      </c>
      <c r="F83" s="375">
        <v>0</v>
      </c>
      <c r="G83" s="376">
        <v>0</v>
      </c>
      <c r="H83" s="378">
        <v>0</v>
      </c>
      <c r="I83" s="375">
        <v>0</v>
      </c>
      <c r="J83" s="376">
        <v>0</v>
      </c>
      <c r="K83" s="379">
        <v>0</v>
      </c>
    </row>
    <row r="84" spans="1:11" ht="14.45" customHeight="1" thickBot="1" x14ac:dyDescent="0.25">
      <c r="A84" s="392" t="s">
        <v>290</v>
      </c>
      <c r="B84" s="370">
        <v>0</v>
      </c>
      <c r="C84" s="370">
        <v>5.5659999999999998</v>
      </c>
      <c r="D84" s="371">
        <v>5.5659999999999998</v>
      </c>
      <c r="E84" s="380" t="s">
        <v>225</v>
      </c>
      <c r="F84" s="370">
        <v>0</v>
      </c>
      <c r="G84" s="371">
        <v>0</v>
      </c>
      <c r="H84" s="373">
        <v>0</v>
      </c>
      <c r="I84" s="370">
        <v>0</v>
      </c>
      <c r="J84" s="371">
        <v>0</v>
      </c>
      <c r="K84" s="374">
        <v>0</v>
      </c>
    </row>
    <row r="85" spans="1:11" ht="14.45" customHeight="1" thickBot="1" x14ac:dyDescent="0.25">
      <c r="A85" s="388" t="s">
        <v>291</v>
      </c>
      <c r="B85" s="370">
        <v>1926.7649449140499</v>
      </c>
      <c r="C85" s="370">
        <v>3173.5175199999999</v>
      </c>
      <c r="D85" s="371">
        <v>1246.75257508595</v>
      </c>
      <c r="E85" s="372">
        <v>1.6470704059550001</v>
      </c>
      <c r="F85" s="370">
        <v>3735.8315620824201</v>
      </c>
      <c r="G85" s="371">
        <v>2801.8736715618202</v>
      </c>
      <c r="H85" s="373">
        <v>521.50991999999997</v>
      </c>
      <c r="I85" s="370">
        <v>2923.07296</v>
      </c>
      <c r="J85" s="371">
        <v>121.199288438184</v>
      </c>
      <c r="K85" s="374">
        <v>0.78244238569699998</v>
      </c>
    </row>
    <row r="86" spans="1:11" ht="14.45" customHeight="1" thickBot="1" x14ac:dyDescent="0.25">
      <c r="A86" s="389" t="s">
        <v>292</v>
      </c>
      <c r="B86" s="370">
        <v>1926.7649449140499</v>
      </c>
      <c r="C86" s="370">
        <v>3167.7324199999998</v>
      </c>
      <c r="D86" s="371">
        <v>1240.9674750859499</v>
      </c>
      <c r="E86" s="372">
        <v>1.6440679120520001</v>
      </c>
      <c r="F86" s="370">
        <v>3735.8315620824201</v>
      </c>
      <c r="G86" s="371">
        <v>2801.8736715618202</v>
      </c>
      <c r="H86" s="373">
        <v>506.50992000000002</v>
      </c>
      <c r="I86" s="370">
        <v>2908.07296</v>
      </c>
      <c r="J86" s="371">
        <v>106.199288438184</v>
      </c>
      <c r="K86" s="374">
        <v>0.77842721537899995</v>
      </c>
    </row>
    <row r="87" spans="1:11" ht="14.45" customHeight="1" thickBot="1" x14ac:dyDescent="0.25">
      <c r="A87" s="390" t="s">
        <v>293</v>
      </c>
      <c r="B87" s="370">
        <v>1926.7649449140499</v>
      </c>
      <c r="C87" s="370">
        <v>3167.7324199999998</v>
      </c>
      <c r="D87" s="371">
        <v>1240.9674750859499</v>
      </c>
      <c r="E87" s="372">
        <v>1.6440679120520001</v>
      </c>
      <c r="F87" s="370">
        <v>3735.8315620824201</v>
      </c>
      <c r="G87" s="371">
        <v>2801.8736715618202</v>
      </c>
      <c r="H87" s="373">
        <v>506.50992000000002</v>
      </c>
      <c r="I87" s="370">
        <v>2908.07296</v>
      </c>
      <c r="J87" s="371">
        <v>106.199288438184</v>
      </c>
      <c r="K87" s="374">
        <v>0.77842721537899995</v>
      </c>
    </row>
    <row r="88" spans="1:11" ht="14.45" customHeight="1" thickBot="1" x14ac:dyDescent="0.25">
      <c r="A88" s="391" t="s">
        <v>294</v>
      </c>
      <c r="B88" s="375">
        <v>0</v>
      </c>
      <c r="C88" s="375">
        <v>0.1913</v>
      </c>
      <c r="D88" s="376">
        <v>0.1913</v>
      </c>
      <c r="E88" s="383" t="s">
        <v>225</v>
      </c>
      <c r="F88" s="375">
        <v>0.18192918203799999</v>
      </c>
      <c r="G88" s="376">
        <v>0.13644688652799999</v>
      </c>
      <c r="H88" s="378">
        <v>0</v>
      </c>
      <c r="I88" s="375">
        <v>0</v>
      </c>
      <c r="J88" s="376">
        <v>-0.13644688652799999</v>
      </c>
      <c r="K88" s="379">
        <v>0</v>
      </c>
    </row>
    <row r="89" spans="1:11" ht="14.45" customHeight="1" thickBot="1" x14ac:dyDescent="0.25">
      <c r="A89" s="392" t="s">
        <v>295</v>
      </c>
      <c r="B89" s="370">
        <v>0</v>
      </c>
      <c r="C89" s="370">
        <v>0.1913</v>
      </c>
      <c r="D89" s="371">
        <v>0.1913</v>
      </c>
      <c r="E89" s="380" t="s">
        <v>225</v>
      </c>
      <c r="F89" s="370">
        <v>0.18192918203799999</v>
      </c>
      <c r="G89" s="371">
        <v>0.13644688652799999</v>
      </c>
      <c r="H89" s="373">
        <v>0</v>
      </c>
      <c r="I89" s="370">
        <v>0</v>
      </c>
      <c r="J89" s="371">
        <v>-0.13644688652799999</v>
      </c>
      <c r="K89" s="374">
        <v>0</v>
      </c>
    </row>
    <row r="90" spans="1:11" ht="14.45" customHeight="1" thickBot="1" x14ac:dyDescent="0.25">
      <c r="A90" s="394" t="s">
        <v>296</v>
      </c>
      <c r="B90" s="370">
        <v>0.76415386440300004</v>
      </c>
      <c r="C90" s="370">
        <v>0</v>
      </c>
      <c r="D90" s="371">
        <v>-0.76415386440300004</v>
      </c>
      <c r="E90" s="372">
        <v>0</v>
      </c>
      <c r="F90" s="370">
        <v>0</v>
      </c>
      <c r="G90" s="371">
        <v>0</v>
      </c>
      <c r="H90" s="373">
        <v>0</v>
      </c>
      <c r="I90" s="370">
        <v>0</v>
      </c>
      <c r="J90" s="371">
        <v>0</v>
      </c>
      <c r="K90" s="374">
        <v>0</v>
      </c>
    </row>
    <row r="91" spans="1:11" ht="14.45" customHeight="1" thickBot="1" x14ac:dyDescent="0.25">
      <c r="A91" s="392" t="s">
        <v>297</v>
      </c>
      <c r="B91" s="370">
        <v>0.76415386440300004</v>
      </c>
      <c r="C91" s="370">
        <v>0</v>
      </c>
      <c r="D91" s="371">
        <v>-0.76415386440300004</v>
      </c>
      <c r="E91" s="372">
        <v>0</v>
      </c>
      <c r="F91" s="370">
        <v>0</v>
      </c>
      <c r="G91" s="371">
        <v>0</v>
      </c>
      <c r="H91" s="373">
        <v>0</v>
      </c>
      <c r="I91" s="370">
        <v>0</v>
      </c>
      <c r="J91" s="371">
        <v>0</v>
      </c>
      <c r="K91" s="374">
        <v>0</v>
      </c>
    </row>
    <row r="92" spans="1:11" ht="14.45" customHeight="1" thickBot="1" x14ac:dyDescent="0.25">
      <c r="A92" s="391" t="s">
        <v>298</v>
      </c>
      <c r="B92" s="375">
        <v>1926.0007910496399</v>
      </c>
      <c r="C92" s="375">
        <v>3021.2627600000001</v>
      </c>
      <c r="D92" s="376">
        <v>1095.2619689503599</v>
      </c>
      <c r="E92" s="377">
        <v>1.5686716090870001</v>
      </c>
      <c r="F92" s="375">
        <v>3735.6496329003799</v>
      </c>
      <c r="G92" s="376">
        <v>2801.7372246752898</v>
      </c>
      <c r="H92" s="378">
        <v>506.50992000000002</v>
      </c>
      <c r="I92" s="375">
        <v>2859.4949000000001</v>
      </c>
      <c r="J92" s="376">
        <v>57.757675324711997</v>
      </c>
      <c r="K92" s="379">
        <v>0.76546121317500004</v>
      </c>
    </row>
    <row r="93" spans="1:11" ht="14.45" customHeight="1" thickBot="1" x14ac:dyDescent="0.25">
      <c r="A93" s="392" t="s">
        <v>299</v>
      </c>
      <c r="B93" s="370">
        <v>678.51229149528001</v>
      </c>
      <c r="C93" s="370">
        <v>1119.8043299999999</v>
      </c>
      <c r="D93" s="371">
        <v>441.29203850471998</v>
      </c>
      <c r="E93" s="372">
        <v>1.6503817897419999</v>
      </c>
      <c r="F93" s="370">
        <v>0</v>
      </c>
      <c r="G93" s="371">
        <v>0</v>
      </c>
      <c r="H93" s="373">
        <v>0</v>
      </c>
      <c r="I93" s="370">
        <v>0</v>
      </c>
      <c r="J93" s="371">
        <v>0</v>
      </c>
      <c r="K93" s="382" t="s">
        <v>214</v>
      </c>
    </row>
    <row r="94" spans="1:11" ht="14.45" customHeight="1" thickBot="1" x14ac:dyDescent="0.25">
      <c r="A94" s="392" t="s">
        <v>300</v>
      </c>
      <c r="B94" s="370">
        <v>1247.48849955436</v>
      </c>
      <c r="C94" s="370">
        <v>1901.4584299999999</v>
      </c>
      <c r="D94" s="371">
        <v>653.96993044563601</v>
      </c>
      <c r="E94" s="372">
        <v>1.524229225904</v>
      </c>
      <c r="F94" s="370">
        <v>3735.6496329003799</v>
      </c>
      <c r="G94" s="371">
        <v>2801.7372246752898</v>
      </c>
      <c r="H94" s="373">
        <v>506.50992000000002</v>
      </c>
      <c r="I94" s="370">
        <v>2859.4949000000001</v>
      </c>
      <c r="J94" s="371">
        <v>57.757675324711997</v>
      </c>
      <c r="K94" s="374">
        <v>0.76546121317500004</v>
      </c>
    </row>
    <row r="95" spans="1:11" ht="14.45" customHeight="1" thickBot="1" x14ac:dyDescent="0.25">
      <c r="A95" s="391" t="s">
        <v>301</v>
      </c>
      <c r="B95" s="375">
        <v>0</v>
      </c>
      <c r="C95" s="375">
        <v>146.27835999999999</v>
      </c>
      <c r="D95" s="376">
        <v>146.27835999999999</v>
      </c>
      <c r="E95" s="383" t="s">
        <v>214</v>
      </c>
      <c r="F95" s="375">
        <v>0</v>
      </c>
      <c r="G95" s="376">
        <v>0</v>
      </c>
      <c r="H95" s="378">
        <v>0</v>
      </c>
      <c r="I95" s="375">
        <v>48.578059999998999</v>
      </c>
      <c r="J95" s="376">
        <v>48.578059999998999</v>
      </c>
      <c r="K95" s="381" t="s">
        <v>214</v>
      </c>
    </row>
    <row r="96" spans="1:11" ht="14.45" customHeight="1" thickBot="1" x14ac:dyDescent="0.25">
      <c r="A96" s="392" t="s">
        <v>302</v>
      </c>
      <c r="B96" s="370">
        <v>0</v>
      </c>
      <c r="C96" s="370">
        <v>40.838740000000001</v>
      </c>
      <c r="D96" s="371">
        <v>40.838740000000001</v>
      </c>
      <c r="E96" s="380" t="s">
        <v>214</v>
      </c>
      <c r="F96" s="370">
        <v>0</v>
      </c>
      <c r="G96" s="371">
        <v>0</v>
      </c>
      <c r="H96" s="373">
        <v>0</v>
      </c>
      <c r="I96" s="370">
        <v>0</v>
      </c>
      <c r="J96" s="371">
        <v>0</v>
      </c>
      <c r="K96" s="382" t="s">
        <v>214</v>
      </c>
    </row>
    <row r="97" spans="1:11" ht="14.45" customHeight="1" thickBot="1" x14ac:dyDescent="0.25">
      <c r="A97" s="392" t="s">
        <v>303</v>
      </c>
      <c r="B97" s="370">
        <v>0</v>
      </c>
      <c r="C97" s="370">
        <v>105.43962000000001</v>
      </c>
      <c r="D97" s="371">
        <v>105.43962000000001</v>
      </c>
      <c r="E97" s="380" t="s">
        <v>214</v>
      </c>
      <c r="F97" s="370">
        <v>0</v>
      </c>
      <c r="G97" s="371">
        <v>0</v>
      </c>
      <c r="H97" s="373">
        <v>0</v>
      </c>
      <c r="I97" s="370">
        <v>48.578059999998999</v>
      </c>
      <c r="J97" s="371">
        <v>48.578059999998999</v>
      </c>
      <c r="K97" s="382" t="s">
        <v>214</v>
      </c>
    </row>
    <row r="98" spans="1:11" ht="14.45" customHeight="1" thickBot="1" x14ac:dyDescent="0.25">
      <c r="A98" s="389" t="s">
        <v>304</v>
      </c>
      <c r="B98" s="370">
        <v>0</v>
      </c>
      <c r="C98" s="370">
        <v>5.7850999999999999</v>
      </c>
      <c r="D98" s="371">
        <v>5.7850999999999999</v>
      </c>
      <c r="E98" s="380" t="s">
        <v>214</v>
      </c>
      <c r="F98" s="370">
        <v>0</v>
      </c>
      <c r="G98" s="371">
        <v>0</v>
      </c>
      <c r="H98" s="373">
        <v>15</v>
      </c>
      <c r="I98" s="370">
        <v>15</v>
      </c>
      <c r="J98" s="371">
        <v>15</v>
      </c>
      <c r="K98" s="382" t="s">
        <v>214</v>
      </c>
    </row>
    <row r="99" spans="1:11" ht="14.45" customHeight="1" thickBot="1" x14ac:dyDescent="0.25">
      <c r="A99" s="390" t="s">
        <v>305</v>
      </c>
      <c r="B99" s="370">
        <v>0</v>
      </c>
      <c r="C99" s="370">
        <v>0</v>
      </c>
      <c r="D99" s="371">
        <v>0</v>
      </c>
      <c r="E99" s="380" t="s">
        <v>214</v>
      </c>
      <c r="F99" s="370">
        <v>0</v>
      </c>
      <c r="G99" s="371">
        <v>0</v>
      </c>
      <c r="H99" s="373">
        <v>15</v>
      </c>
      <c r="I99" s="370">
        <v>15</v>
      </c>
      <c r="J99" s="371">
        <v>15</v>
      </c>
      <c r="K99" s="382" t="s">
        <v>225</v>
      </c>
    </row>
    <row r="100" spans="1:11" ht="14.45" customHeight="1" thickBot="1" x14ac:dyDescent="0.25">
      <c r="A100" s="391" t="s">
        <v>306</v>
      </c>
      <c r="B100" s="375">
        <v>0</v>
      </c>
      <c r="C100" s="375">
        <v>0</v>
      </c>
      <c r="D100" s="376">
        <v>0</v>
      </c>
      <c r="E100" s="383" t="s">
        <v>214</v>
      </c>
      <c r="F100" s="375">
        <v>0</v>
      </c>
      <c r="G100" s="376">
        <v>0</v>
      </c>
      <c r="H100" s="378">
        <v>15</v>
      </c>
      <c r="I100" s="375">
        <v>15</v>
      </c>
      <c r="J100" s="376">
        <v>15</v>
      </c>
      <c r="K100" s="381" t="s">
        <v>225</v>
      </c>
    </row>
    <row r="101" spans="1:11" ht="14.45" customHeight="1" thickBot="1" x14ac:dyDescent="0.25">
      <c r="A101" s="392" t="s">
        <v>307</v>
      </c>
      <c r="B101" s="370">
        <v>0</v>
      </c>
      <c r="C101" s="370">
        <v>0</v>
      </c>
      <c r="D101" s="371">
        <v>0</v>
      </c>
      <c r="E101" s="380" t="s">
        <v>214</v>
      </c>
      <c r="F101" s="370">
        <v>0</v>
      </c>
      <c r="G101" s="371">
        <v>0</v>
      </c>
      <c r="H101" s="373">
        <v>15</v>
      </c>
      <c r="I101" s="370">
        <v>15</v>
      </c>
      <c r="J101" s="371">
        <v>15</v>
      </c>
      <c r="K101" s="382" t="s">
        <v>225</v>
      </c>
    </row>
    <row r="102" spans="1:11" ht="14.45" customHeight="1" thickBot="1" x14ac:dyDescent="0.25">
      <c r="A102" s="395" t="s">
        <v>308</v>
      </c>
      <c r="B102" s="375">
        <v>0</v>
      </c>
      <c r="C102" s="375">
        <v>5.7850999999999999</v>
      </c>
      <c r="D102" s="376">
        <v>5.7850999999999999</v>
      </c>
      <c r="E102" s="383" t="s">
        <v>214</v>
      </c>
      <c r="F102" s="375">
        <v>0</v>
      </c>
      <c r="G102" s="376">
        <v>0</v>
      </c>
      <c r="H102" s="378">
        <v>0</v>
      </c>
      <c r="I102" s="375">
        <v>0</v>
      </c>
      <c r="J102" s="376">
        <v>0</v>
      </c>
      <c r="K102" s="381" t="s">
        <v>214</v>
      </c>
    </row>
    <row r="103" spans="1:11" ht="14.45" customHeight="1" thickBot="1" x14ac:dyDescent="0.25">
      <c r="A103" s="391" t="s">
        <v>309</v>
      </c>
      <c r="B103" s="375">
        <v>0</v>
      </c>
      <c r="C103" s="375">
        <v>-1E-4</v>
      </c>
      <c r="D103" s="376">
        <v>-1E-4</v>
      </c>
      <c r="E103" s="383" t="s">
        <v>214</v>
      </c>
      <c r="F103" s="375">
        <v>0</v>
      </c>
      <c r="G103" s="376">
        <v>0</v>
      </c>
      <c r="H103" s="378">
        <v>0</v>
      </c>
      <c r="I103" s="375">
        <v>0</v>
      </c>
      <c r="J103" s="376">
        <v>0</v>
      </c>
      <c r="K103" s="381" t="s">
        <v>214</v>
      </c>
    </row>
    <row r="104" spans="1:11" ht="14.45" customHeight="1" thickBot="1" x14ac:dyDescent="0.25">
      <c r="A104" s="392" t="s">
        <v>310</v>
      </c>
      <c r="B104" s="370">
        <v>0</v>
      </c>
      <c r="C104" s="370">
        <v>-1E-4</v>
      </c>
      <c r="D104" s="371">
        <v>-1E-4</v>
      </c>
      <c r="E104" s="380" t="s">
        <v>225</v>
      </c>
      <c r="F104" s="370">
        <v>0</v>
      </c>
      <c r="G104" s="371">
        <v>0</v>
      </c>
      <c r="H104" s="373">
        <v>0</v>
      </c>
      <c r="I104" s="370">
        <v>0</v>
      </c>
      <c r="J104" s="371">
        <v>0</v>
      </c>
      <c r="K104" s="382" t="s">
        <v>214</v>
      </c>
    </row>
    <row r="105" spans="1:11" ht="14.45" customHeight="1" thickBot="1" x14ac:dyDescent="0.25">
      <c r="A105" s="391" t="s">
        <v>311</v>
      </c>
      <c r="B105" s="375">
        <v>0</v>
      </c>
      <c r="C105" s="375">
        <v>5.7851999999999997</v>
      </c>
      <c r="D105" s="376">
        <v>5.7851999999999997</v>
      </c>
      <c r="E105" s="383" t="s">
        <v>225</v>
      </c>
      <c r="F105" s="375">
        <v>0</v>
      </c>
      <c r="G105" s="376">
        <v>0</v>
      </c>
      <c r="H105" s="378">
        <v>0</v>
      </c>
      <c r="I105" s="375">
        <v>0</v>
      </c>
      <c r="J105" s="376">
        <v>0</v>
      </c>
      <c r="K105" s="381" t="s">
        <v>214</v>
      </c>
    </row>
    <row r="106" spans="1:11" ht="14.45" customHeight="1" thickBot="1" x14ac:dyDescent="0.25">
      <c r="A106" s="392" t="s">
        <v>312</v>
      </c>
      <c r="B106" s="370">
        <v>0</v>
      </c>
      <c r="C106" s="370">
        <v>5.7851999999999997</v>
      </c>
      <c r="D106" s="371">
        <v>5.7851999999999997</v>
      </c>
      <c r="E106" s="380" t="s">
        <v>225</v>
      </c>
      <c r="F106" s="370">
        <v>0</v>
      </c>
      <c r="G106" s="371">
        <v>0</v>
      </c>
      <c r="H106" s="373">
        <v>0</v>
      </c>
      <c r="I106" s="370">
        <v>0</v>
      </c>
      <c r="J106" s="371">
        <v>0</v>
      </c>
      <c r="K106" s="382" t="s">
        <v>214</v>
      </c>
    </row>
    <row r="107" spans="1:11" ht="14.45" customHeight="1" thickBot="1" x14ac:dyDescent="0.25">
      <c r="A107" s="388" t="s">
        <v>313</v>
      </c>
      <c r="B107" s="370">
        <v>531.26276105456304</v>
      </c>
      <c r="C107" s="370">
        <v>534.01505999999995</v>
      </c>
      <c r="D107" s="371">
        <v>2.7522989454369999</v>
      </c>
      <c r="E107" s="372">
        <v>1.00518067357</v>
      </c>
      <c r="F107" s="370">
        <v>543.83877935298096</v>
      </c>
      <c r="G107" s="371">
        <v>407.87908451473601</v>
      </c>
      <c r="H107" s="373">
        <v>43.621690000000001</v>
      </c>
      <c r="I107" s="370">
        <v>436.42908999999997</v>
      </c>
      <c r="J107" s="371">
        <v>28.550005485263998</v>
      </c>
      <c r="K107" s="374">
        <v>0.80249718587399999</v>
      </c>
    </row>
    <row r="108" spans="1:11" ht="14.45" customHeight="1" thickBot="1" x14ac:dyDescent="0.25">
      <c r="A108" s="393" t="s">
        <v>314</v>
      </c>
      <c r="B108" s="375">
        <v>531.26276105456304</v>
      </c>
      <c r="C108" s="375">
        <v>534.01505999999995</v>
      </c>
      <c r="D108" s="376">
        <v>2.7522989454369999</v>
      </c>
      <c r="E108" s="377">
        <v>1.00518067357</v>
      </c>
      <c r="F108" s="375">
        <v>543.83877935298096</v>
      </c>
      <c r="G108" s="376">
        <v>407.87908451473601</v>
      </c>
      <c r="H108" s="378">
        <v>43.621690000000001</v>
      </c>
      <c r="I108" s="375">
        <v>436.42908999999997</v>
      </c>
      <c r="J108" s="376">
        <v>28.550005485263998</v>
      </c>
      <c r="K108" s="379">
        <v>0.80249718587399999</v>
      </c>
    </row>
    <row r="109" spans="1:11" ht="14.45" customHeight="1" thickBot="1" x14ac:dyDescent="0.25">
      <c r="A109" s="395" t="s">
        <v>29</v>
      </c>
      <c r="B109" s="375">
        <v>531.26276105456304</v>
      </c>
      <c r="C109" s="375">
        <v>534.01505999999995</v>
      </c>
      <c r="D109" s="376">
        <v>2.7522989454369999</v>
      </c>
      <c r="E109" s="377">
        <v>1.00518067357</v>
      </c>
      <c r="F109" s="375">
        <v>543.83877935298096</v>
      </c>
      <c r="G109" s="376">
        <v>407.87908451473601</v>
      </c>
      <c r="H109" s="378">
        <v>43.621690000000001</v>
      </c>
      <c r="I109" s="375">
        <v>436.42908999999997</v>
      </c>
      <c r="J109" s="376">
        <v>28.550005485263998</v>
      </c>
      <c r="K109" s="379">
        <v>0.80249718587399999</v>
      </c>
    </row>
    <row r="110" spans="1:11" ht="14.45" customHeight="1" thickBot="1" x14ac:dyDescent="0.25">
      <c r="A110" s="391" t="s">
        <v>315</v>
      </c>
      <c r="B110" s="375">
        <v>4.3126787440239998</v>
      </c>
      <c r="C110" s="375">
        <v>2.7989999999999999</v>
      </c>
      <c r="D110" s="376">
        <v>-1.513678744024</v>
      </c>
      <c r="E110" s="377">
        <v>0.64901657789300005</v>
      </c>
      <c r="F110" s="375">
        <v>2.9247054621949999</v>
      </c>
      <c r="G110" s="376">
        <v>2.1935290966459999</v>
      </c>
      <c r="H110" s="378">
        <v>0.99</v>
      </c>
      <c r="I110" s="375">
        <v>1.3480000000000001</v>
      </c>
      <c r="J110" s="376">
        <v>-0.84552909664599996</v>
      </c>
      <c r="K110" s="379">
        <v>0.460901112068</v>
      </c>
    </row>
    <row r="111" spans="1:11" ht="14.45" customHeight="1" thickBot="1" x14ac:dyDescent="0.25">
      <c r="A111" s="392" t="s">
        <v>316</v>
      </c>
      <c r="B111" s="370">
        <v>4.3126787440239998</v>
      </c>
      <c r="C111" s="370">
        <v>2.7989999999999999</v>
      </c>
      <c r="D111" s="371">
        <v>-1.513678744024</v>
      </c>
      <c r="E111" s="372">
        <v>0.64901657789300005</v>
      </c>
      <c r="F111" s="370">
        <v>2.9247054621949999</v>
      </c>
      <c r="G111" s="371">
        <v>2.1935290966459999</v>
      </c>
      <c r="H111" s="373">
        <v>0.99</v>
      </c>
      <c r="I111" s="370">
        <v>1.3480000000000001</v>
      </c>
      <c r="J111" s="371">
        <v>-0.84552909664599996</v>
      </c>
      <c r="K111" s="374">
        <v>0.460901112068</v>
      </c>
    </row>
    <row r="112" spans="1:11" ht="14.45" customHeight="1" thickBot="1" x14ac:dyDescent="0.25">
      <c r="A112" s="391" t="s">
        <v>317</v>
      </c>
      <c r="B112" s="375">
        <v>0</v>
      </c>
      <c r="C112" s="375">
        <v>0.14699999999999999</v>
      </c>
      <c r="D112" s="376">
        <v>0.14699999999999999</v>
      </c>
      <c r="E112" s="383" t="s">
        <v>225</v>
      </c>
      <c r="F112" s="375">
        <v>0</v>
      </c>
      <c r="G112" s="376">
        <v>0</v>
      </c>
      <c r="H112" s="378">
        <v>0</v>
      </c>
      <c r="I112" s="375">
        <v>0</v>
      </c>
      <c r="J112" s="376">
        <v>0</v>
      </c>
      <c r="K112" s="379">
        <v>0</v>
      </c>
    </row>
    <row r="113" spans="1:11" ht="14.45" customHeight="1" thickBot="1" x14ac:dyDescent="0.25">
      <c r="A113" s="392" t="s">
        <v>318</v>
      </c>
      <c r="B113" s="370">
        <v>0</v>
      </c>
      <c r="C113" s="370">
        <v>0.14699999999999999</v>
      </c>
      <c r="D113" s="371">
        <v>0.14699999999999999</v>
      </c>
      <c r="E113" s="380" t="s">
        <v>225</v>
      </c>
      <c r="F113" s="370">
        <v>0</v>
      </c>
      <c r="G113" s="371">
        <v>0</v>
      </c>
      <c r="H113" s="373">
        <v>0</v>
      </c>
      <c r="I113" s="370">
        <v>0</v>
      </c>
      <c r="J113" s="371">
        <v>0</v>
      </c>
      <c r="K113" s="374">
        <v>0</v>
      </c>
    </row>
    <row r="114" spans="1:11" ht="14.45" customHeight="1" thickBot="1" x14ac:dyDescent="0.25">
      <c r="A114" s="391" t="s">
        <v>319</v>
      </c>
      <c r="B114" s="375">
        <v>2.2260016179640001</v>
      </c>
      <c r="C114" s="375">
        <v>2.0602999999999998</v>
      </c>
      <c r="D114" s="376">
        <v>-0.16570161796399999</v>
      </c>
      <c r="E114" s="377">
        <v>0.92556087262999998</v>
      </c>
      <c r="F114" s="375">
        <v>2.0400074853030001</v>
      </c>
      <c r="G114" s="376">
        <v>1.530005613977</v>
      </c>
      <c r="H114" s="378">
        <v>0</v>
      </c>
      <c r="I114" s="375">
        <v>0.52059999999999995</v>
      </c>
      <c r="J114" s="376">
        <v>-1.009405613977</v>
      </c>
      <c r="K114" s="379">
        <v>0.255195142052</v>
      </c>
    </row>
    <row r="115" spans="1:11" ht="14.45" customHeight="1" thickBot="1" x14ac:dyDescent="0.25">
      <c r="A115" s="392" t="s">
        <v>320</v>
      </c>
      <c r="B115" s="370">
        <v>2.2260016179640001</v>
      </c>
      <c r="C115" s="370">
        <v>2.0602999999999998</v>
      </c>
      <c r="D115" s="371">
        <v>-0.16570161796399999</v>
      </c>
      <c r="E115" s="372">
        <v>0.92556087262999998</v>
      </c>
      <c r="F115" s="370">
        <v>2.0400074853030001</v>
      </c>
      <c r="G115" s="371">
        <v>1.530005613977</v>
      </c>
      <c r="H115" s="373">
        <v>0</v>
      </c>
      <c r="I115" s="370">
        <v>0.52059999999999995</v>
      </c>
      <c r="J115" s="371">
        <v>-1.009405613977</v>
      </c>
      <c r="K115" s="374">
        <v>0.255195142052</v>
      </c>
    </row>
    <row r="116" spans="1:11" ht="14.45" customHeight="1" thickBot="1" x14ac:dyDescent="0.25">
      <c r="A116" s="391" t="s">
        <v>321</v>
      </c>
      <c r="B116" s="375">
        <v>133.88959628331199</v>
      </c>
      <c r="C116" s="375">
        <v>112.13939000000001</v>
      </c>
      <c r="D116" s="376">
        <v>-21.750206283312</v>
      </c>
      <c r="E116" s="377">
        <v>0.83755118480299995</v>
      </c>
      <c r="F116" s="375">
        <v>150.56957828616299</v>
      </c>
      <c r="G116" s="376">
        <v>112.927183714622</v>
      </c>
      <c r="H116" s="378">
        <v>9.1690199999999997</v>
      </c>
      <c r="I116" s="375">
        <v>97.836169999999996</v>
      </c>
      <c r="J116" s="376">
        <v>-15.091013714621999</v>
      </c>
      <c r="K116" s="379">
        <v>0.64977381960900005</v>
      </c>
    </row>
    <row r="117" spans="1:11" ht="14.45" customHeight="1" thickBot="1" x14ac:dyDescent="0.25">
      <c r="A117" s="392" t="s">
        <v>322</v>
      </c>
      <c r="B117" s="370">
        <v>133.88959628331199</v>
      </c>
      <c r="C117" s="370">
        <v>112.13939000000001</v>
      </c>
      <c r="D117" s="371">
        <v>-21.750206283312</v>
      </c>
      <c r="E117" s="372">
        <v>0.83755118480299995</v>
      </c>
      <c r="F117" s="370">
        <v>150.56957828616299</v>
      </c>
      <c r="G117" s="371">
        <v>112.927183714622</v>
      </c>
      <c r="H117" s="373">
        <v>9.1690199999999997</v>
      </c>
      <c r="I117" s="370">
        <v>97.836169999999996</v>
      </c>
      <c r="J117" s="371">
        <v>-15.091013714621999</v>
      </c>
      <c r="K117" s="374">
        <v>0.64977381960900005</v>
      </c>
    </row>
    <row r="118" spans="1:11" ht="14.45" customHeight="1" thickBot="1" x14ac:dyDescent="0.25">
      <c r="A118" s="391" t="s">
        <v>323</v>
      </c>
      <c r="B118" s="375">
        <v>390.83448440926202</v>
      </c>
      <c r="C118" s="375">
        <v>416.86937</v>
      </c>
      <c r="D118" s="376">
        <v>26.034885590738</v>
      </c>
      <c r="E118" s="377">
        <v>1.066613583573</v>
      </c>
      <c r="F118" s="375">
        <v>388.30448811931899</v>
      </c>
      <c r="G118" s="376">
        <v>291.22836608948899</v>
      </c>
      <c r="H118" s="378">
        <v>33.462670000000003</v>
      </c>
      <c r="I118" s="375">
        <v>336.72431999999998</v>
      </c>
      <c r="J118" s="376">
        <v>45.495953910510003</v>
      </c>
      <c r="K118" s="379">
        <v>0.86716566586900001</v>
      </c>
    </row>
    <row r="119" spans="1:11" ht="14.45" customHeight="1" thickBot="1" x14ac:dyDescent="0.25">
      <c r="A119" s="392" t="s">
        <v>324</v>
      </c>
      <c r="B119" s="370">
        <v>390.83448440926202</v>
      </c>
      <c r="C119" s="370">
        <v>416.86937</v>
      </c>
      <c r="D119" s="371">
        <v>26.034885590738</v>
      </c>
      <c r="E119" s="372">
        <v>1.066613583573</v>
      </c>
      <c r="F119" s="370">
        <v>388.30448811931899</v>
      </c>
      <c r="G119" s="371">
        <v>291.22836608948899</v>
      </c>
      <c r="H119" s="373">
        <v>33.462670000000003</v>
      </c>
      <c r="I119" s="370">
        <v>336.72431999999998</v>
      </c>
      <c r="J119" s="371">
        <v>45.495953910510003</v>
      </c>
      <c r="K119" s="374">
        <v>0.86716566586900001</v>
      </c>
    </row>
    <row r="120" spans="1:11" ht="14.45" customHeight="1" thickBot="1" x14ac:dyDescent="0.25">
      <c r="A120" s="396"/>
      <c r="B120" s="370">
        <v>-2495.2348698728501</v>
      </c>
      <c r="C120" s="370">
        <v>-1640.85952000001</v>
      </c>
      <c r="D120" s="371">
        <v>854.37534987284096</v>
      </c>
      <c r="E120" s="372">
        <v>0.65759722253399999</v>
      </c>
      <c r="F120" s="370">
        <v>-939.525265505834</v>
      </c>
      <c r="G120" s="371">
        <v>-704.64394912937496</v>
      </c>
      <c r="H120" s="373">
        <v>110.980740000002</v>
      </c>
      <c r="I120" s="370">
        <v>-891.72559999999703</v>
      </c>
      <c r="J120" s="371">
        <v>-187.08165087062099</v>
      </c>
      <c r="K120" s="374">
        <v>0.949123597564</v>
      </c>
    </row>
    <row r="121" spans="1:11" ht="14.45" customHeight="1" thickBot="1" x14ac:dyDescent="0.25">
      <c r="A121" s="397" t="s">
        <v>41</v>
      </c>
      <c r="B121" s="384">
        <v>-2495.2348698728501</v>
      </c>
      <c r="C121" s="384">
        <v>-1640.85952000001</v>
      </c>
      <c r="D121" s="385">
        <v>854.37534987284005</v>
      </c>
      <c r="E121" s="386">
        <v>-0.45825194280100001</v>
      </c>
      <c r="F121" s="384">
        <v>-939.525265505834</v>
      </c>
      <c r="G121" s="385">
        <v>-704.64394912937496</v>
      </c>
      <c r="H121" s="384">
        <v>110.980740000002</v>
      </c>
      <c r="I121" s="384">
        <v>-891.72559999999703</v>
      </c>
      <c r="J121" s="385">
        <v>-187.08165087062201</v>
      </c>
      <c r="K121" s="387">
        <v>0.949123597564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03D207C-4948-411F-A7D9-095782FBE41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5" bestFit="1" customWidth="1"/>
    <col min="3" max="3" width="6.140625" style="175" bestFit="1" customWidth="1"/>
    <col min="4" max="4" width="7.42578125" style="175" bestFit="1" customWidth="1"/>
    <col min="5" max="5" width="6.28515625" style="175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5" bestFit="1" customWidth="1"/>
    <col min="11" max="11" width="6.140625" style="175" bestFit="1" customWidth="1"/>
    <col min="12" max="12" width="7.42578125" style="175" bestFit="1" customWidth="1"/>
    <col min="13" max="13" width="6.28515625" style="175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1"/>
  </cols>
  <sheetData>
    <row r="1" spans="1:17" ht="18.600000000000001" customHeight="1" thickBot="1" x14ac:dyDescent="0.35">
      <c r="A1" s="303" t="s">
        <v>140</v>
      </c>
      <c r="B1" s="303"/>
      <c r="C1" s="303"/>
      <c r="D1" s="303"/>
      <c r="E1" s="303"/>
      <c r="F1" s="276"/>
      <c r="G1" s="276"/>
      <c r="H1" s="276"/>
      <c r="I1" s="276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90" t="s">
        <v>213</v>
      </c>
      <c r="B2" s="177"/>
      <c r="C2" s="177"/>
      <c r="D2" s="177"/>
      <c r="E2" s="177"/>
    </row>
    <row r="3" spans="1:17" ht="14.45" customHeight="1" thickBot="1" x14ac:dyDescent="0.25">
      <c r="A3" s="197" t="s">
        <v>2</v>
      </c>
      <c r="B3" s="201">
        <f>SUM(B6:B1048576)</f>
        <v>5</v>
      </c>
      <c r="C3" s="202">
        <f>SUM(C6:C1048576)</f>
        <v>0</v>
      </c>
      <c r="D3" s="202">
        <f>SUM(D6:D1048576)</f>
        <v>0</v>
      </c>
      <c r="E3" s="203">
        <f>SUM(E6:E1048576)</f>
        <v>0</v>
      </c>
      <c r="F3" s="200">
        <f>IF(SUM($B3:$E3)=0,"",B3/SUM($B3:$E3))</f>
        <v>1</v>
      </c>
      <c r="G3" s="198">
        <f t="shared" ref="G3:I3" si="0">IF(SUM($B3:$E3)=0,"",C3/SUM($B3:$E3))</f>
        <v>0</v>
      </c>
      <c r="H3" s="198">
        <f t="shared" si="0"/>
        <v>0</v>
      </c>
      <c r="I3" s="199">
        <f t="shared" si="0"/>
        <v>0</v>
      </c>
      <c r="J3" s="202">
        <f>SUM(J6:J1048576)</f>
        <v>3</v>
      </c>
      <c r="K3" s="202">
        <f>SUM(K6:K1048576)</f>
        <v>0</v>
      </c>
      <c r="L3" s="202">
        <f>SUM(L6:L1048576)</f>
        <v>0</v>
      </c>
      <c r="M3" s="203">
        <f>SUM(M6:M1048576)</f>
        <v>0</v>
      </c>
      <c r="N3" s="200">
        <f>IF(SUM($J3:$M3)=0,"",J3/SUM($J3:$M3))</f>
        <v>1</v>
      </c>
      <c r="O3" s="198">
        <f t="shared" ref="O3:Q3" si="1">IF(SUM($J3:$M3)=0,"",K3/SUM($J3:$M3))</f>
        <v>0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07" t="s">
        <v>142</v>
      </c>
      <c r="C4" s="308"/>
      <c r="D4" s="308"/>
      <c r="E4" s="309"/>
      <c r="F4" s="304" t="s">
        <v>147</v>
      </c>
      <c r="G4" s="305"/>
      <c r="H4" s="305"/>
      <c r="I4" s="306"/>
      <c r="J4" s="307" t="s">
        <v>148</v>
      </c>
      <c r="K4" s="308"/>
      <c r="L4" s="308"/>
      <c r="M4" s="309"/>
      <c r="N4" s="304" t="s">
        <v>149</v>
      </c>
      <c r="O4" s="305"/>
      <c r="P4" s="305"/>
      <c r="Q4" s="306"/>
    </row>
    <row r="5" spans="1:17" ht="14.45" customHeight="1" thickBot="1" x14ac:dyDescent="0.25">
      <c r="A5" s="398" t="s">
        <v>141</v>
      </c>
      <c r="B5" s="399" t="s">
        <v>143</v>
      </c>
      <c r="C5" s="399" t="s">
        <v>144</v>
      </c>
      <c r="D5" s="399" t="s">
        <v>145</v>
      </c>
      <c r="E5" s="400" t="s">
        <v>146</v>
      </c>
      <c r="F5" s="401" t="s">
        <v>143</v>
      </c>
      <c r="G5" s="402" t="s">
        <v>144</v>
      </c>
      <c r="H5" s="402" t="s">
        <v>145</v>
      </c>
      <c r="I5" s="403" t="s">
        <v>146</v>
      </c>
      <c r="J5" s="399" t="s">
        <v>143</v>
      </c>
      <c r="K5" s="399" t="s">
        <v>144</v>
      </c>
      <c r="L5" s="399" t="s">
        <v>145</v>
      </c>
      <c r="M5" s="400" t="s">
        <v>146</v>
      </c>
      <c r="N5" s="401" t="s">
        <v>143</v>
      </c>
      <c r="O5" s="402" t="s">
        <v>144</v>
      </c>
      <c r="P5" s="402" t="s">
        <v>145</v>
      </c>
      <c r="Q5" s="403" t="s">
        <v>146</v>
      </c>
    </row>
    <row r="6" spans="1:17" ht="14.45" customHeight="1" x14ac:dyDescent="0.2">
      <c r="A6" s="411" t="s">
        <v>325</v>
      </c>
      <c r="B6" s="415"/>
      <c r="C6" s="405"/>
      <c r="D6" s="405"/>
      <c r="E6" s="417"/>
      <c r="F6" s="413"/>
      <c r="G6" s="406"/>
      <c r="H6" s="406"/>
      <c r="I6" s="419"/>
      <c r="J6" s="415"/>
      <c r="K6" s="405"/>
      <c r="L6" s="405"/>
      <c r="M6" s="417"/>
      <c r="N6" s="413"/>
      <c r="O6" s="406"/>
      <c r="P6" s="406"/>
      <c r="Q6" s="407"/>
    </row>
    <row r="7" spans="1:17" ht="14.45" customHeight="1" thickBot="1" x14ac:dyDescent="0.25">
      <c r="A7" s="412" t="s">
        <v>326</v>
      </c>
      <c r="B7" s="416">
        <v>5</v>
      </c>
      <c r="C7" s="408"/>
      <c r="D7" s="408"/>
      <c r="E7" s="418"/>
      <c r="F7" s="414">
        <v>1</v>
      </c>
      <c r="G7" s="409">
        <v>0</v>
      </c>
      <c r="H7" s="409">
        <v>0</v>
      </c>
      <c r="I7" s="420">
        <v>0</v>
      </c>
      <c r="J7" s="416">
        <v>3</v>
      </c>
      <c r="K7" s="408"/>
      <c r="L7" s="408"/>
      <c r="M7" s="418"/>
      <c r="N7" s="414">
        <v>1</v>
      </c>
      <c r="O7" s="409">
        <v>0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" priority="1" operator="greaterThan">
      <formula>0.3</formula>
    </cfRule>
  </conditionalFormatting>
  <hyperlinks>
    <hyperlink ref="A2" location="Obsah!A1" display="Zpět na Obsah  KL 01  1.-4.měsíc" xr:uid="{210C468F-D52F-4258-A1F2-108512D6B853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9" customWidth="1"/>
    <col min="18" max="18" width="7.28515625" style="222" customWidth="1"/>
    <col min="19" max="19" width="8" style="189" customWidth="1"/>
    <col min="21" max="21" width="11.28515625" bestFit="1" customWidth="1"/>
  </cols>
  <sheetData>
    <row r="1" spans="1:19" ht="19.5" thickBot="1" x14ac:dyDescent="0.35">
      <c r="A1" s="326" t="s">
        <v>80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90" t="s">
        <v>213</v>
      </c>
      <c r="B2" s="191"/>
    </row>
    <row r="3" spans="1:19" x14ac:dyDescent="0.25">
      <c r="A3" s="338" t="s">
        <v>136</v>
      </c>
      <c r="B3" s="339"/>
      <c r="C3" s="340" t="s">
        <v>125</v>
      </c>
      <c r="D3" s="341"/>
      <c r="E3" s="341"/>
      <c r="F3" s="342"/>
      <c r="G3" s="343" t="s">
        <v>126</v>
      </c>
      <c r="H3" s="344"/>
      <c r="I3" s="344"/>
      <c r="J3" s="345"/>
      <c r="K3" s="346" t="s">
        <v>135</v>
      </c>
      <c r="L3" s="347"/>
      <c r="M3" s="347"/>
      <c r="N3" s="347"/>
      <c r="O3" s="348"/>
      <c r="P3" s="344" t="s">
        <v>188</v>
      </c>
      <c r="Q3" s="344"/>
      <c r="R3" s="344"/>
      <c r="S3" s="345"/>
    </row>
    <row r="4" spans="1:19" ht="15.75" thickBot="1" x14ac:dyDescent="0.3">
      <c r="A4" s="318">
        <v>2019</v>
      </c>
      <c r="B4" s="319"/>
      <c r="C4" s="320" t="s">
        <v>187</v>
      </c>
      <c r="D4" s="322" t="s">
        <v>81</v>
      </c>
      <c r="E4" s="322" t="s">
        <v>49</v>
      </c>
      <c r="F4" s="324" t="s">
        <v>42</v>
      </c>
      <c r="G4" s="312" t="s">
        <v>127</v>
      </c>
      <c r="H4" s="314" t="s">
        <v>131</v>
      </c>
      <c r="I4" s="314" t="s">
        <v>186</v>
      </c>
      <c r="J4" s="316" t="s">
        <v>128</v>
      </c>
      <c r="K4" s="335" t="s">
        <v>185</v>
      </c>
      <c r="L4" s="336"/>
      <c r="M4" s="336"/>
      <c r="N4" s="337"/>
      <c r="O4" s="324" t="s">
        <v>184</v>
      </c>
      <c r="P4" s="327" t="s">
        <v>183</v>
      </c>
      <c r="Q4" s="327" t="s">
        <v>138</v>
      </c>
      <c r="R4" s="329" t="s">
        <v>49</v>
      </c>
      <c r="S4" s="331" t="s">
        <v>137</v>
      </c>
    </row>
    <row r="5" spans="1:19" s="257" customFormat="1" ht="19.149999999999999" customHeight="1" x14ac:dyDescent="0.25">
      <c r="A5" s="333" t="s">
        <v>182</v>
      </c>
      <c r="B5" s="334"/>
      <c r="C5" s="321"/>
      <c r="D5" s="323"/>
      <c r="E5" s="323"/>
      <c r="F5" s="325"/>
      <c r="G5" s="313"/>
      <c r="H5" s="315"/>
      <c r="I5" s="315"/>
      <c r="J5" s="317"/>
      <c r="K5" s="260" t="s">
        <v>129</v>
      </c>
      <c r="L5" s="259" t="s">
        <v>130</v>
      </c>
      <c r="M5" s="259" t="s">
        <v>181</v>
      </c>
      <c r="N5" s="258" t="s">
        <v>2</v>
      </c>
      <c r="O5" s="325"/>
      <c r="P5" s="328"/>
      <c r="Q5" s="328"/>
      <c r="R5" s="330"/>
      <c r="S5" s="332"/>
    </row>
    <row r="6" spans="1:19" ht="15.75" thickBot="1" x14ac:dyDescent="0.3">
      <c r="A6" s="310" t="s">
        <v>124</v>
      </c>
      <c r="B6" s="311"/>
      <c r="C6" s="256">
        <f ca="1">SUM(Tabulka[01 uv_sk])/2</f>
        <v>5</v>
      </c>
      <c r="D6" s="254"/>
      <c r="E6" s="254"/>
      <c r="F6" s="253"/>
      <c r="G6" s="255">
        <f ca="1">SUM(Tabulka[05 h_vram])/2</f>
        <v>6728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109554</v>
      </c>
      <c r="N6" s="254">
        <f ca="1">SUM(Tabulka[12 m_oc])/2</f>
        <v>109554</v>
      </c>
      <c r="O6" s="253">
        <f ca="1">SUM(Tabulka[13 m_sk])/2</f>
        <v>2337500</v>
      </c>
      <c r="P6" s="252">
        <f ca="1">SUM(Tabulka[14_vzsk])/2</f>
        <v>7800</v>
      </c>
      <c r="Q6" s="252">
        <f ca="1">SUM(Tabulka[15_vzpl])/2</f>
        <v>4857.7979733078828</v>
      </c>
      <c r="R6" s="251">
        <f ca="1">IF(Q6=0,0,P6/Q6)</f>
        <v>1.6056657857857859</v>
      </c>
      <c r="S6" s="250">
        <f ca="1">Q6-P6</f>
        <v>-2942.2020266921172</v>
      </c>
    </row>
    <row r="7" spans="1:19" hidden="1" x14ac:dyDescent="0.25">
      <c r="A7" s="249" t="s">
        <v>180</v>
      </c>
      <c r="B7" s="248" t="s">
        <v>179</v>
      </c>
      <c r="C7" s="247" t="s">
        <v>178</v>
      </c>
      <c r="D7" s="246" t="s">
        <v>177</v>
      </c>
      <c r="E7" s="245" t="s">
        <v>176</v>
      </c>
      <c r="F7" s="244" t="s">
        <v>175</v>
      </c>
      <c r="G7" s="243" t="s">
        <v>174</v>
      </c>
      <c r="H7" s="241" t="s">
        <v>173</v>
      </c>
      <c r="I7" s="241" t="s">
        <v>172</v>
      </c>
      <c r="J7" s="240" t="s">
        <v>171</v>
      </c>
      <c r="K7" s="242" t="s">
        <v>170</v>
      </c>
      <c r="L7" s="241" t="s">
        <v>169</v>
      </c>
      <c r="M7" s="241" t="s">
        <v>168</v>
      </c>
      <c r="N7" s="240" t="s">
        <v>167</v>
      </c>
      <c r="O7" s="239" t="s">
        <v>166</v>
      </c>
      <c r="P7" s="238" t="s">
        <v>165</v>
      </c>
      <c r="Q7" s="237" t="s">
        <v>164</v>
      </c>
      <c r="R7" s="236" t="s">
        <v>163</v>
      </c>
      <c r="S7" s="235" t="s">
        <v>162</v>
      </c>
    </row>
    <row r="8" spans="1:19" x14ac:dyDescent="0.25">
      <c r="A8" s="232" t="s">
        <v>327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6728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2302161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4857.7979733078828</v>
      </c>
      <c r="R8" s="234">
        <f ca="1">IF(Tabulka[[#This Row],[15_vzpl]]=0,"",Tabulka[[#This Row],[14_vzsk]]/Tabulka[[#This Row],[15_vzpl]])</f>
        <v>1.6056657857857859</v>
      </c>
      <c r="S8" s="233">
        <f ca="1">IF(Tabulka[[#This Row],[15_vzpl]]-Tabulka[[#This Row],[14_vzsk]]=0,"",Tabulka[[#This Row],[15_vzpl]]-Tabulka[[#This Row],[14_vzsk]])</f>
        <v>-2942.2020266921172</v>
      </c>
    </row>
    <row r="9" spans="1:19" x14ac:dyDescent="0.25">
      <c r="A9" s="232">
        <v>523</v>
      </c>
      <c r="B9" s="231" t="s">
        <v>340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6728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2302161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25">
      <c r="A10" s="232">
        <v>526</v>
      </c>
      <c r="B10" s="231" t="s">
        <v>341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4857.7979733078828</v>
      </c>
      <c r="R10" s="234">
        <f ca="1">IF(Tabulka[[#This Row],[15_vzpl]]=0,"",Tabulka[[#This Row],[14_vzsk]]/Tabulka[[#This Row],[15_vzpl]])</f>
        <v>1.6056657857857859</v>
      </c>
      <c r="S10" s="233">
        <f ca="1">IF(Tabulka[[#This Row],[15_vzpl]]-Tabulka[[#This Row],[14_vzsk]]=0,"",Tabulka[[#This Row],[15_vzpl]]-Tabulka[[#This Row],[14_vzsk]])</f>
        <v>-2942.2020266921172</v>
      </c>
    </row>
    <row r="11" spans="1:19" x14ac:dyDescent="0.25">
      <c r="A11" s="232" t="s">
        <v>334</v>
      </c>
      <c r="B11" s="231"/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25">
      <c r="A12" s="232">
        <v>305</v>
      </c>
      <c r="B12" s="231" t="s">
        <v>342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34" t="str">
        <f ca="1">IF(Tabulka[[#This Row],[15_vzpl]]=0,"",Tabulka[[#This Row],[14_vzsk]]/Tabulka[[#This Row],[15_vzpl]])</f>
        <v/>
      </c>
      <c r="S12" s="233" t="str">
        <f ca="1">IF(Tabulka[[#This Row],[15_vzpl]]-Tabulka[[#This Row],[14_vzsk]]=0,"",Tabulka[[#This Row],[15_vzpl]]-Tabulka[[#This Row],[14_vzsk]])</f>
        <v/>
      </c>
    </row>
    <row r="13" spans="1:19" x14ac:dyDescent="0.25">
      <c r="A13" s="232" t="s">
        <v>328</v>
      </c>
      <c r="B13" s="231"/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29339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25">
      <c r="A14" s="232">
        <v>30</v>
      </c>
      <c r="B14" s="231" t="s">
        <v>343</v>
      </c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29339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190</v>
      </c>
    </row>
    <row r="16" spans="1:19" x14ac:dyDescent="0.25">
      <c r="A16" s="85" t="s">
        <v>108</v>
      </c>
    </row>
    <row r="17" spans="1:1" x14ac:dyDescent="0.25">
      <c r="A17" s="86" t="s">
        <v>161</v>
      </c>
    </row>
    <row r="18" spans="1:1" x14ac:dyDescent="0.25">
      <c r="A18" s="224" t="s">
        <v>160</v>
      </c>
    </row>
    <row r="19" spans="1:1" x14ac:dyDescent="0.25">
      <c r="A19" s="193" t="s">
        <v>134</v>
      </c>
    </row>
    <row r="20" spans="1:1" x14ac:dyDescent="0.25">
      <c r="A20" s="195" t="s">
        <v>139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BAB60CF-CE21-4ECF-BA5F-73A5BFACF58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339</v>
      </c>
    </row>
    <row r="2" spans="1:19" x14ac:dyDescent="0.25">
      <c r="A2" s="190" t="s">
        <v>213</v>
      </c>
    </row>
    <row r="3" spans="1:19" x14ac:dyDescent="0.25">
      <c r="A3" s="270" t="s">
        <v>111</v>
      </c>
      <c r="B3" s="269">
        <v>2019</v>
      </c>
      <c r="C3" t="s">
        <v>189</v>
      </c>
      <c r="D3" t="s">
        <v>180</v>
      </c>
      <c r="E3" t="s">
        <v>178</v>
      </c>
      <c r="F3" t="s">
        <v>177</v>
      </c>
      <c r="G3" t="s">
        <v>176</v>
      </c>
      <c r="H3" t="s">
        <v>175</v>
      </c>
      <c r="I3" t="s">
        <v>174</v>
      </c>
      <c r="J3" t="s">
        <v>173</v>
      </c>
      <c r="K3" t="s">
        <v>172</v>
      </c>
      <c r="L3" t="s">
        <v>171</v>
      </c>
      <c r="M3" t="s">
        <v>170</v>
      </c>
      <c r="N3" t="s">
        <v>169</v>
      </c>
      <c r="O3" t="s">
        <v>168</v>
      </c>
      <c r="P3" t="s">
        <v>167</v>
      </c>
      <c r="Q3" t="s">
        <v>166</v>
      </c>
      <c r="R3" t="s">
        <v>165</v>
      </c>
      <c r="S3" t="s">
        <v>164</v>
      </c>
    </row>
    <row r="4" spans="1:19" x14ac:dyDescent="0.25">
      <c r="A4" s="268" t="s">
        <v>112</v>
      </c>
      <c r="B4" s="267">
        <v>1</v>
      </c>
      <c r="C4" s="262">
        <v>1</v>
      </c>
      <c r="D4" s="262" t="s">
        <v>327</v>
      </c>
      <c r="E4" s="261">
        <v>5</v>
      </c>
      <c r="F4" s="261"/>
      <c r="G4" s="261"/>
      <c r="H4" s="261"/>
      <c r="I4" s="261">
        <v>896</v>
      </c>
      <c r="J4" s="261"/>
      <c r="K4" s="261"/>
      <c r="L4" s="261"/>
      <c r="M4" s="261"/>
      <c r="N4" s="261"/>
      <c r="O4" s="261"/>
      <c r="P4" s="261"/>
      <c r="Q4" s="261">
        <v>249666</v>
      </c>
      <c r="R4" s="261">
        <v>1500</v>
      </c>
      <c r="S4" s="261">
        <v>539.75533036754257</v>
      </c>
    </row>
    <row r="5" spans="1:19" x14ac:dyDescent="0.25">
      <c r="A5" s="266" t="s">
        <v>113</v>
      </c>
      <c r="B5" s="265">
        <v>2</v>
      </c>
      <c r="C5">
        <v>1</v>
      </c>
      <c r="D5">
        <v>523</v>
      </c>
      <c r="E5">
        <v>5</v>
      </c>
      <c r="I5">
        <v>896</v>
      </c>
      <c r="Q5">
        <v>249666</v>
      </c>
    </row>
    <row r="6" spans="1:19" x14ac:dyDescent="0.25">
      <c r="A6" s="268" t="s">
        <v>114</v>
      </c>
      <c r="B6" s="267">
        <v>3</v>
      </c>
      <c r="C6">
        <v>1</v>
      </c>
      <c r="D6">
        <v>526</v>
      </c>
      <c r="R6">
        <v>1500</v>
      </c>
      <c r="S6">
        <v>539.75533036754257</v>
      </c>
    </row>
    <row r="7" spans="1:19" x14ac:dyDescent="0.25">
      <c r="A7" s="266" t="s">
        <v>115</v>
      </c>
      <c r="B7" s="265">
        <v>4</v>
      </c>
      <c r="C7">
        <v>1</v>
      </c>
      <c r="D7" t="s">
        <v>328</v>
      </c>
      <c r="Q7">
        <v>3615</v>
      </c>
    </row>
    <row r="8" spans="1:19" x14ac:dyDescent="0.25">
      <c r="A8" s="268" t="s">
        <v>116</v>
      </c>
      <c r="B8" s="267">
        <v>5</v>
      </c>
      <c r="C8">
        <v>1</v>
      </c>
      <c r="D8">
        <v>30</v>
      </c>
      <c r="Q8">
        <v>3615</v>
      </c>
    </row>
    <row r="9" spans="1:19" x14ac:dyDescent="0.25">
      <c r="A9" s="266" t="s">
        <v>117</v>
      </c>
      <c r="B9" s="265">
        <v>6</v>
      </c>
      <c r="C9" t="s">
        <v>329</v>
      </c>
      <c r="E9">
        <v>5</v>
      </c>
      <c r="I9">
        <v>896</v>
      </c>
      <c r="Q9">
        <v>253281</v>
      </c>
      <c r="R9">
        <v>1500</v>
      </c>
      <c r="S9">
        <v>539.75533036754257</v>
      </c>
    </row>
    <row r="10" spans="1:19" x14ac:dyDescent="0.25">
      <c r="A10" s="268" t="s">
        <v>118</v>
      </c>
      <c r="B10" s="267">
        <v>7</v>
      </c>
      <c r="C10">
        <v>2</v>
      </c>
      <c r="D10" t="s">
        <v>327</v>
      </c>
      <c r="E10">
        <v>5</v>
      </c>
      <c r="I10">
        <v>752</v>
      </c>
      <c r="Q10">
        <v>243725</v>
      </c>
      <c r="R10">
        <v>1800</v>
      </c>
      <c r="S10">
        <v>539.75533036754257</v>
      </c>
    </row>
    <row r="11" spans="1:19" x14ac:dyDescent="0.25">
      <c r="A11" s="266" t="s">
        <v>119</v>
      </c>
      <c r="B11" s="265">
        <v>8</v>
      </c>
      <c r="C11">
        <v>2</v>
      </c>
      <c r="D11">
        <v>523</v>
      </c>
      <c r="E11">
        <v>5</v>
      </c>
      <c r="I11">
        <v>752</v>
      </c>
      <c r="Q11">
        <v>243725</v>
      </c>
    </row>
    <row r="12" spans="1:19" x14ac:dyDescent="0.25">
      <c r="A12" s="268" t="s">
        <v>120</v>
      </c>
      <c r="B12" s="267">
        <v>9</v>
      </c>
      <c r="C12">
        <v>2</v>
      </c>
      <c r="D12">
        <v>526</v>
      </c>
      <c r="R12">
        <v>1800</v>
      </c>
      <c r="S12">
        <v>539.75533036754257</v>
      </c>
    </row>
    <row r="13" spans="1:19" x14ac:dyDescent="0.25">
      <c r="A13" s="266" t="s">
        <v>121</v>
      </c>
      <c r="B13" s="265">
        <v>10</v>
      </c>
      <c r="C13">
        <v>2</v>
      </c>
      <c r="D13" t="s">
        <v>328</v>
      </c>
      <c r="Q13">
        <v>3696</v>
      </c>
    </row>
    <row r="14" spans="1:19" x14ac:dyDescent="0.25">
      <c r="A14" s="268" t="s">
        <v>122</v>
      </c>
      <c r="B14" s="267">
        <v>11</v>
      </c>
      <c r="C14">
        <v>2</v>
      </c>
      <c r="D14">
        <v>30</v>
      </c>
      <c r="Q14">
        <v>3696</v>
      </c>
    </row>
    <row r="15" spans="1:19" x14ac:dyDescent="0.25">
      <c r="A15" s="266" t="s">
        <v>123</v>
      </c>
      <c r="B15" s="265">
        <v>12</v>
      </c>
      <c r="C15" t="s">
        <v>330</v>
      </c>
      <c r="E15">
        <v>5</v>
      </c>
      <c r="I15">
        <v>752</v>
      </c>
      <c r="Q15">
        <v>247421</v>
      </c>
      <c r="R15">
        <v>1800</v>
      </c>
      <c r="S15">
        <v>539.75533036754257</v>
      </c>
    </row>
    <row r="16" spans="1:19" x14ac:dyDescent="0.25">
      <c r="A16" s="264" t="s">
        <v>111</v>
      </c>
      <c r="B16" s="263">
        <v>2019</v>
      </c>
      <c r="C16">
        <v>3</v>
      </c>
      <c r="D16" t="s">
        <v>327</v>
      </c>
      <c r="E16">
        <v>5</v>
      </c>
      <c r="I16">
        <v>752</v>
      </c>
      <c r="Q16">
        <v>245107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752</v>
      </c>
      <c r="Q17">
        <v>245107</v>
      </c>
    </row>
    <row r="18" spans="3:19" x14ac:dyDescent="0.25">
      <c r="C18">
        <v>3</v>
      </c>
      <c r="D18">
        <v>526</v>
      </c>
      <c r="S18">
        <v>539.75533036754257</v>
      </c>
    </row>
    <row r="19" spans="3:19" x14ac:dyDescent="0.25">
      <c r="C19">
        <v>3</v>
      </c>
      <c r="D19" t="s">
        <v>328</v>
      </c>
      <c r="Q19">
        <v>3432</v>
      </c>
    </row>
    <row r="20" spans="3:19" x14ac:dyDescent="0.25">
      <c r="C20">
        <v>3</v>
      </c>
      <c r="D20">
        <v>30</v>
      </c>
      <c r="Q20">
        <v>3432</v>
      </c>
    </row>
    <row r="21" spans="3:19" x14ac:dyDescent="0.25">
      <c r="C21" t="s">
        <v>331</v>
      </c>
      <c r="E21">
        <v>5</v>
      </c>
      <c r="I21">
        <v>752</v>
      </c>
      <c r="Q21">
        <v>248539</v>
      </c>
      <c r="S21">
        <v>539.75533036754257</v>
      </c>
    </row>
    <row r="22" spans="3:19" x14ac:dyDescent="0.25">
      <c r="C22">
        <v>4</v>
      </c>
      <c r="D22" t="s">
        <v>327</v>
      </c>
      <c r="E22">
        <v>5</v>
      </c>
      <c r="I22">
        <v>824</v>
      </c>
      <c r="Q22">
        <v>245708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824</v>
      </c>
      <c r="Q23">
        <v>245708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328</v>
      </c>
      <c r="Q25">
        <v>3444</v>
      </c>
    </row>
    <row r="26" spans="3:19" x14ac:dyDescent="0.25">
      <c r="C26">
        <v>4</v>
      </c>
      <c r="D26">
        <v>30</v>
      </c>
      <c r="Q26">
        <v>3444</v>
      </c>
    </row>
    <row r="27" spans="3:19" x14ac:dyDescent="0.25">
      <c r="C27" t="s">
        <v>332</v>
      </c>
      <c r="E27">
        <v>5</v>
      </c>
      <c r="I27">
        <v>824</v>
      </c>
      <c r="Q27">
        <v>249152</v>
      </c>
      <c r="S27">
        <v>539.75533036754257</v>
      </c>
    </row>
    <row r="28" spans="3:19" x14ac:dyDescent="0.25">
      <c r="C28">
        <v>5</v>
      </c>
      <c r="D28" t="s">
        <v>327</v>
      </c>
      <c r="E28">
        <v>5</v>
      </c>
      <c r="I28">
        <v>872</v>
      </c>
      <c r="Q28">
        <v>246329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872</v>
      </c>
      <c r="Q29">
        <v>246329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328</v>
      </c>
      <c r="Q31">
        <v>3374</v>
      </c>
    </row>
    <row r="32" spans="3:19" x14ac:dyDescent="0.25">
      <c r="C32">
        <v>5</v>
      </c>
      <c r="D32">
        <v>30</v>
      </c>
      <c r="Q32">
        <v>3374</v>
      </c>
    </row>
    <row r="33" spans="3:19" x14ac:dyDescent="0.25">
      <c r="C33" t="s">
        <v>333</v>
      </c>
      <c r="E33">
        <v>5</v>
      </c>
      <c r="I33">
        <v>872</v>
      </c>
      <c r="Q33">
        <v>249703</v>
      </c>
      <c r="S33">
        <v>539.75533036754257</v>
      </c>
    </row>
    <row r="34" spans="3:19" x14ac:dyDescent="0.25">
      <c r="C34">
        <v>6</v>
      </c>
      <c r="D34" t="s">
        <v>327</v>
      </c>
      <c r="E34">
        <v>5</v>
      </c>
      <c r="I34">
        <v>656</v>
      </c>
      <c r="Q34">
        <v>244662</v>
      </c>
      <c r="R34">
        <v>4500</v>
      </c>
      <c r="S34">
        <v>539.75533036754257</v>
      </c>
    </row>
    <row r="35" spans="3:19" x14ac:dyDescent="0.25">
      <c r="C35">
        <v>6</v>
      </c>
      <c r="D35">
        <v>523</v>
      </c>
      <c r="E35">
        <v>5</v>
      </c>
      <c r="I35">
        <v>656</v>
      </c>
      <c r="Q35">
        <v>244662</v>
      </c>
    </row>
    <row r="36" spans="3:19" x14ac:dyDescent="0.25">
      <c r="C36">
        <v>6</v>
      </c>
      <c r="D36">
        <v>526</v>
      </c>
      <c r="R36">
        <v>4500</v>
      </c>
      <c r="S36">
        <v>539.75533036754257</v>
      </c>
    </row>
    <row r="37" spans="3:19" x14ac:dyDescent="0.25">
      <c r="C37">
        <v>6</v>
      </c>
      <c r="D37" t="s">
        <v>334</v>
      </c>
      <c r="O37">
        <v>6000</v>
      </c>
      <c r="P37">
        <v>6000</v>
      </c>
      <c r="Q37">
        <v>6000</v>
      </c>
    </row>
    <row r="38" spans="3:19" x14ac:dyDescent="0.25">
      <c r="C38">
        <v>6</v>
      </c>
      <c r="D38">
        <v>305</v>
      </c>
      <c r="O38">
        <v>6000</v>
      </c>
      <c r="P38">
        <v>6000</v>
      </c>
      <c r="Q38">
        <v>6000</v>
      </c>
    </row>
    <row r="39" spans="3:19" x14ac:dyDescent="0.25">
      <c r="C39">
        <v>6</v>
      </c>
      <c r="D39" t="s">
        <v>328</v>
      </c>
      <c r="Q39">
        <v>3512</v>
      </c>
    </row>
    <row r="40" spans="3:19" x14ac:dyDescent="0.25">
      <c r="C40">
        <v>6</v>
      </c>
      <c r="D40">
        <v>30</v>
      </c>
      <c r="Q40">
        <v>3512</v>
      </c>
    </row>
    <row r="41" spans="3:19" x14ac:dyDescent="0.25">
      <c r="C41" t="s">
        <v>335</v>
      </c>
      <c r="E41">
        <v>5</v>
      </c>
      <c r="I41">
        <v>656</v>
      </c>
      <c r="O41">
        <v>6000</v>
      </c>
      <c r="P41">
        <v>6000</v>
      </c>
      <c r="Q41">
        <v>254174</v>
      </c>
      <c r="R41">
        <v>4500</v>
      </c>
      <c r="S41">
        <v>539.75533036754257</v>
      </c>
    </row>
    <row r="42" spans="3:19" x14ac:dyDescent="0.25">
      <c r="C42">
        <v>7</v>
      </c>
      <c r="D42" t="s">
        <v>327</v>
      </c>
      <c r="E42">
        <v>5</v>
      </c>
      <c r="I42">
        <v>704</v>
      </c>
      <c r="O42">
        <v>88554</v>
      </c>
      <c r="P42">
        <v>88554</v>
      </c>
      <c r="Q42">
        <v>336573</v>
      </c>
      <c r="S42">
        <v>539.75533036754257</v>
      </c>
    </row>
    <row r="43" spans="3:19" x14ac:dyDescent="0.25">
      <c r="C43">
        <v>7</v>
      </c>
      <c r="D43">
        <v>523</v>
      </c>
      <c r="E43">
        <v>5</v>
      </c>
      <c r="I43">
        <v>704</v>
      </c>
      <c r="O43">
        <v>88554</v>
      </c>
      <c r="P43">
        <v>88554</v>
      </c>
      <c r="Q43">
        <v>336573</v>
      </c>
    </row>
    <row r="44" spans="3:19" x14ac:dyDescent="0.25">
      <c r="C44">
        <v>7</v>
      </c>
      <c r="D44">
        <v>526</v>
      </c>
      <c r="S44">
        <v>539.75533036754257</v>
      </c>
    </row>
    <row r="45" spans="3:19" x14ac:dyDescent="0.25">
      <c r="C45">
        <v>7</v>
      </c>
      <c r="D45" t="s">
        <v>328</v>
      </c>
      <c r="Q45">
        <v>2410</v>
      </c>
    </row>
    <row r="46" spans="3:19" x14ac:dyDescent="0.25">
      <c r="C46">
        <v>7</v>
      </c>
      <c r="D46">
        <v>30</v>
      </c>
      <c r="Q46">
        <v>2410</v>
      </c>
    </row>
    <row r="47" spans="3:19" x14ac:dyDescent="0.25">
      <c r="C47" t="s">
        <v>336</v>
      </c>
      <c r="E47">
        <v>5</v>
      </c>
      <c r="I47">
        <v>704</v>
      </c>
      <c r="O47">
        <v>88554</v>
      </c>
      <c r="P47">
        <v>88554</v>
      </c>
      <c r="Q47">
        <v>338983</v>
      </c>
      <c r="S47">
        <v>539.75533036754257</v>
      </c>
    </row>
    <row r="48" spans="3:19" x14ac:dyDescent="0.25">
      <c r="C48">
        <v>8</v>
      </c>
      <c r="D48" t="s">
        <v>327</v>
      </c>
      <c r="E48">
        <v>5</v>
      </c>
      <c r="I48">
        <v>560</v>
      </c>
      <c r="Q48">
        <v>249797</v>
      </c>
      <c r="S48">
        <v>539.75533036754257</v>
      </c>
    </row>
    <row r="49" spans="3:19" x14ac:dyDescent="0.25">
      <c r="C49">
        <v>8</v>
      </c>
      <c r="D49">
        <v>523</v>
      </c>
      <c r="E49">
        <v>5</v>
      </c>
      <c r="I49">
        <v>560</v>
      </c>
      <c r="Q49">
        <v>249797</v>
      </c>
    </row>
    <row r="50" spans="3:19" x14ac:dyDescent="0.25">
      <c r="C50">
        <v>8</v>
      </c>
      <c r="D50">
        <v>526</v>
      </c>
      <c r="S50">
        <v>539.75533036754257</v>
      </c>
    </row>
    <row r="51" spans="3:19" x14ac:dyDescent="0.25">
      <c r="C51">
        <v>8</v>
      </c>
      <c r="D51" t="s">
        <v>328</v>
      </c>
      <c r="Q51">
        <v>2688</v>
      </c>
    </row>
    <row r="52" spans="3:19" x14ac:dyDescent="0.25">
      <c r="C52">
        <v>8</v>
      </c>
      <c r="D52">
        <v>30</v>
      </c>
      <c r="Q52">
        <v>2688</v>
      </c>
    </row>
    <row r="53" spans="3:19" x14ac:dyDescent="0.25">
      <c r="C53" t="s">
        <v>337</v>
      </c>
      <c r="E53">
        <v>5</v>
      </c>
      <c r="I53">
        <v>560</v>
      </c>
      <c r="Q53">
        <v>252485</v>
      </c>
      <c r="S53">
        <v>539.75533036754257</v>
      </c>
    </row>
    <row r="54" spans="3:19" x14ac:dyDescent="0.25">
      <c r="C54">
        <v>9</v>
      </c>
      <c r="D54" t="s">
        <v>327</v>
      </c>
      <c r="E54">
        <v>5</v>
      </c>
      <c r="I54">
        <v>712</v>
      </c>
      <c r="O54">
        <v>15000</v>
      </c>
      <c r="P54">
        <v>15000</v>
      </c>
      <c r="Q54">
        <v>240594</v>
      </c>
      <c r="S54">
        <v>539.75533036754257</v>
      </c>
    </row>
    <row r="55" spans="3:19" x14ac:dyDescent="0.25">
      <c r="C55">
        <v>9</v>
      </c>
      <c r="D55">
        <v>523</v>
      </c>
      <c r="E55">
        <v>5</v>
      </c>
      <c r="I55">
        <v>712</v>
      </c>
      <c r="O55">
        <v>15000</v>
      </c>
      <c r="P55">
        <v>15000</v>
      </c>
      <c r="Q55">
        <v>240594</v>
      </c>
    </row>
    <row r="56" spans="3:19" x14ac:dyDescent="0.25">
      <c r="C56">
        <v>9</v>
      </c>
      <c r="D56">
        <v>526</v>
      </c>
      <c r="S56">
        <v>539.75533036754257</v>
      </c>
    </row>
    <row r="57" spans="3:19" x14ac:dyDescent="0.25">
      <c r="C57">
        <v>9</v>
      </c>
      <c r="D57" t="s">
        <v>328</v>
      </c>
      <c r="Q57">
        <v>3168</v>
      </c>
    </row>
    <row r="58" spans="3:19" x14ac:dyDescent="0.25">
      <c r="C58">
        <v>9</v>
      </c>
      <c r="D58">
        <v>30</v>
      </c>
      <c r="Q58">
        <v>3168</v>
      </c>
    </row>
    <row r="59" spans="3:19" x14ac:dyDescent="0.25">
      <c r="C59" t="s">
        <v>338</v>
      </c>
      <c r="E59">
        <v>5</v>
      </c>
      <c r="I59">
        <v>712</v>
      </c>
      <c r="O59">
        <v>15000</v>
      </c>
      <c r="P59">
        <v>15000</v>
      </c>
      <c r="Q59">
        <v>243762</v>
      </c>
      <c r="S59">
        <v>539.75533036754257</v>
      </c>
    </row>
  </sheetData>
  <hyperlinks>
    <hyperlink ref="A2" location="Obsah!A1" display="Zpět na Obsah  KL 01  1.-4.měsíc" xr:uid="{B3A96549-B6BF-4255-8769-587D4F8C87BB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LŽ Statim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2019-10-29T11:12:01Z</dcterms:modified>
</cp:coreProperties>
</file>