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A64F7C7-E97D-443A-A96D-AFFB12CC6FCB}" xr6:coauthVersionLast="41" xr6:coauthVersionMax="41" xr10:uidLastSave="{00000000-0000-0000-0000-000000000000}"/>
  <bookViews>
    <workbookView xWindow="-289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431" l="1"/>
  <c r="E9" i="431"/>
  <c r="F11" i="431"/>
  <c r="G13" i="431"/>
  <c r="I9" i="431"/>
  <c r="J11" i="431"/>
  <c r="K13" i="431"/>
  <c r="M9" i="431"/>
  <c r="N11" i="431"/>
  <c r="O13" i="431"/>
  <c r="Q9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D13" i="431"/>
  <c r="F9" i="431"/>
  <c r="H13" i="431"/>
  <c r="L13" i="431"/>
  <c r="O11" i="431"/>
  <c r="C12" i="431"/>
  <c r="F10" i="431"/>
  <c r="H14" i="431"/>
  <c r="K12" i="431"/>
  <c r="N10" i="431"/>
  <c r="P14" i="431"/>
  <c r="D10" i="431"/>
  <c r="E12" i="431"/>
  <c r="F14" i="431"/>
  <c r="H10" i="431"/>
  <c r="I12" i="431"/>
  <c r="J14" i="431"/>
  <c r="L10" i="431"/>
  <c r="M12" i="431"/>
  <c r="N14" i="431"/>
  <c r="P10" i="431"/>
  <c r="Q12" i="431"/>
  <c r="C9" i="431"/>
  <c r="D11" i="431"/>
  <c r="E13" i="431"/>
  <c r="G9" i="431"/>
  <c r="H11" i="431"/>
  <c r="I13" i="431"/>
  <c r="K9" i="431"/>
  <c r="L11" i="431"/>
  <c r="M13" i="431"/>
  <c r="O9" i="431"/>
  <c r="P11" i="431"/>
  <c r="Q13" i="431"/>
  <c r="C10" i="431"/>
  <c r="D12" i="431"/>
  <c r="E14" i="431"/>
  <c r="G10" i="431"/>
  <c r="H12" i="431"/>
  <c r="I14" i="431"/>
  <c r="K10" i="431"/>
  <c r="L12" i="431"/>
  <c r="M14" i="431"/>
  <c r="O10" i="431"/>
  <c r="P12" i="431"/>
  <c r="Q14" i="431"/>
  <c r="C11" i="431"/>
  <c r="G11" i="431"/>
  <c r="J9" i="431"/>
  <c r="K11" i="431"/>
  <c r="N9" i="431"/>
  <c r="P13" i="431"/>
  <c r="D14" i="431"/>
  <c r="G12" i="431"/>
  <c r="J10" i="431"/>
  <c r="L14" i="431"/>
  <c r="O12" i="431"/>
  <c r="O8" i="431"/>
  <c r="M8" i="431"/>
  <c r="J8" i="431"/>
  <c r="K8" i="431"/>
  <c r="G8" i="431"/>
  <c r="P8" i="431"/>
  <c r="N8" i="431"/>
  <c r="I8" i="431"/>
  <c r="Q8" i="431"/>
  <c r="E8" i="431"/>
  <c r="L8" i="431"/>
  <c r="H8" i="431"/>
  <c r="C8" i="431"/>
  <c r="D8" i="431"/>
  <c r="F8" i="431"/>
  <c r="S14" i="431" l="1"/>
  <c r="R14" i="431"/>
  <c r="S13" i="431"/>
  <c r="R13" i="431"/>
  <c r="R12" i="431"/>
  <c r="S12" i="431"/>
  <c r="R11" i="431"/>
  <c r="S11" i="431"/>
  <c r="S10" i="431"/>
  <c r="R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4" i="414"/>
  <c r="C13" i="414"/>
  <c r="D16" i="414"/>
  <c r="C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<sst xmlns="http://schemas.openxmlformats.org/spreadsheetml/2006/main" count="1250" uniqueCount="486">
  <si>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</si>
  <si>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</si>
  <si>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</si>
  <si>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</si>
  <si>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</si>
  <si>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</si>
  <si>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</si>
  <si>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</si>
  <si>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</si>
  <si>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</si>
  <si>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</si>
  <si>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</si>
  <si>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</si>
  <si>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</si>
  <si>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</si>
  <si>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</si>
  <si>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</si>
  <si>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</si>
  <si>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</si>
  <si>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</si>
  <si>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</si>
  <si>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</si>
  <si>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</si>
  <si>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</si>
  <si>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</si>
  <si>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</si>
  <si>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</si>
  <si>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</si>
  <si>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</si>
  <si>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</si>
  <si>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</si>
  <si>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</si>
  <si>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</si>
  <si>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</si>
  <si>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</si>
  <si>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</si>
  <si>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</si>
  <si>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</si>
  <si>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</si>
  <si>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</si>
  <si>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</si>
  <si>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</si>
  <si>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</si>
  <si>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</si>
  <si>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</si>
  <si>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</si>
  <si>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</si>
  <si>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</si>
  <si>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</si>
  <si>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</si>
  <si>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</si>
  <si>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</si>
  <si>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</si>
  <si>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</si>
  <si>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</si>
  <si>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</si>
  <si>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</si>
  <si>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</si>
  <si>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</si>
  <si>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</si>
  <si>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</si>
  <si>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</si>
  <si>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</si>
  <si>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</si>
  <si>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</si>
  <si>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</si>
  <si>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</si>
  <si>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</si>
  <si>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</si>
  <si>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</si>
  <si>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</si>
  <si>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</si>
  <si>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</si>
  <si>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</si>
  <si>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</si>
  <si>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</si>
  <si>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</si>
  <si>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</si>
  <si>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</si>
  <si>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</si>
  <si>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</si>
  <si>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</si>
  <si>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</si>
  <si>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</si>
  <si>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</si>
  <si>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</si>
  <si>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</si>
  <si>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</si>
  <si>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</si>
  <si>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</si>
  <si>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</si>
  <si>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</si>
  <si>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</si>
  <si>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</si>
  <si>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</si>
  <si>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</si>
  <si>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</si>
  <si>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</si>
  <si>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</si>
  <si>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</si>
  <si>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</si>
  <si>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</si>
  <si>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</si>
  <si>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</si>
  <si>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</si>
  <si>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</si>
  <si>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</si>
  <si>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</si>
  <si>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</si>
  <si>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</si>
  <si>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</si>
  <si>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</si>
  <si>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</si>
  <si>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</si>
  <si>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</si>
  <si>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</si>
  <si>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</si>
  <si>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</si>
  <si>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</si>
  <si>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</si>
  <si>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</si>
  <si>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</si>
  <si>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</si>
  <si>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</si>
  <si>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</si>
  <si>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</si>
  <si>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</si>
  <si>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</si>
  <si>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</si>
  <si>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</si>
  <si>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</si>
  <si>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</si>
  <si>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</si>
  <si>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</si>
  <si>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</si>
  <si>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</si>
  <si>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</si>
  <si>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</si>
  <si>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</si>
  <si>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</si>
  <si>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</si>
  <si>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</si>
  <si>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</si>
  <si>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</si>
  <si>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</si>
  <si>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</si>
  <si>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</si>
  <si>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</si>
  <si>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</si>
  <si>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</si>
  <si>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</si>
  <si>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</si>
  <si>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</si>
  <si>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</si>
  <si>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</si>
  <si>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</si>
  <si>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</si>
  <si>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</si>
  <si>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</si>
  <si>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</si>
  <si>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</si>
  <si>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</si>
  <si>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</si>
  <si>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</si>
  <si>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</si>
  <si>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</si>
  <si>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</si>
  <si>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</si>
  <si>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</si>
  <si>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</si>
  <si>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</si>
  <si>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</si>
  <si>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</si>
  <si>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</si>
  <si>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</si>
  <si>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</si>
  <si>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</si>
  <si>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</si>
  <si>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</si>
  <si>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</si>
  <si>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</si>
  <si>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</si>
  <si>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</si>
  <si>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</si>
  <si>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</si>
  <si>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</si>
  <si>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</si>
  <si>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</si>
  <si>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</si>
  <si>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</si>
  <si>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</si>
  <si>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</si>
  <si>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</si>
  <si>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</si>
  <si>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</si>
  <si>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</si>
  <si>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</si>
  <si>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</si>
  <si>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</si>
  <si>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</si>
  <si>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</si>
  <si>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</si>
  <si>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</si>
  <si>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</si>
  <si>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</si>
  <si>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</si>
  <si>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</si>
  <si>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</si>
  <si>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</si>
  <si>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</si>
  <si>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</si>
  <si>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</si>
  <si>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</si>
  <si>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</si>
  <si>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</si>
  <si>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</si>
  <si>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</si>
  <si>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</si>
  <si>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</si>
  <si>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</si>
  <si>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</si>
  <si>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</si>
  <si>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</si>
  <si>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</si>
  <si>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</si>
  <si>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</si>
  <si>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</si>
  <si>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</si>
  <si>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</si>
  <si>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</si>
  <si>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</si>
  <si>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</si>
  <si>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</si>
  <si>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</si>
  <si>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</si>
  <si>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</si>
  <si>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</si>
  <si>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</si>
  <si>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</si>
  <si>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</si>
  <si>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</si>
  <si>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</si>
  <si>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</si>
  <si>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</si>
  <si>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</si>
  <si>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</si>
  <si>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</si>
  <si>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</si>
  <si>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50160     Knihy a časopisy</t>
  </si>
  <si>
    <t>50160002     knihy a časopisy</t>
  </si>
  <si>
    <t>50210     Spotřeba energie</t>
  </si>
  <si>
    <t>50210071     elektřina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</si>
  <si>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</si>
  <si>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</si>
  <si>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</si>
  <si>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</si>
  <si>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</si>
  <si>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</si>
  <si>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</si>
  <si>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</si>
  <si>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</si>
  <si>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</si>
  <si>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</si>
  <si>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</si>
  <si>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</si>
  <si>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</si>
  <si>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</si>
  <si>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</si>
  <si>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</si>
  <si>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</si>
  <si>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</si>
  <si>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</si>
  <si>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</si>
  <si>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</si>
  <si>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</si>
  <si>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</si>
  <si>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</si>
  <si>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</si>
  <si>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</si>
  <si>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</si>
  <si>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</si>
  <si>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</si>
  <si>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</si>
  <si>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</si>
  <si>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</si>
  <si>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</si>
  <si>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</si>
  <si>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</si>
  <si>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</si>
  <si>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</si>
  <si>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</si>
  <si>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</si>
  <si>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</si>
  <si>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</si>
  <si>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</si>
  <si>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</si>
  <si>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</si>
  <si>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</si>
  <si>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</si>
  <si>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</si>
  <si>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</si>
  <si>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</si>
  <si>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</si>
  <si>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</si>
  <si>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</si>
  <si>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</si>
  <si>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</si>
  <si>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</si>
  <si>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</si>
  <si>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</si>
  <si>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</si>
  <si>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</si>
  <si>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</si>
  <si>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</si>
  <si>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</si>
  <si>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</si>
  <si>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</si>
  <si>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</si>
  <si>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</si>
  <si>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</si>
  <si>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</si>
  <si>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</si>
  <si>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</si>
  <si>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</si>
  <si>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</si>
  <si>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</si>
  <si>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</si>
  <si>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</si>
  <si>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</si>
  <si>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</si>
  <si>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</si>
  <si>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</si>
  <si>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</si>
  <si>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</si>
  <si>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</si>
  <si>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</si>
  <si>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</si>
  <si>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</si>
  <si>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</si>
  <si>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</si>
  <si>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</si>
  <si>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</si>
  <si>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</si>
  <si>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</si>
  <si>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</si>
  <si>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</si>
  <si>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</si>
  <si>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</si>
  <si>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</si>
  <si>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</si>
  <si>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</si>
  <si>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</si>
  <si>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</si>
  <si>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</si>
  <si>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</si>
  <si>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</si>
  <si>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</si>
  <si>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</si>
  <si>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</si>
  <si>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</si>
  <si>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</si>
  <si>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</si>
  <si>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</si>
  <si>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</si>
  <si>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</si>
  <si>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</si>
  <si>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</si>
  <si>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</si>
  <si>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</si>
  <si>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</si>
  <si>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</si>
  <si>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</si>
  <si>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</si>
  <si>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</si>
  <si>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</si>
  <si>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</si>
  <si>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</si>
  <si>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</si>
  <si>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</si>
  <si>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</si>
  <si>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</si>
  <si>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</si>
  <si>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</si>
  <si>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</si>
  <si>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</si>
  <si>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</si>
  <si>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</si>
  <si>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</si>
  <si>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</si>
  <si>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</si>
  <si>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</si>
  <si>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</si>
  <si>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</si>
  <si>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</si>
  <si>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</si>
  <si>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</si>
  <si>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</si>
  <si>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</si>
  <si>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</si>
  <si>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</si>
  <si>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</si>
  <si>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</si>
  <si>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</si>
  <si>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</si>
  <si>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</si>
  <si>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7 Celkem</t>
  </si>
  <si>
    <t>8 Celkem</t>
  </si>
  <si>
    <t>9 Celkem</t>
  </si>
  <si>
    <t>10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</si>
  <si>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</si>
  <si>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</si>
  <si>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</si>
  <si>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</si>
  <si>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</si>
  <si>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</si>
  <si>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</si>
  <si>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</si>
  <si>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</si>
  <si>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</si>
  <si>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</si>
  <si>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</si>
  <si>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</si>
  <si>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</si>
  <si>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</si>
  <si>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</si>
  <si>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</si>
  <si>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</si>
  <si>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</si>
  <si>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</si>
  <si>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</si>
  <si>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</si>
  <si>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</si>
  <si>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</si>
  <si>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</si>
  <si>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</si>
  <si>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</si>
  <si>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</si>
  <si>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</si>
  <si>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</si>
  <si>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</si>
  <si>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</si>
  <si>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</si>
  <si>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</si>
  <si>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</si>
  <si>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</si>
  <si>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</si>
  <si>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</si>
  <si>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</si>
  <si>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</si>
  <si>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</si>
  <si>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</si>
  <si>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</si>
  <si>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</si>
  <si>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</si>
  <si>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</si>
  <si>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</si>
  <si>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</si>
  <si>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</si>
  <si>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</si>
  <si>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</si>
  <si>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</si>
  <si>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</si>
  <si>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</si>
  <si>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</si>
  <si>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</si>
  <si>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</si>
  <si>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</si>
  <si>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</si>
  <si>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</si>
  <si>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</si>
  <si>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</si>
  <si>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10</t>
  </si>
  <si>
    <t>11</t>
  </si>
  <si>
    <t>12</t>
  </si>
  <si>
    <t>16</t>
  </si>
  <si>
    <t>17</t>
  </si>
  <si>
    <t>72019</t>
  </si>
  <si>
    <t>LOGOPEDICKÁ DIAGNOSTIKA DOPLŇUJÍCÍ KOMPLEXNÍ A KON</t>
  </si>
  <si>
    <t>18</t>
  </si>
  <si>
    <t>21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</si>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</sst>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4" xfId="0" applyNumberFormat="1" applyFont="1" applyFill="1" applyBorder="1" applyAlignment="1">
      <alignment horizontal="right" vertical="top"/>
    </xf>
    <xf numFmtId="3" fontId="33" fillId="10" borderId="105" xfId="0" applyNumberFormat="1" applyFont="1" applyFill="1" applyBorder="1" applyAlignment="1">
      <alignment horizontal="right" vertical="top"/>
    </xf>
    <xf numFmtId="177" fontId="33" fillId="10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5" fillId="10" borderId="109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0" fontId="35" fillId="10" borderId="111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3" fillId="10" borderId="106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0" fontId="35" fillId="0" borderId="115" xfId="0" applyFont="1" applyBorder="1" applyAlignment="1">
      <alignment horizontal="right" vertical="top"/>
    </xf>
    <xf numFmtId="177" fontId="35" fillId="10" borderId="116" xfId="0" applyNumberFormat="1" applyFont="1" applyFill="1" applyBorder="1" applyAlignment="1">
      <alignment horizontal="right" vertical="top"/>
    </xf>
    <xf numFmtId="0" fontId="37" fillId="11" borderId="103" xfId="0" applyFont="1" applyFill="1" applyBorder="1" applyAlignment="1">
      <alignment vertical="top"/>
    </xf>
    <xf numFmtId="0" fontId="37" fillId="11" borderId="103" xfId="0" applyFont="1" applyFill="1" applyBorder="1" applyAlignment="1">
      <alignment vertical="top" indent="2"/>
    </xf>
    <xf numFmtId="0" fontId="37" fillId="11" borderId="103" xfId="0" applyFont="1" applyFill="1" applyBorder="1" applyAlignment="1">
      <alignment vertical="top" indent="4"/>
    </xf>
    <xf numFmtId="0" fontId="38" fillId="11" borderId="108" xfId="0" applyFont="1" applyFill="1" applyBorder="1" applyAlignment="1">
      <alignment vertical="top" indent="6"/>
    </xf>
    <xf numFmtId="0" fontId="37" fillId="11" borderId="103" xfId="0" applyFont="1" applyFill="1" applyBorder="1" applyAlignment="1">
      <alignment vertical="top" indent="8"/>
    </xf>
    <xf numFmtId="0" fontId="38" fillId="11" borderId="108" xfId="0" applyFont="1" applyFill="1" applyBorder="1" applyAlignment="1">
      <alignment vertical="top" indent="2"/>
    </xf>
    <xf numFmtId="0" fontId="37" fillId="11" borderId="103" xfId="0" applyFont="1" applyFill="1" applyBorder="1" applyAlignment="1">
      <alignment vertical="top" indent="6"/>
    </xf>
    <xf numFmtId="0" fontId="38" fillId="11" borderId="108" xfId="0" applyFont="1" applyFill="1" applyBorder="1" applyAlignment="1">
      <alignment vertical="top" indent="4"/>
    </xf>
    <xf numFmtId="0" fontId="32" fillId="11" borderId="103" xfId="0" applyFont="1" applyFill="1" applyBorder="1"/>
    <xf numFmtId="0" fontId="38" fillId="11" borderId="19" xfId="0" applyFont="1" applyFill="1" applyBorder="1" applyAlignment="1">
      <alignment vertical="top"/>
    </xf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7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18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9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5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TableStyleMedium2 2" pivot="0" count="7" xr9:uid="{00000000-0011-0000-FFFF-FFFF01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3.3175905550478432E-2</c:v>
                </c:pt>
                <c:pt idx="1">
                  <c:v>3.0182482962919976E-2</c:v>
                </c:pt>
                <c:pt idx="2">
                  <c:v>3.164966247584082E-2</c:v>
                </c:pt>
                <c:pt idx="3">
                  <c:v>3.3255659097581089E-2</c:v>
                </c:pt>
                <c:pt idx="4">
                  <c:v>3.5077874204717981E-2</c:v>
                </c:pt>
                <c:pt idx="5">
                  <c:v>3.5600493448363565E-2</c:v>
                </c:pt>
                <c:pt idx="6">
                  <c:v>3.344303921915627E-2</c:v>
                </c:pt>
                <c:pt idx="7">
                  <c:v>3.3114215450407859E-2</c:v>
                </c:pt>
                <c:pt idx="8">
                  <c:v>3.3972628475296376E-2</c:v>
                </c:pt>
                <c:pt idx="9">
                  <c:v>3.4795703005178487E-2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0.26917078953823242</c:v>
                </c:pt>
                <c:pt idx="1">
                  <c:v>0.26917078953823242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1" tableBorderDxfId="40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39"/>
    <tableColumn id="2" xr3:uid="{00000000-0010-0000-0000-000002000000}" name="popis" dataDxfId="38"/>
    <tableColumn id="3" xr3:uid="{00000000-0010-0000-0000-000003000000}" name="01 uv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5" totalsRowShown="0">
  <autoFilter ref="C3:S6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90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4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416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428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446</v>
      </c>
      <c r="C17" s="42" t="s">
        <v>92</v>
      </c>
    </row>
    <row r="18" spans="1:3" ht="14.45" customHeight="1" x14ac:dyDescent="0.25">
      <c r="A18" s="217" t="str">
        <f>HYPERLINK("#'"&amp;C18&amp;"'!A1",C18)</f>
        <v>ZV Vykáz.-A Det.Lék.</v>
      </c>
      <c r="B18" s="65" t="s">
        <v>447</v>
      </c>
      <c r="C18" s="42" t="s">
        <v>157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485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9216130F-BC22-49BC-BBC1-D4C2B955B18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6" hidden="1" customWidth="1" outlineLevel="1"/>
    <col min="10" max="10" width="7.7109375" style="176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6" hidden="1" customWidth="1" outlineLevel="1"/>
    <col min="19" max="19" width="7.7109375" style="176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6" hidden="1" customWidth="1" outlineLevel="1"/>
    <col min="28" max="28" width="7.7109375" style="176" customWidth="1" collapsed="1"/>
    <col min="29" max="16384" width="8.85546875" style="101"/>
  </cols>
  <sheetData>
    <row r="1" spans="1:28" ht="18.600000000000001" customHeight="1" thickBot="1" x14ac:dyDescent="0.35">
      <c r="A1" s="349" t="s">
        <v>416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  <c r="H2" s="83"/>
      <c r="I2" s="185"/>
      <c r="J2" s="185"/>
      <c r="K2" s="83"/>
      <c r="L2" s="83"/>
      <c r="M2" s="83"/>
      <c r="N2" s="83"/>
      <c r="O2" s="83"/>
      <c r="P2" s="83"/>
      <c r="Q2" s="83"/>
      <c r="R2" s="185"/>
      <c r="S2" s="185"/>
      <c r="T2" s="83"/>
      <c r="U2" s="83"/>
      <c r="V2" s="83"/>
      <c r="W2" s="83"/>
      <c r="X2" s="83"/>
      <c r="Y2" s="83"/>
      <c r="Z2" s="83"/>
      <c r="AA2" s="185"/>
      <c r="AB2" s="185"/>
    </row>
    <row r="3" spans="1:28" ht="14.45" customHeight="1" thickBot="1" x14ac:dyDescent="0.25">
      <c r="A3" s="178" t="s">
        <v>96</v>
      </c>
      <c r="B3" s="179">
        <f>SUBTOTAL(9,B6:B1048576)/4</f>
        <v>665689</v>
      </c>
      <c r="C3" s="180">
        <f t="shared" ref="C3:Z3" si="0">SUBTOTAL(9,C6:C1048576)</f>
        <v>4</v>
      </c>
      <c r="D3" s="180"/>
      <c r="E3" s="180">
        <f>SUBTOTAL(9,E6:E1048576)/4</f>
        <v>926736.67000000016</v>
      </c>
      <c r="F3" s="180"/>
      <c r="G3" s="180">
        <f t="shared" si="0"/>
        <v>4</v>
      </c>
      <c r="H3" s="180">
        <f>SUBTOTAL(9,H6:H1048576)/4</f>
        <v>1341332.6500000001</v>
      </c>
      <c r="I3" s="183">
        <f>IF(B3&lt;&gt;0,H3/B3,"")</f>
        <v>2.0149539049015384</v>
      </c>
      <c r="J3" s="181">
        <f>IF(E3&lt;&gt;0,H3/E3,"")</f>
        <v>1.4473719379206176</v>
      </c>
      <c r="K3" s="182">
        <f t="shared" si="0"/>
        <v>0</v>
      </c>
      <c r="L3" s="182"/>
      <c r="M3" s="180">
        <f t="shared" si="0"/>
        <v>0</v>
      </c>
      <c r="N3" s="180">
        <f t="shared" si="0"/>
        <v>0</v>
      </c>
      <c r="O3" s="180"/>
      <c r="P3" s="180">
        <f t="shared" si="0"/>
        <v>0</v>
      </c>
      <c r="Q3" s="180">
        <f t="shared" si="0"/>
        <v>0</v>
      </c>
      <c r="R3" s="183" t="str">
        <f>IF(K3&lt;&gt;0,Q3/K3,"")</f>
        <v/>
      </c>
      <c r="S3" s="183" t="str">
        <f>IF(N3&lt;&gt;0,Q3/N3,"")</f>
        <v/>
      </c>
      <c r="T3" s="179">
        <f t="shared" si="0"/>
        <v>0</v>
      </c>
      <c r="U3" s="182"/>
      <c r="V3" s="180">
        <f t="shared" si="0"/>
        <v>0</v>
      </c>
      <c r="W3" s="180">
        <f t="shared" si="0"/>
        <v>0</v>
      </c>
      <c r="X3" s="180"/>
      <c r="Y3" s="180">
        <f t="shared" si="0"/>
        <v>0</v>
      </c>
      <c r="Z3" s="180">
        <f t="shared" si="0"/>
        <v>0</v>
      </c>
      <c r="AA3" s="183" t="str">
        <f>IF(T3&lt;&gt;0,Z3/T3,"")</f>
        <v/>
      </c>
      <c r="AB3" s="181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421"/>
      <c r="B5" s="422">
        <v>2015</v>
      </c>
      <c r="C5" s="423"/>
      <c r="D5" s="423"/>
      <c r="E5" s="423">
        <v>2018</v>
      </c>
      <c r="F5" s="423"/>
      <c r="G5" s="423"/>
      <c r="H5" s="423">
        <v>2019</v>
      </c>
      <c r="I5" s="424" t="s">
        <v>155</v>
      </c>
      <c r="J5" s="425" t="s">
        <v>1</v>
      </c>
      <c r="K5" s="422">
        <v>2015</v>
      </c>
      <c r="L5" s="423"/>
      <c r="M5" s="423"/>
      <c r="N5" s="423">
        <v>2018</v>
      </c>
      <c r="O5" s="423"/>
      <c r="P5" s="423"/>
      <c r="Q5" s="423">
        <v>2019</v>
      </c>
      <c r="R5" s="424" t="s">
        <v>155</v>
      </c>
      <c r="S5" s="425" t="s">
        <v>1</v>
      </c>
      <c r="T5" s="422">
        <v>2015</v>
      </c>
      <c r="U5" s="423"/>
      <c r="V5" s="423"/>
      <c r="W5" s="423">
        <v>2018</v>
      </c>
      <c r="X5" s="423"/>
      <c r="Y5" s="423"/>
      <c r="Z5" s="423">
        <v>2019</v>
      </c>
      <c r="AA5" s="424" t="s">
        <v>155</v>
      </c>
      <c r="AB5" s="425" t="s">
        <v>1</v>
      </c>
    </row>
    <row r="6" spans="1:28" ht="14.45" customHeight="1" x14ac:dyDescent="0.25">
      <c r="A6" s="426" t="s">
        <v>414</v>
      </c>
      <c r="B6" s="427">
        <v>665689</v>
      </c>
      <c r="C6" s="428">
        <v>1</v>
      </c>
      <c r="D6" s="428">
        <v>0.71831516065939205</v>
      </c>
      <c r="E6" s="427">
        <v>926736.67</v>
      </c>
      <c r="F6" s="428">
        <v>1.39214658797126</v>
      </c>
      <c r="G6" s="428">
        <v>1</v>
      </c>
      <c r="H6" s="427">
        <v>1341332.6500000004</v>
      </c>
      <c r="I6" s="428">
        <v>2.0149539049015388</v>
      </c>
      <c r="J6" s="428">
        <v>1.447371937920618</v>
      </c>
      <c r="K6" s="427"/>
      <c r="L6" s="428"/>
      <c r="M6" s="428"/>
      <c r="N6" s="427"/>
      <c r="O6" s="428"/>
      <c r="P6" s="428"/>
      <c r="Q6" s="427"/>
      <c r="R6" s="428"/>
      <c r="S6" s="428"/>
      <c r="T6" s="427"/>
      <c r="U6" s="428"/>
      <c r="V6" s="428"/>
      <c r="W6" s="427"/>
      <c r="X6" s="428"/>
      <c r="Y6" s="428"/>
      <c r="Z6" s="427"/>
      <c r="AA6" s="428"/>
      <c r="AB6" s="429"/>
    </row>
    <row r="7" spans="1:28" ht="14.45" customHeight="1" thickBot="1" x14ac:dyDescent="0.3">
      <c r="A7" s="433" t="s">
        <v>415</v>
      </c>
      <c r="B7" s="430">
        <v>665689</v>
      </c>
      <c r="C7" s="431">
        <v>1</v>
      </c>
      <c r="D7" s="431">
        <v>0.71831516065939205</v>
      </c>
      <c r="E7" s="430">
        <v>926736.67</v>
      </c>
      <c r="F7" s="431">
        <v>1.39214658797126</v>
      </c>
      <c r="G7" s="431">
        <v>1</v>
      </c>
      <c r="H7" s="430">
        <v>1341332.6500000004</v>
      </c>
      <c r="I7" s="431">
        <v>2.0149539049015388</v>
      </c>
      <c r="J7" s="431">
        <v>1.447371937920618</v>
      </c>
      <c r="K7" s="430"/>
      <c r="L7" s="431"/>
      <c r="M7" s="431"/>
      <c r="N7" s="430"/>
      <c r="O7" s="431"/>
      <c r="P7" s="431"/>
      <c r="Q7" s="430"/>
      <c r="R7" s="431"/>
      <c r="S7" s="431"/>
      <c r="T7" s="430"/>
      <c r="U7" s="431"/>
      <c r="V7" s="431"/>
      <c r="W7" s="430"/>
      <c r="X7" s="431"/>
      <c r="Y7" s="431"/>
      <c r="Z7" s="430"/>
      <c r="AA7" s="431"/>
      <c r="AB7" s="432"/>
    </row>
    <row r="8" spans="1:28" ht="14.45" customHeight="1" thickBot="1" x14ac:dyDescent="0.25"/>
    <row r="9" spans="1:28" ht="14.45" customHeight="1" x14ac:dyDescent="0.25">
      <c r="A9" s="426" t="s">
        <v>417</v>
      </c>
      <c r="B9" s="427">
        <v>665689</v>
      </c>
      <c r="C9" s="428">
        <v>1</v>
      </c>
      <c r="D9" s="428">
        <v>0.71831516065939194</v>
      </c>
      <c r="E9" s="427">
        <v>926736.67000000016</v>
      </c>
      <c r="F9" s="428">
        <v>1.39214658797126</v>
      </c>
      <c r="G9" s="428">
        <v>1</v>
      </c>
      <c r="H9" s="427">
        <v>1341332.6499999999</v>
      </c>
      <c r="I9" s="428">
        <v>2.0149539049015379</v>
      </c>
      <c r="J9" s="429">
        <v>1.4473719379206174</v>
      </c>
    </row>
    <row r="10" spans="1:28" ht="14.45" customHeight="1" x14ac:dyDescent="0.25">
      <c r="A10" s="437" t="s">
        <v>418</v>
      </c>
      <c r="B10" s="434">
        <v>665689</v>
      </c>
      <c r="C10" s="435">
        <v>1</v>
      </c>
      <c r="D10" s="435">
        <v>0.71831516065939194</v>
      </c>
      <c r="E10" s="434">
        <v>926736.67000000016</v>
      </c>
      <c r="F10" s="435">
        <v>1.39214658797126</v>
      </c>
      <c r="G10" s="435">
        <v>1</v>
      </c>
      <c r="H10" s="434">
        <v>460708.32000000007</v>
      </c>
      <c r="I10" s="435">
        <v>0.69207741152400004</v>
      </c>
      <c r="J10" s="436">
        <v>0.49712969704759818</v>
      </c>
    </row>
    <row r="11" spans="1:28" ht="14.45" customHeight="1" thickBot="1" x14ac:dyDescent="0.3">
      <c r="A11" s="433" t="s">
        <v>419</v>
      </c>
      <c r="B11" s="430"/>
      <c r="C11" s="431"/>
      <c r="D11" s="431"/>
      <c r="E11" s="430"/>
      <c r="F11" s="431"/>
      <c r="G11" s="431"/>
      <c r="H11" s="430">
        <v>880624.33</v>
      </c>
      <c r="I11" s="431"/>
      <c r="J11" s="432"/>
    </row>
    <row r="12" spans="1:28" ht="14.45" customHeight="1" x14ac:dyDescent="0.2">
      <c r="A12" s="438" t="s">
        <v>190</v>
      </c>
    </row>
    <row r="13" spans="1:28" ht="14.45" customHeight="1" x14ac:dyDescent="0.2">
      <c r="A13" s="439" t="s">
        <v>420</v>
      </c>
    </row>
    <row r="14" spans="1:28" ht="14.45" customHeight="1" x14ac:dyDescent="0.2">
      <c r="A14" s="438" t="s">
        <v>421</v>
      </c>
    </row>
    <row r="15" spans="1:28" ht="14.45" customHeight="1" x14ac:dyDescent="0.2">
      <c r="A15" s="438" t="s">
        <v>422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4E88AEB-CC1A-4EBB-9D10-E3A1942DDBF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428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1" t="s">
        <v>96</v>
      </c>
      <c r="B3" s="209">
        <f t="shared" ref="B3:G3" si="0">SUBTOTAL(9,B6:B1048576)</f>
        <v>1454</v>
      </c>
      <c r="C3" s="210">
        <f t="shared" si="0"/>
        <v>1944</v>
      </c>
      <c r="D3" s="220">
        <f t="shared" si="0"/>
        <v>2736</v>
      </c>
      <c r="E3" s="182">
        <f t="shared" si="0"/>
        <v>665689</v>
      </c>
      <c r="F3" s="180">
        <f t="shared" si="0"/>
        <v>926736.67000000016</v>
      </c>
      <c r="G3" s="211">
        <f t="shared" si="0"/>
        <v>1341332.6500000001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421"/>
      <c r="B5" s="422">
        <v>2015</v>
      </c>
      <c r="C5" s="423">
        <v>2018</v>
      </c>
      <c r="D5" s="440">
        <v>2019</v>
      </c>
      <c r="E5" s="422">
        <v>2015</v>
      </c>
      <c r="F5" s="423">
        <v>2018</v>
      </c>
      <c r="G5" s="440">
        <v>2019</v>
      </c>
    </row>
    <row r="6" spans="1:7" ht="14.45" customHeight="1" x14ac:dyDescent="0.2">
      <c r="A6" s="404" t="s">
        <v>418</v>
      </c>
      <c r="B6" s="405">
        <v>1454</v>
      </c>
      <c r="C6" s="405">
        <v>1944</v>
      </c>
      <c r="D6" s="405">
        <v>967</v>
      </c>
      <c r="E6" s="442">
        <v>665689</v>
      </c>
      <c r="F6" s="442">
        <v>926736.67000000016</v>
      </c>
      <c r="G6" s="443">
        <v>460708.32000000007</v>
      </c>
    </row>
    <row r="7" spans="1:7" ht="14.45" customHeight="1" x14ac:dyDescent="0.2">
      <c r="A7" s="451" t="s">
        <v>423</v>
      </c>
      <c r="B7" s="445"/>
      <c r="C7" s="445"/>
      <c r="D7" s="445">
        <v>250</v>
      </c>
      <c r="E7" s="446"/>
      <c r="F7" s="446"/>
      <c r="G7" s="447">
        <v>133287.33000000002</v>
      </c>
    </row>
    <row r="8" spans="1:7" ht="14.45" customHeight="1" x14ac:dyDescent="0.2">
      <c r="A8" s="451" t="s">
        <v>424</v>
      </c>
      <c r="B8" s="445"/>
      <c r="C8" s="445"/>
      <c r="D8" s="445">
        <v>203</v>
      </c>
      <c r="E8" s="446"/>
      <c r="F8" s="446"/>
      <c r="G8" s="447">
        <v>110614</v>
      </c>
    </row>
    <row r="9" spans="1:7" ht="14.45" customHeight="1" x14ac:dyDescent="0.2">
      <c r="A9" s="451" t="s">
        <v>425</v>
      </c>
      <c r="B9" s="445"/>
      <c r="C9" s="445"/>
      <c r="D9" s="445">
        <v>424</v>
      </c>
      <c r="E9" s="446"/>
      <c r="F9" s="446"/>
      <c r="G9" s="447">
        <v>234180.66</v>
      </c>
    </row>
    <row r="10" spans="1:7" ht="14.45" customHeight="1" x14ac:dyDescent="0.2">
      <c r="A10" s="451" t="s">
        <v>426</v>
      </c>
      <c r="B10" s="445"/>
      <c r="C10" s="445"/>
      <c r="D10" s="445">
        <v>182</v>
      </c>
      <c r="E10" s="446"/>
      <c r="F10" s="446"/>
      <c r="G10" s="447">
        <v>98279.33</v>
      </c>
    </row>
    <row r="11" spans="1:7" ht="14.45" customHeight="1" thickBot="1" x14ac:dyDescent="0.25">
      <c r="A11" s="452" t="s">
        <v>427</v>
      </c>
      <c r="B11" s="408"/>
      <c r="C11" s="408"/>
      <c r="D11" s="408">
        <v>710</v>
      </c>
      <c r="E11" s="449"/>
      <c r="F11" s="449"/>
      <c r="G11" s="450">
        <v>304263.01</v>
      </c>
    </row>
    <row r="12" spans="1:7" ht="14.45" customHeight="1" x14ac:dyDescent="0.2">
      <c r="A12" s="438" t="s">
        <v>190</v>
      </c>
    </row>
    <row r="13" spans="1:7" ht="14.45" customHeight="1" x14ac:dyDescent="0.2">
      <c r="A13" s="439" t="s">
        <v>420</v>
      </c>
    </row>
    <row r="14" spans="1:7" ht="14.45" customHeight="1" x14ac:dyDescent="0.2">
      <c r="A14" s="438" t="s">
        <v>421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869BF3A-BED8-4D0A-8F16-B6A932A1ECA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6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446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90" t="s">
        <v>213</v>
      </c>
      <c r="B2" s="166"/>
      <c r="C2" s="166"/>
      <c r="D2" s="83"/>
      <c r="E2" s="83"/>
      <c r="F2" s="83"/>
      <c r="G2" s="188"/>
      <c r="H2" s="188"/>
      <c r="I2" s="83"/>
      <c r="J2" s="83"/>
      <c r="K2" s="188"/>
      <c r="L2" s="188"/>
      <c r="M2" s="83"/>
      <c r="N2" s="83"/>
      <c r="O2" s="188"/>
      <c r="P2" s="188"/>
      <c r="Q2" s="185"/>
      <c r="R2" s="188"/>
    </row>
    <row r="3" spans="1:18" ht="14.45" customHeight="1" thickBot="1" x14ac:dyDescent="0.25">
      <c r="F3" s="62" t="s">
        <v>96</v>
      </c>
      <c r="G3" s="74">
        <f t="shared" ref="G3:P3" si="0">SUBTOTAL(9,G6:G1048576)</f>
        <v>1454</v>
      </c>
      <c r="H3" s="75">
        <f t="shared" si="0"/>
        <v>665689</v>
      </c>
      <c r="I3" s="57"/>
      <c r="J3" s="57"/>
      <c r="K3" s="75">
        <f t="shared" si="0"/>
        <v>1944</v>
      </c>
      <c r="L3" s="75">
        <f t="shared" si="0"/>
        <v>926736.67</v>
      </c>
      <c r="M3" s="57"/>
      <c r="N3" s="57"/>
      <c r="O3" s="75">
        <f t="shared" si="0"/>
        <v>2736</v>
      </c>
      <c r="P3" s="75">
        <f t="shared" si="0"/>
        <v>1341332.6499999999</v>
      </c>
      <c r="Q3" s="58">
        <f>IF(L3=0,0,P3/L3)</f>
        <v>1.4473719379206176</v>
      </c>
      <c r="R3" s="76">
        <f>IF(O3=0,0,P3/O3)</f>
        <v>490.25316154970756</v>
      </c>
    </row>
    <row r="4" spans="1:18" ht="14.45" customHeight="1" x14ac:dyDescent="0.2">
      <c r="A4" s="357" t="s">
        <v>156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2015</v>
      </c>
      <c r="H4" s="362"/>
      <c r="I4" s="73"/>
      <c r="J4" s="73"/>
      <c r="K4" s="361">
        <v>2018</v>
      </c>
      <c r="L4" s="362"/>
      <c r="M4" s="73"/>
      <c r="N4" s="73"/>
      <c r="O4" s="361">
        <v>2019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53"/>
      <c r="B5" s="453"/>
      <c r="C5" s="454"/>
      <c r="D5" s="455"/>
      <c r="E5" s="456"/>
      <c r="F5" s="457"/>
      <c r="G5" s="458" t="s">
        <v>46</v>
      </c>
      <c r="H5" s="459" t="s">
        <v>3</v>
      </c>
      <c r="I5" s="460"/>
      <c r="J5" s="460"/>
      <c r="K5" s="458" t="s">
        <v>46</v>
      </c>
      <c r="L5" s="459" t="s">
        <v>3</v>
      </c>
      <c r="M5" s="460"/>
      <c r="N5" s="460"/>
      <c r="O5" s="458" t="s">
        <v>46</v>
      </c>
      <c r="P5" s="459" t="s">
        <v>3</v>
      </c>
      <c r="Q5" s="461"/>
      <c r="R5" s="462"/>
    </row>
    <row r="6" spans="1:18" ht="14.45" customHeight="1" x14ac:dyDescent="0.2">
      <c r="A6" s="441" t="s">
        <v>429</v>
      </c>
      <c r="B6" s="463" t="s">
        <v>430</v>
      </c>
      <c r="C6" s="463" t="s">
        <v>417</v>
      </c>
      <c r="D6" s="463" t="s">
        <v>431</v>
      </c>
      <c r="E6" s="463" t="s">
        <v>432</v>
      </c>
      <c r="F6" s="463" t="s">
        <v>433</v>
      </c>
      <c r="G6" s="405">
        <v>7</v>
      </c>
      <c r="H6" s="405">
        <v>987</v>
      </c>
      <c r="I6" s="463">
        <v>2.316901408450704</v>
      </c>
      <c r="J6" s="463">
        <v>141</v>
      </c>
      <c r="K6" s="405">
        <v>3</v>
      </c>
      <c r="L6" s="405">
        <v>426</v>
      </c>
      <c r="M6" s="463">
        <v>1</v>
      </c>
      <c r="N6" s="463">
        <v>142</v>
      </c>
      <c r="O6" s="405">
        <v>2</v>
      </c>
      <c r="P6" s="405">
        <v>286</v>
      </c>
      <c r="Q6" s="406">
        <v>0.67136150234741787</v>
      </c>
      <c r="R6" s="417">
        <v>143</v>
      </c>
    </row>
    <row r="7" spans="1:18" ht="14.45" customHeight="1" x14ac:dyDescent="0.2">
      <c r="A7" s="444" t="s">
        <v>429</v>
      </c>
      <c r="B7" s="464" t="s">
        <v>430</v>
      </c>
      <c r="C7" s="464" t="s">
        <v>417</v>
      </c>
      <c r="D7" s="464" t="s">
        <v>431</v>
      </c>
      <c r="E7" s="464" t="s">
        <v>434</v>
      </c>
      <c r="F7" s="464" t="s">
        <v>435</v>
      </c>
      <c r="G7" s="445">
        <v>200</v>
      </c>
      <c r="H7" s="445">
        <v>55800</v>
      </c>
      <c r="I7" s="464">
        <v>0.89388696655132638</v>
      </c>
      <c r="J7" s="464">
        <v>279</v>
      </c>
      <c r="K7" s="445">
        <v>216</v>
      </c>
      <c r="L7" s="445">
        <v>62424</v>
      </c>
      <c r="M7" s="464">
        <v>1</v>
      </c>
      <c r="N7" s="464">
        <v>289</v>
      </c>
      <c r="O7" s="445">
        <v>272</v>
      </c>
      <c r="P7" s="445">
        <v>79424</v>
      </c>
      <c r="Q7" s="465">
        <v>1.2723311546840959</v>
      </c>
      <c r="R7" s="466">
        <v>292</v>
      </c>
    </row>
    <row r="8" spans="1:18" ht="14.45" customHeight="1" x14ac:dyDescent="0.2">
      <c r="A8" s="444" t="s">
        <v>429</v>
      </c>
      <c r="B8" s="464" t="s">
        <v>430</v>
      </c>
      <c r="C8" s="464" t="s">
        <v>417</v>
      </c>
      <c r="D8" s="464" t="s">
        <v>431</v>
      </c>
      <c r="E8" s="464" t="s">
        <v>436</v>
      </c>
      <c r="F8" s="464" t="s">
        <v>437</v>
      </c>
      <c r="G8" s="445">
        <v>741</v>
      </c>
      <c r="H8" s="445">
        <v>410514</v>
      </c>
      <c r="I8" s="464">
        <v>0.64040248040248038</v>
      </c>
      <c r="J8" s="464">
        <v>554</v>
      </c>
      <c r="K8" s="445">
        <v>1155</v>
      </c>
      <c r="L8" s="445">
        <v>641025</v>
      </c>
      <c r="M8" s="464">
        <v>1</v>
      </c>
      <c r="N8" s="464">
        <v>555</v>
      </c>
      <c r="O8" s="445">
        <v>1862</v>
      </c>
      <c r="P8" s="445">
        <v>1038996</v>
      </c>
      <c r="Q8" s="465">
        <v>1.6208353808353808</v>
      </c>
      <c r="R8" s="466">
        <v>558</v>
      </c>
    </row>
    <row r="9" spans="1:18" ht="14.45" customHeight="1" x14ac:dyDescent="0.2">
      <c r="A9" s="444" t="s">
        <v>429</v>
      </c>
      <c r="B9" s="464" t="s">
        <v>430</v>
      </c>
      <c r="C9" s="464" t="s">
        <v>417</v>
      </c>
      <c r="D9" s="464" t="s">
        <v>431</v>
      </c>
      <c r="E9" s="464" t="s">
        <v>438</v>
      </c>
      <c r="F9" s="464" t="s">
        <v>439</v>
      </c>
      <c r="G9" s="445">
        <v>42</v>
      </c>
      <c r="H9" s="445">
        <v>1400</v>
      </c>
      <c r="I9" s="464">
        <v>0.95454328512889741</v>
      </c>
      <c r="J9" s="464">
        <v>33.333333333333336</v>
      </c>
      <c r="K9" s="445">
        <v>44</v>
      </c>
      <c r="L9" s="445">
        <v>1466.67</v>
      </c>
      <c r="M9" s="464">
        <v>1</v>
      </c>
      <c r="N9" s="464">
        <v>33.333409090909093</v>
      </c>
      <c r="O9" s="445">
        <v>77</v>
      </c>
      <c r="P9" s="445">
        <v>2566.65</v>
      </c>
      <c r="Q9" s="465">
        <v>1.7499846591257746</v>
      </c>
      <c r="R9" s="466">
        <v>33.333116883116887</v>
      </c>
    </row>
    <row r="10" spans="1:18" ht="14.45" customHeight="1" x14ac:dyDescent="0.2">
      <c r="A10" s="444" t="s">
        <v>429</v>
      </c>
      <c r="B10" s="464" t="s">
        <v>430</v>
      </c>
      <c r="C10" s="464" t="s">
        <v>417</v>
      </c>
      <c r="D10" s="464" t="s">
        <v>431</v>
      </c>
      <c r="E10" s="464" t="s">
        <v>440</v>
      </c>
      <c r="F10" s="464" t="s">
        <v>441</v>
      </c>
      <c r="G10" s="445">
        <v>44</v>
      </c>
      <c r="H10" s="445">
        <v>16412</v>
      </c>
      <c r="I10" s="464">
        <v>0.97516339869281043</v>
      </c>
      <c r="J10" s="464">
        <v>373</v>
      </c>
      <c r="K10" s="445">
        <v>45</v>
      </c>
      <c r="L10" s="445">
        <v>16830</v>
      </c>
      <c r="M10" s="464">
        <v>1</v>
      </c>
      <c r="N10" s="464">
        <v>374</v>
      </c>
      <c r="O10" s="445">
        <v>77</v>
      </c>
      <c r="P10" s="445">
        <v>29029</v>
      </c>
      <c r="Q10" s="465">
        <v>1.7248366013071896</v>
      </c>
      <c r="R10" s="466">
        <v>377</v>
      </c>
    </row>
    <row r="11" spans="1:18" ht="14.45" customHeight="1" x14ac:dyDescent="0.2">
      <c r="A11" s="444" t="s">
        <v>429</v>
      </c>
      <c r="B11" s="464" t="s">
        <v>430</v>
      </c>
      <c r="C11" s="464" t="s">
        <v>417</v>
      </c>
      <c r="D11" s="464" t="s">
        <v>431</v>
      </c>
      <c r="E11" s="464" t="s">
        <v>442</v>
      </c>
      <c r="F11" s="464" t="s">
        <v>443</v>
      </c>
      <c r="G11" s="445">
        <v>417</v>
      </c>
      <c r="H11" s="445">
        <v>179727</v>
      </c>
      <c r="I11" s="464">
        <v>0.90486499549397603</v>
      </c>
      <c r="J11" s="464">
        <v>431</v>
      </c>
      <c r="K11" s="445">
        <v>460</v>
      </c>
      <c r="L11" s="445">
        <v>198623</v>
      </c>
      <c r="M11" s="464">
        <v>1</v>
      </c>
      <c r="N11" s="464">
        <v>431.78913043478263</v>
      </c>
      <c r="O11" s="445">
        <v>429</v>
      </c>
      <c r="P11" s="445">
        <v>186186</v>
      </c>
      <c r="Q11" s="465">
        <v>0.93738388806935757</v>
      </c>
      <c r="R11" s="466">
        <v>434</v>
      </c>
    </row>
    <row r="12" spans="1:18" ht="14.45" customHeight="1" thickBot="1" x14ac:dyDescent="0.25">
      <c r="A12" s="448" t="s">
        <v>429</v>
      </c>
      <c r="B12" s="467" t="s">
        <v>430</v>
      </c>
      <c r="C12" s="467" t="s">
        <v>417</v>
      </c>
      <c r="D12" s="467" t="s">
        <v>431</v>
      </c>
      <c r="E12" s="467" t="s">
        <v>444</v>
      </c>
      <c r="F12" s="467" t="s">
        <v>445</v>
      </c>
      <c r="G12" s="408">
        <v>3</v>
      </c>
      <c r="H12" s="408">
        <v>849</v>
      </c>
      <c r="I12" s="467">
        <v>0.14288118478626724</v>
      </c>
      <c r="J12" s="467">
        <v>283</v>
      </c>
      <c r="K12" s="408">
        <v>21</v>
      </c>
      <c r="L12" s="408">
        <v>5942</v>
      </c>
      <c r="M12" s="467">
        <v>1</v>
      </c>
      <c r="N12" s="467">
        <v>282.95238095238096</v>
      </c>
      <c r="O12" s="408">
        <v>17</v>
      </c>
      <c r="P12" s="408">
        <v>4845</v>
      </c>
      <c r="Q12" s="409">
        <v>0.81538202625378664</v>
      </c>
      <c r="R12" s="418">
        <v>285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496CE17-003A-4314-A6F1-78FD5B166131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6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447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90" t="s">
        <v>213</v>
      </c>
      <c r="B2" s="166"/>
      <c r="C2" s="166"/>
      <c r="D2" s="166"/>
      <c r="E2" s="83"/>
      <c r="F2" s="83"/>
      <c r="G2" s="83"/>
      <c r="H2" s="188"/>
      <c r="I2" s="188"/>
      <c r="J2" s="83"/>
      <c r="K2" s="83"/>
      <c r="L2" s="188"/>
      <c r="M2" s="188"/>
      <c r="N2" s="83"/>
      <c r="O2" s="83"/>
      <c r="P2" s="188"/>
      <c r="Q2" s="188"/>
      <c r="R2" s="185"/>
      <c r="S2" s="188"/>
    </row>
    <row r="3" spans="1:19" ht="14.45" customHeight="1" thickBot="1" x14ac:dyDescent="0.25">
      <c r="G3" s="62" t="s">
        <v>96</v>
      </c>
      <c r="H3" s="74">
        <f t="shared" ref="H3:Q3" si="0">SUBTOTAL(9,H6:H1048576)</f>
        <v>1454</v>
      </c>
      <c r="I3" s="75">
        <f t="shared" si="0"/>
        <v>665689</v>
      </c>
      <c r="J3" s="57"/>
      <c r="K3" s="57"/>
      <c r="L3" s="75">
        <f t="shared" si="0"/>
        <v>1944</v>
      </c>
      <c r="M3" s="75">
        <f t="shared" si="0"/>
        <v>926736.67</v>
      </c>
      <c r="N3" s="57"/>
      <c r="O3" s="57"/>
      <c r="P3" s="75">
        <f t="shared" si="0"/>
        <v>2736</v>
      </c>
      <c r="Q3" s="75">
        <f t="shared" si="0"/>
        <v>1341332.6500000001</v>
      </c>
      <c r="R3" s="58">
        <f>IF(M3=0,0,Q3/M3)</f>
        <v>1.4473719379206178</v>
      </c>
      <c r="S3" s="76">
        <f>IF(P3=0,0,Q3/P3)</f>
        <v>490.25316154970767</v>
      </c>
    </row>
    <row r="4" spans="1:19" ht="14.45" customHeight="1" x14ac:dyDescent="0.2">
      <c r="A4" s="357" t="s">
        <v>156</v>
      </c>
      <c r="B4" s="357" t="s">
        <v>69</v>
      </c>
      <c r="C4" s="365" t="s">
        <v>0</v>
      </c>
      <c r="D4" s="216" t="s">
        <v>97</v>
      </c>
      <c r="E4" s="359" t="s">
        <v>70</v>
      </c>
      <c r="F4" s="364" t="s">
        <v>45</v>
      </c>
      <c r="G4" s="360" t="s">
        <v>44</v>
      </c>
      <c r="H4" s="361">
        <v>2015</v>
      </c>
      <c r="I4" s="362"/>
      <c r="J4" s="73"/>
      <c r="K4" s="73"/>
      <c r="L4" s="361">
        <v>2018</v>
      </c>
      <c r="M4" s="362"/>
      <c r="N4" s="73"/>
      <c r="O4" s="73"/>
      <c r="P4" s="361">
        <v>2019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53"/>
      <c r="B5" s="453"/>
      <c r="C5" s="454"/>
      <c r="D5" s="468"/>
      <c r="E5" s="455"/>
      <c r="F5" s="456"/>
      <c r="G5" s="457"/>
      <c r="H5" s="458" t="s">
        <v>46</v>
      </c>
      <c r="I5" s="459" t="s">
        <v>3</v>
      </c>
      <c r="J5" s="460"/>
      <c r="K5" s="460"/>
      <c r="L5" s="458" t="s">
        <v>46</v>
      </c>
      <c r="M5" s="459" t="s">
        <v>3</v>
      </c>
      <c r="N5" s="460"/>
      <c r="O5" s="460"/>
      <c r="P5" s="458" t="s">
        <v>46</v>
      </c>
      <c r="Q5" s="459" t="s">
        <v>3</v>
      </c>
      <c r="R5" s="461"/>
      <c r="S5" s="462"/>
    </row>
    <row r="6" spans="1:19" ht="14.45" customHeight="1" x14ac:dyDescent="0.2">
      <c r="A6" s="441" t="s">
        <v>429</v>
      </c>
      <c r="B6" s="463" t="s">
        <v>430</v>
      </c>
      <c r="C6" s="463" t="s">
        <v>417</v>
      </c>
      <c r="D6" s="463" t="s">
        <v>418</v>
      </c>
      <c r="E6" s="463" t="s">
        <v>431</v>
      </c>
      <c r="F6" s="463" t="s">
        <v>432</v>
      </c>
      <c r="G6" s="463" t="s">
        <v>433</v>
      </c>
      <c r="H6" s="405">
        <v>7</v>
      </c>
      <c r="I6" s="405">
        <v>987</v>
      </c>
      <c r="J6" s="463">
        <v>2.316901408450704</v>
      </c>
      <c r="K6" s="463">
        <v>141</v>
      </c>
      <c r="L6" s="405">
        <v>3</v>
      </c>
      <c r="M6" s="405">
        <v>426</v>
      </c>
      <c r="N6" s="463">
        <v>1</v>
      </c>
      <c r="O6" s="463">
        <v>142</v>
      </c>
      <c r="P6" s="405">
        <v>1</v>
      </c>
      <c r="Q6" s="405">
        <v>143</v>
      </c>
      <c r="R6" s="406">
        <v>0.33568075117370894</v>
      </c>
      <c r="S6" s="417">
        <v>143</v>
      </c>
    </row>
    <row r="7" spans="1:19" ht="14.45" customHeight="1" x14ac:dyDescent="0.2">
      <c r="A7" s="444" t="s">
        <v>429</v>
      </c>
      <c r="B7" s="464" t="s">
        <v>430</v>
      </c>
      <c r="C7" s="464" t="s">
        <v>417</v>
      </c>
      <c r="D7" s="464" t="s">
        <v>418</v>
      </c>
      <c r="E7" s="464" t="s">
        <v>431</v>
      </c>
      <c r="F7" s="464" t="s">
        <v>434</v>
      </c>
      <c r="G7" s="464" t="s">
        <v>435</v>
      </c>
      <c r="H7" s="445">
        <v>200</v>
      </c>
      <c r="I7" s="445">
        <v>55800</v>
      </c>
      <c r="J7" s="464">
        <v>0.89388696655132638</v>
      </c>
      <c r="K7" s="464">
        <v>279</v>
      </c>
      <c r="L7" s="445">
        <v>216</v>
      </c>
      <c r="M7" s="445">
        <v>62424</v>
      </c>
      <c r="N7" s="464">
        <v>1</v>
      </c>
      <c r="O7" s="464">
        <v>289</v>
      </c>
      <c r="P7" s="445">
        <v>96</v>
      </c>
      <c r="Q7" s="445">
        <v>28032</v>
      </c>
      <c r="R7" s="465">
        <v>0.4490580545943868</v>
      </c>
      <c r="S7" s="466">
        <v>292</v>
      </c>
    </row>
    <row r="8" spans="1:19" ht="14.45" customHeight="1" x14ac:dyDescent="0.2">
      <c r="A8" s="444" t="s">
        <v>429</v>
      </c>
      <c r="B8" s="464" t="s">
        <v>430</v>
      </c>
      <c r="C8" s="464" t="s">
        <v>417</v>
      </c>
      <c r="D8" s="464" t="s">
        <v>418</v>
      </c>
      <c r="E8" s="464" t="s">
        <v>431</v>
      </c>
      <c r="F8" s="464" t="s">
        <v>436</v>
      </c>
      <c r="G8" s="464" t="s">
        <v>437</v>
      </c>
      <c r="H8" s="445">
        <v>741</v>
      </c>
      <c r="I8" s="445">
        <v>410514</v>
      </c>
      <c r="J8" s="464">
        <v>0.64040248040248038</v>
      </c>
      <c r="K8" s="464">
        <v>554</v>
      </c>
      <c r="L8" s="445">
        <v>1155</v>
      </c>
      <c r="M8" s="445">
        <v>641025</v>
      </c>
      <c r="N8" s="464">
        <v>1</v>
      </c>
      <c r="O8" s="464">
        <v>555</v>
      </c>
      <c r="P8" s="445">
        <v>596</v>
      </c>
      <c r="Q8" s="445">
        <v>332568</v>
      </c>
      <c r="R8" s="465">
        <v>0.51880659880659885</v>
      </c>
      <c r="S8" s="466">
        <v>558</v>
      </c>
    </row>
    <row r="9" spans="1:19" ht="14.45" customHeight="1" x14ac:dyDescent="0.2">
      <c r="A9" s="444" t="s">
        <v>429</v>
      </c>
      <c r="B9" s="464" t="s">
        <v>430</v>
      </c>
      <c r="C9" s="464" t="s">
        <v>417</v>
      </c>
      <c r="D9" s="464" t="s">
        <v>418</v>
      </c>
      <c r="E9" s="464" t="s">
        <v>431</v>
      </c>
      <c r="F9" s="464" t="s">
        <v>438</v>
      </c>
      <c r="G9" s="464" t="s">
        <v>439</v>
      </c>
      <c r="H9" s="445">
        <v>42</v>
      </c>
      <c r="I9" s="445">
        <v>1400</v>
      </c>
      <c r="J9" s="464">
        <v>0.95454328512889741</v>
      </c>
      <c r="K9" s="464">
        <v>33.333333333333336</v>
      </c>
      <c r="L9" s="445">
        <v>44</v>
      </c>
      <c r="M9" s="445">
        <v>1466.67</v>
      </c>
      <c r="N9" s="464">
        <v>1</v>
      </c>
      <c r="O9" s="464">
        <v>33.333409090909093</v>
      </c>
      <c r="P9" s="445">
        <v>40</v>
      </c>
      <c r="Q9" s="445">
        <v>1333.32</v>
      </c>
      <c r="R9" s="465">
        <v>0.9090797520914724</v>
      </c>
      <c r="S9" s="466">
        <v>33.332999999999998</v>
      </c>
    </row>
    <row r="10" spans="1:19" ht="14.45" customHeight="1" x14ac:dyDescent="0.2">
      <c r="A10" s="444" t="s">
        <v>429</v>
      </c>
      <c r="B10" s="464" t="s">
        <v>430</v>
      </c>
      <c r="C10" s="464" t="s">
        <v>417</v>
      </c>
      <c r="D10" s="464" t="s">
        <v>418</v>
      </c>
      <c r="E10" s="464" t="s">
        <v>431</v>
      </c>
      <c r="F10" s="464" t="s">
        <v>440</v>
      </c>
      <c r="G10" s="464" t="s">
        <v>441</v>
      </c>
      <c r="H10" s="445">
        <v>44</v>
      </c>
      <c r="I10" s="445">
        <v>16412</v>
      </c>
      <c r="J10" s="464">
        <v>0.97516339869281043</v>
      </c>
      <c r="K10" s="464">
        <v>373</v>
      </c>
      <c r="L10" s="445">
        <v>45</v>
      </c>
      <c r="M10" s="445">
        <v>16830</v>
      </c>
      <c r="N10" s="464">
        <v>1</v>
      </c>
      <c r="O10" s="464">
        <v>374</v>
      </c>
      <c r="P10" s="445">
        <v>33</v>
      </c>
      <c r="Q10" s="445">
        <v>12441</v>
      </c>
      <c r="R10" s="465">
        <v>0.73921568627450984</v>
      </c>
      <c r="S10" s="466">
        <v>377</v>
      </c>
    </row>
    <row r="11" spans="1:19" ht="14.45" customHeight="1" x14ac:dyDescent="0.2">
      <c r="A11" s="444" t="s">
        <v>429</v>
      </c>
      <c r="B11" s="464" t="s">
        <v>430</v>
      </c>
      <c r="C11" s="464" t="s">
        <v>417</v>
      </c>
      <c r="D11" s="464" t="s">
        <v>418</v>
      </c>
      <c r="E11" s="464" t="s">
        <v>431</v>
      </c>
      <c r="F11" s="464" t="s">
        <v>442</v>
      </c>
      <c r="G11" s="464" t="s">
        <v>443</v>
      </c>
      <c r="H11" s="445">
        <v>417</v>
      </c>
      <c r="I11" s="445">
        <v>179727</v>
      </c>
      <c r="J11" s="464">
        <v>0.90486499549397603</v>
      </c>
      <c r="K11" s="464">
        <v>431</v>
      </c>
      <c r="L11" s="445">
        <v>460</v>
      </c>
      <c r="M11" s="445">
        <v>198623</v>
      </c>
      <c r="N11" s="464">
        <v>1</v>
      </c>
      <c r="O11" s="464">
        <v>431.78913043478263</v>
      </c>
      <c r="P11" s="445">
        <v>194</v>
      </c>
      <c r="Q11" s="445">
        <v>84196</v>
      </c>
      <c r="R11" s="465">
        <v>0.42389854145793793</v>
      </c>
      <c r="S11" s="466">
        <v>434</v>
      </c>
    </row>
    <row r="12" spans="1:19" ht="14.45" customHeight="1" x14ac:dyDescent="0.2">
      <c r="A12" s="444" t="s">
        <v>429</v>
      </c>
      <c r="B12" s="464" t="s">
        <v>430</v>
      </c>
      <c r="C12" s="464" t="s">
        <v>417</v>
      </c>
      <c r="D12" s="464" t="s">
        <v>418</v>
      </c>
      <c r="E12" s="464" t="s">
        <v>431</v>
      </c>
      <c r="F12" s="464" t="s">
        <v>444</v>
      </c>
      <c r="G12" s="464" t="s">
        <v>445</v>
      </c>
      <c r="H12" s="445">
        <v>3</v>
      </c>
      <c r="I12" s="445">
        <v>849</v>
      </c>
      <c r="J12" s="464">
        <v>0.14288118478626724</v>
      </c>
      <c r="K12" s="464">
        <v>283</v>
      </c>
      <c r="L12" s="445">
        <v>21</v>
      </c>
      <c r="M12" s="445">
        <v>5942</v>
      </c>
      <c r="N12" s="464">
        <v>1</v>
      </c>
      <c r="O12" s="464">
        <v>282.95238095238096</v>
      </c>
      <c r="P12" s="445">
        <v>7</v>
      </c>
      <c r="Q12" s="445">
        <v>1995</v>
      </c>
      <c r="R12" s="465">
        <v>0.33574554022214742</v>
      </c>
      <c r="S12" s="466">
        <v>285</v>
      </c>
    </row>
    <row r="13" spans="1:19" ht="14.45" customHeight="1" x14ac:dyDescent="0.2">
      <c r="A13" s="444" t="s">
        <v>429</v>
      </c>
      <c r="B13" s="464" t="s">
        <v>430</v>
      </c>
      <c r="C13" s="464" t="s">
        <v>417</v>
      </c>
      <c r="D13" s="464" t="s">
        <v>423</v>
      </c>
      <c r="E13" s="464" t="s">
        <v>431</v>
      </c>
      <c r="F13" s="464" t="s">
        <v>436</v>
      </c>
      <c r="G13" s="464" t="s">
        <v>437</v>
      </c>
      <c r="H13" s="445"/>
      <c r="I13" s="445"/>
      <c r="J13" s="464"/>
      <c r="K13" s="464"/>
      <c r="L13" s="445"/>
      <c r="M13" s="445"/>
      <c r="N13" s="464"/>
      <c r="O13" s="464"/>
      <c r="P13" s="445">
        <v>231</v>
      </c>
      <c r="Q13" s="445">
        <v>128898</v>
      </c>
      <c r="R13" s="465"/>
      <c r="S13" s="466">
        <v>558</v>
      </c>
    </row>
    <row r="14" spans="1:19" ht="14.45" customHeight="1" x14ac:dyDescent="0.2">
      <c r="A14" s="444" t="s">
        <v>429</v>
      </c>
      <c r="B14" s="464" t="s">
        <v>430</v>
      </c>
      <c r="C14" s="464" t="s">
        <v>417</v>
      </c>
      <c r="D14" s="464" t="s">
        <v>423</v>
      </c>
      <c r="E14" s="464" t="s">
        <v>431</v>
      </c>
      <c r="F14" s="464" t="s">
        <v>438</v>
      </c>
      <c r="G14" s="464" t="s">
        <v>439</v>
      </c>
      <c r="H14" s="445"/>
      <c r="I14" s="445"/>
      <c r="J14" s="464"/>
      <c r="K14" s="464"/>
      <c r="L14" s="445"/>
      <c r="M14" s="445"/>
      <c r="N14" s="464"/>
      <c r="O14" s="464"/>
      <c r="P14" s="445">
        <v>7</v>
      </c>
      <c r="Q14" s="445">
        <v>233.32999999999998</v>
      </c>
      <c r="R14" s="465"/>
      <c r="S14" s="466">
        <v>33.332857142857144</v>
      </c>
    </row>
    <row r="15" spans="1:19" ht="14.45" customHeight="1" x14ac:dyDescent="0.2">
      <c r="A15" s="444" t="s">
        <v>429</v>
      </c>
      <c r="B15" s="464" t="s">
        <v>430</v>
      </c>
      <c r="C15" s="464" t="s">
        <v>417</v>
      </c>
      <c r="D15" s="464" t="s">
        <v>423</v>
      </c>
      <c r="E15" s="464" t="s">
        <v>431</v>
      </c>
      <c r="F15" s="464" t="s">
        <v>440</v>
      </c>
      <c r="G15" s="464" t="s">
        <v>441</v>
      </c>
      <c r="H15" s="445"/>
      <c r="I15" s="445"/>
      <c r="J15" s="464"/>
      <c r="K15" s="464"/>
      <c r="L15" s="445"/>
      <c r="M15" s="445"/>
      <c r="N15" s="464"/>
      <c r="O15" s="464"/>
      <c r="P15" s="445">
        <v>8</v>
      </c>
      <c r="Q15" s="445">
        <v>3016</v>
      </c>
      <c r="R15" s="465"/>
      <c r="S15" s="466">
        <v>377</v>
      </c>
    </row>
    <row r="16" spans="1:19" ht="14.45" customHeight="1" x14ac:dyDescent="0.2">
      <c r="A16" s="444" t="s">
        <v>429</v>
      </c>
      <c r="B16" s="464" t="s">
        <v>430</v>
      </c>
      <c r="C16" s="464" t="s">
        <v>417</v>
      </c>
      <c r="D16" s="464" t="s">
        <v>423</v>
      </c>
      <c r="E16" s="464" t="s">
        <v>431</v>
      </c>
      <c r="F16" s="464" t="s">
        <v>444</v>
      </c>
      <c r="G16" s="464" t="s">
        <v>445</v>
      </c>
      <c r="H16" s="445"/>
      <c r="I16" s="445"/>
      <c r="J16" s="464"/>
      <c r="K16" s="464"/>
      <c r="L16" s="445"/>
      <c r="M16" s="445"/>
      <c r="N16" s="464"/>
      <c r="O16" s="464"/>
      <c r="P16" s="445">
        <v>4</v>
      </c>
      <c r="Q16" s="445">
        <v>1140</v>
      </c>
      <c r="R16" s="465"/>
      <c r="S16" s="466">
        <v>285</v>
      </c>
    </row>
    <row r="17" spans="1:19" ht="14.45" customHeight="1" x14ac:dyDescent="0.2">
      <c r="A17" s="444" t="s">
        <v>429</v>
      </c>
      <c r="B17" s="464" t="s">
        <v>430</v>
      </c>
      <c r="C17" s="464" t="s">
        <v>417</v>
      </c>
      <c r="D17" s="464" t="s">
        <v>425</v>
      </c>
      <c r="E17" s="464" t="s">
        <v>431</v>
      </c>
      <c r="F17" s="464" t="s">
        <v>436</v>
      </c>
      <c r="G17" s="464" t="s">
        <v>437</v>
      </c>
      <c r="H17" s="445"/>
      <c r="I17" s="445"/>
      <c r="J17" s="464"/>
      <c r="K17" s="464"/>
      <c r="L17" s="445"/>
      <c r="M17" s="445"/>
      <c r="N17" s="464"/>
      <c r="O17" s="464"/>
      <c r="P17" s="445">
        <v>416</v>
      </c>
      <c r="Q17" s="445">
        <v>232128</v>
      </c>
      <c r="R17" s="465"/>
      <c r="S17" s="466">
        <v>558</v>
      </c>
    </row>
    <row r="18" spans="1:19" ht="14.45" customHeight="1" x14ac:dyDescent="0.2">
      <c r="A18" s="444" t="s">
        <v>429</v>
      </c>
      <c r="B18" s="464" t="s">
        <v>430</v>
      </c>
      <c r="C18" s="464" t="s">
        <v>417</v>
      </c>
      <c r="D18" s="464" t="s">
        <v>425</v>
      </c>
      <c r="E18" s="464" t="s">
        <v>431</v>
      </c>
      <c r="F18" s="464" t="s">
        <v>438</v>
      </c>
      <c r="G18" s="464" t="s">
        <v>439</v>
      </c>
      <c r="H18" s="445"/>
      <c r="I18" s="445"/>
      <c r="J18" s="464"/>
      <c r="K18" s="464"/>
      <c r="L18" s="445"/>
      <c r="M18" s="445"/>
      <c r="N18" s="464"/>
      <c r="O18" s="464"/>
      <c r="P18" s="445">
        <v>2</v>
      </c>
      <c r="Q18" s="445">
        <v>66.66</v>
      </c>
      <c r="R18" s="465"/>
      <c r="S18" s="466">
        <v>33.33</v>
      </c>
    </row>
    <row r="19" spans="1:19" ht="14.45" customHeight="1" x14ac:dyDescent="0.2">
      <c r="A19" s="444" t="s">
        <v>429</v>
      </c>
      <c r="B19" s="464" t="s">
        <v>430</v>
      </c>
      <c r="C19" s="464" t="s">
        <v>417</v>
      </c>
      <c r="D19" s="464" t="s">
        <v>425</v>
      </c>
      <c r="E19" s="464" t="s">
        <v>431</v>
      </c>
      <c r="F19" s="464" t="s">
        <v>440</v>
      </c>
      <c r="G19" s="464" t="s">
        <v>441</v>
      </c>
      <c r="H19" s="445"/>
      <c r="I19" s="445"/>
      <c r="J19" s="464"/>
      <c r="K19" s="464"/>
      <c r="L19" s="445"/>
      <c r="M19" s="445"/>
      <c r="N19" s="464"/>
      <c r="O19" s="464"/>
      <c r="P19" s="445">
        <v>3</v>
      </c>
      <c r="Q19" s="445">
        <v>1131</v>
      </c>
      <c r="R19" s="465"/>
      <c r="S19" s="466">
        <v>377</v>
      </c>
    </row>
    <row r="20" spans="1:19" ht="14.45" customHeight="1" x14ac:dyDescent="0.2">
      <c r="A20" s="444" t="s">
        <v>429</v>
      </c>
      <c r="B20" s="464" t="s">
        <v>430</v>
      </c>
      <c r="C20" s="464" t="s">
        <v>417</v>
      </c>
      <c r="D20" s="464" t="s">
        <v>425</v>
      </c>
      <c r="E20" s="464" t="s">
        <v>431</v>
      </c>
      <c r="F20" s="464" t="s">
        <v>444</v>
      </c>
      <c r="G20" s="464" t="s">
        <v>445</v>
      </c>
      <c r="H20" s="445"/>
      <c r="I20" s="445"/>
      <c r="J20" s="464"/>
      <c r="K20" s="464"/>
      <c r="L20" s="445"/>
      <c r="M20" s="445"/>
      <c r="N20" s="464"/>
      <c r="O20" s="464"/>
      <c r="P20" s="445">
        <v>3</v>
      </c>
      <c r="Q20" s="445">
        <v>855</v>
      </c>
      <c r="R20" s="465"/>
      <c r="S20" s="466">
        <v>285</v>
      </c>
    </row>
    <row r="21" spans="1:19" ht="14.45" customHeight="1" x14ac:dyDescent="0.2">
      <c r="A21" s="444" t="s">
        <v>429</v>
      </c>
      <c r="B21" s="464" t="s">
        <v>430</v>
      </c>
      <c r="C21" s="464" t="s">
        <v>417</v>
      </c>
      <c r="D21" s="464" t="s">
        <v>427</v>
      </c>
      <c r="E21" s="464" t="s">
        <v>431</v>
      </c>
      <c r="F21" s="464" t="s">
        <v>432</v>
      </c>
      <c r="G21" s="464" t="s">
        <v>433</v>
      </c>
      <c r="H21" s="445"/>
      <c r="I21" s="445"/>
      <c r="J21" s="464"/>
      <c r="K21" s="464"/>
      <c r="L21" s="445"/>
      <c r="M21" s="445"/>
      <c r="N21" s="464"/>
      <c r="O21" s="464"/>
      <c r="P21" s="445">
        <v>1</v>
      </c>
      <c r="Q21" s="445">
        <v>143</v>
      </c>
      <c r="R21" s="465"/>
      <c r="S21" s="466">
        <v>143</v>
      </c>
    </row>
    <row r="22" spans="1:19" ht="14.45" customHeight="1" x14ac:dyDescent="0.2">
      <c r="A22" s="444" t="s">
        <v>429</v>
      </c>
      <c r="B22" s="464" t="s">
        <v>430</v>
      </c>
      <c r="C22" s="464" t="s">
        <v>417</v>
      </c>
      <c r="D22" s="464" t="s">
        <v>427</v>
      </c>
      <c r="E22" s="464" t="s">
        <v>431</v>
      </c>
      <c r="F22" s="464" t="s">
        <v>434</v>
      </c>
      <c r="G22" s="464" t="s">
        <v>435</v>
      </c>
      <c r="H22" s="445"/>
      <c r="I22" s="445"/>
      <c r="J22" s="464"/>
      <c r="K22" s="464"/>
      <c r="L22" s="445"/>
      <c r="M22" s="445"/>
      <c r="N22" s="464"/>
      <c r="O22" s="464"/>
      <c r="P22" s="445">
        <v>176</v>
      </c>
      <c r="Q22" s="445">
        <v>51392</v>
      </c>
      <c r="R22" s="465"/>
      <c r="S22" s="466">
        <v>292</v>
      </c>
    </row>
    <row r="23" spans="1:19" ht="14.45" customHeight="1" x14ac:dyDescent="0.2">
      <c r="A23" s="444" t="s">
        <v>429</v>
      </c>
      <c r="B23" s="464" t="s">
        <v>430</v>
      </c>
      <c r="C23" s="464" t="s">
        <v>417</v>
      </c>
      <c r="D23" s="464" t="s">
        <v>427</v>
      </c>
      <c r="E23" s="464" t="s">
        <v>431</v>
      </c>
      <c r="F23" s="464" t="s">
        <v>436</v>
      </c>
      <c r="G23" s="464" t="s">
        <v>437</v>
      </c>
      <c r="H23" s="445"/>
      <c r="I23" s="445"/>
      <c r="J23" s="464"/>
      <c r="K23" s="464"/>
      <c r="L23" s="445"/>
      <c r="M23" s="445"/>
      <c r="N23" s="464"/>
      <c r="O23" s="464"/>
      <c r="P23" s="445">
        <v>253</v>
      </c>
      <c r="Q23" s="445">
        <v>141174</v>
      </c>
      <c r="R23" s="465"/>
      <c r="S23" s="466">
        <v>558</v>
      </c>
    </row>
    <row r="24" spans="1:19" ht="14.45" customHeight="1" x14ac:dyDescent="0.2">
      <c r="A24" s="444" t="s">
        <v>429</v>
      </c>
      <c r="B24" s="464" t="s">
        <v>430</v>
      </c>
      <c r="C24" s="464" t="s">
        <v>417</v>
      </c>
      <c r="D24" s="464" t="s">
        <v>427</v>
      </c>
      <c r="E24" s="464" t="s">
        <v>431</v>
      </c>
      <c r="F24" s="464" t="s">
        <v>438</v>
      </c>
      <c r="G24" s="464" t="s">
        <v>439</v>
      </c>
      <c r="H24" s="445"/>
      <c r="I24" s="445"/>
      <c r="J24" s="464"/>
      <c r="K24" s="464"/>
      <c r="L24" s="445"/>
      <c r="M24" s="445"/>
      <c r="N24" s="464"/>
      <c r="O24" s="464"/>
      <c r="P24" s="445">
        <v>21</v>
      </c>
      <c r="Q24" s="445">
        <v>700.01</v>
      </c>
      <c r="R24" s="465"/>
      <c r="S24" s="466">
        <v>33.333809523809521</v>
      </c>
    </row>
    <row r="25" spans="1:19" ht="14.45" customHeight="1" x14ac:dyDescent="0.2">
      <c r="A25" s="444" t="s">
        <v>429</v>
      </c>
      <c r="B25" s="464" t="s">
        <v>430</v>
      </c>
      <c r="C25" s="464" t="s">
        <v>417</v>
      </c>
      <c r="D25" s="464" t="s">
        <v>427</v>
      </c>
      <c r="E25" s="464" t="s">
        <v>431</v>
      </c>
      <c r="F25" s="464" t="s">
        <v>440</v>
      </c>
      <c r="G25" s="464" t="s">
        <v>441</v>
      </c>
      <c r="H25" s="445"/>
      <c r="I25" s="445"/>
      <c r="J25" s="464"/>
      <c r="K25" s="464"/>
      <c r="L25" s="445"/>
      <c r="M25" s="445"/>
      <c r="N25" s="464"/>
      <c r="O25" s="464"/>
      <c r="P25" s="445">
        <v>22</v>
      </c>
      <c r="Q25" s="445">
        <v>8294</v>
      </c>
      <c r="R25" s="465"/>
      <c r="S25" s="466">
        <v>377</v>
      </c>
    </row>
    <row r="26" spans="1:19" ht="14.45" customHeight="1" x14ac:dyDescent="0.2">
      <c r="A26" s="444" t="s">
        <v>429</v>
      </c>
      <c r="B26" s="464" t="s">
        <v>430</v>
      </c>
      <c r="C26" s="464" t="s">
        <v>417</v>
      </c>
      <c r="D26" s="464" t="s">
        <v>427</v>
      </c>
      <c r="E26" s="464" t="s">
        <v>431</v>
      </c>
      <c r="F26" s="464" t="s">
        <v>442</v>
      </c>
      <c r="G26" s="464" t="s">
        <v>443</v>
      </c>
      <c r="H26" s="445"/>
      <c r="I26" s="445"/>
      <c r="J26" s="464"/>
      <c r="K26" s="464"/>
      <c r="L26" s="445"/>
      <c r="M26" s="445"/>
      <c r="N26" s="464"/>
      <c r="O26" s="464"/>
      <c r="P26" s="445">
        <v>235</v>
      </c>
      <c r="Q26" s="445">
        <v>101990</v>
      </c>
      <c r="R26" s="465"/>
      <c r="S26" s="466">
        <v>434</v>
      </c>
    </row>
    <row r="27" spans="1:19" ht="14.45" customHeight="1" x14ac:dyDescent="0.2">
      <c r="A27" s="444" t="s">
        <v>429</v>
      </c>
      <c r="B27" s="464" t="s">
        <v>430</v>
      </c>
      <c r="C27" s="464" t="s">
        <v>417</v>
      </c>
      <c r="D27" s="464" t="s">
        <v>427</v>
      </c>
      <c r="E27" s="464" t="s">
        <v>431</v>
      </c>
      <c r="F27" s="464" t="s">
        <v>444</v>
      </c>
      <c r="G27" s="464" t="s">
        <v>445</v>
      </c>
      <c r="H27" s="445"/>
      <c r="I27" s="445"/>
      <c r="J27" s="464"/>
      <c r="K27" s="464"/>
      <c r="L27" s="445"/>
      <c r="M27" s="445"/>
      <c r="N27" s="464"/>
      <c r="O27" s="464"/>
      <c r="P27" s="445">
        <v>2</v>
      </c>
      <c r="Q27" s="445">
        <v>570</v>
      </c>
      <c r="R27" s="465"/>
      <c r="S27" s="466">
        <v>285</v>
      </c>
    </row>
    <row r="28" spans="1:19" ht="14.45" customHeight="1" x14ac:dyDescent="0.2">
      <c r="A28" s="444" t="s">
        <v>429</v>
      </c>
      <c r="B28" s="464" t="s">
        <v>430</v>
      </c>
      <c r="C28" s="464" t="s">
        <v>417</v>
      </c>
      <c r="D28" s="464" t="s">
        <v>424</v>
      </c>
      <c r="E28" s="464" t="s">
        <v>431</v>
      </c>
      <c r="F28" s="464" t="s">
        <v>436</v>
      </c>
      <c r="G28" s="464" t="s">
        <v>437</v>
      </c>
      <c r="H28" s="445"/>
      <c r="I28" s="445"/>
      <c r="J28" s="464"/>
      <c r="K28" s="464"/>
      <c r="L28" s="445"/>
      <c r="M28" s="445"/>
      <c r="N28" s="464"/>
      <c r="O28" s="464"/>
      <c r="P28" s="445">
        <v>194</v>
      </c>
      <c r="Q28" s="445">
        <v>108252</v>
      </c>
      <c r="R28" s="465"/>
      <c r="S28" s="466">
        <v>558</v>
      </c>
    </row>
    <row r="29" spans="1:19" ht="14.45" customHeight="1" x14ac:dyDescent="0.2">
      <c r="A29" s="444" t="s">
        <v>429</v>
      </c>
      <c r="B29" s="464" t="s">
        <v>430</v>
      </c>
      <c r="C29" s="464" t="s">
        <v>417</v>
      </c>
      <c r="D29" s="464" t="s">
        <v>424</v>
      </c>
      <c r="E29" s="464" t="s">
        <v>431</v>
      </c>
      <c r="F29" s="464" t="s">
        <v>438</v>
      </c>
      <c r="G29" s="464" t="s">
        <v>439</v>
      </c>
      <c r="H29" s="445"/>
      <c r="I29" s="445"/>
      <c r="J29" s="464"/>
      <c r="K29" s="464"/>
      <c r="L29" s="445"/>
      <c r="M29" s="445"/>
      <c r="N29" s="464"/>
      <c r="O29" s="464"/>
      <c r="P29" s="445">
        <v>3</v>
      </c>
      <c r="Q29" s="445">
        <v>100</v>
      </c>
      <c r="R29" s="465"/>
      <c r="S29" s="466">
        <v>33.333333333333336</v>
      </c>
    </row>
    <row r="30" spans="1:19" ht="14.45" customHeight="1" x14ac:dyDescent="0.2">
      <c r="A30" s="444" t="s">
        <v>429</v>
      </c>
      <c r="B30" s="464" t="s">
        <v>430</v>
      </c>
      <c r="C30" s="464" t="s">
        <v>417</v>
      </c>
      <c r="D30" s="464" t="s">
        <v>424</v>
      </c>
      <c r="E30" s="464" t="s">
        <v>431</v>
      </c>
      <c r="F30" s="464" t="s">
        <v>440</v>
      </c>
      <c r="G30" s="464" t="s">
        <v>441</v>
      </c>
      <c r="H30" s="445"/>
      <c r="I30" s="445"/>
      <c r="J30" s="464"/>
      <c r="K30" s="464"/>
      <c r="L30" s="445"/>
      <c r="M30" s="445"/>
      <c r="N30" s="464"/>
      <c r="O30" s="464"/>
      <c r="P30" s="445">
        <v>6</v>
      </c>
      <c r="Q30" s="445">
        <v>2262</v>
      </c>
      <c r="R30" s="465"/>
      <c r="S30" s="466">
        <v>377</v>
      </c>
    </row>
    <row r="31" spans="1:19" ht="14.45" customHeight="1" x14ac:dyDescent="0.2">
      <c r="A31" s="444" t="s">
        <v>429</v>
      </c>
      <c r="B31" s="464" t="s">
        <v>430</v>
      </c>
      <c r="C31" s="464" t="s">
        <v>417</v>
      </c>
      <c r="D31" s="464" t="s">
        <v>426</v>
      </c>
      <c r="E31" s="464" t="s">
        <v>431</v>
      </c>
      <c r="F31" s="464" t="s">
        <v>436</v>
      </c>
      <c r="G31" s="464" t="s">
        <v>437</v>
      </c>
      <c r="H31" s="445"/>
      <c r="I31" s="445"/>
      <c r="J31" s="464"/>
      <c r="K31" s="464"/>
      <c r="L31" s="445"/>
      <c r="M31" s="445"/>
      <c r="N31" s="464"/>
      <c r="O31" s="464"/>
      <c r="P31" s="445">
        <v>172</v>
      </c>
      <c r="Q31" s="445">
        <v>95976</v>
      </c>
      <c r="R31" s="465"/>
      <c r="S31" s="466">
        <v>558</v>
      </c>
    </row>
    <row r="32" spans="1:19" ht="14.45" customHeight="1" x14ac:dyDescent="0.2">
      <c r="A32" s="444" t="s">
        <v>429</v>
      </c>
      <c r="B32" s="464" t="s">
        <v>430</v>
      </c>
      <c r="C32" s="464" t="s">
        <v>417</v>
      </c>
      <c r="D32" s="464" t="s">
        <v>426</v>
      </c>
      <c r="E32" s="464" t="s">
        <v>431</v>
      </c>
      <c r="F32" s="464" t="s">
        <v>438</v>
      </c>
      <c r="G32" s="464" t="s">
        <v>439</v>
      </c>
      <c r="H32" s="445"/>
      <c r="I32" s="445"/>
      <c r="J32" s="464"/>
      <c r="K32" s="464"/>
      <c r="L32" s="445"/>
      <c r="M32" s="445"/>
      <c r="N32" s="464"/>
      <c r="O32" s="464"/>
      <c r="P32" s="445">
        <v>4</v>
      </c>
      <c r="Q32" s="445">
        <v>133.32999999999998</v>
      </c>
      <c r="R32" s="465"/>
      <c r="S32" s="466">
        <v>33.332499999999996</v>
      </c>
    </row>
    <row r="33" spans="1:19" ht="14.45" customHeight="1" x14ac:dyDescent="0.2">
      <c r="A33" s="444" t="s">
        <v>429</v>
      </c>
      <c r="B33" s="464" t="s">
        <v>430</v>
      </c>
      <c r="C33" s="464" t="s">
        <v>417</v>
      </c>
      <c r="D33" s="464" t="s">
        <v>426</v>
      </c>
      <c r="E33" s="464" t="s">
        <v>431</v>
      </c>
      <c r="F33" s="464" t="s">
        <v>440</v>
      </c>
      <c r="G33" s="464" t="s">
        <v>441</v>
      </c>
      <c r="H33" s="445"/>
      <c r="I33" s="445"/>
      <c r="J33" s="464"/>
      <c r="K33" s="464"/>
      <c r="L33" s="445"/>
      <c r="M33" s="445"/>
      <c r="N33" s="464"/>
      <c r="O33" s="464"/>
      <c r="P33" s="445">
        <v>5</v>
      </c>
      <c r="Q33" s="445">
        <v>1885</v>
      </c>
      <c r="R33" s="465"/>
      <c r="S33" s="466">
        <v>377</v>
      </c>
    </row>
    <row r="34" spans="1:19" ht="14.45" customHeight="1" thickBot="1" x14ac:dyDescent="0.25">
      <c r="A34" s="448" t="s">
        <v>429</v>
      </c>
      <c r="B34" s="467" t="s">
        <v>430</v>
      </c>
      <c r="C34" s="467" t="s">
        <v>417</v>
      </c>
      <c r="D34" s="467" t="s">
        <v>426</v>
      </c>
      <c r="E34" s="467" t="s">
        <v>431</v>
      </c>
      <c r="F34" s="467" t="s">
        <v>444</v>
      </c>
      <c r="G34" s="467" t="s">
        <v>445</v>
      </c>
      <c r="H34" s="408"/>
      <c r="I34" s="408"/>
      <c r="J34" s="467"/>
      <c r="K34" s="467"/>
      <c r="L34" s="408"/>
      <c r="M34" s="408"/>
      <c r="N34" s="467"/>
      <c r="O34" s="467"/>
      <c r="P34" s="408">
        <v>1</v>
      </c>
      <c r="Q34" s="408">
        <v>285</v>
      </c>
      <c r="R34" s="409"/>
      <c r="S34" s="418">
        <v>285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E0965B9-DE8D-49A1-9995-0C22AB87B071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6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6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6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0" t="s">
        <v>213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5" customHeight="1" thickBot="1" x14ac:dyDescent="0.25">
      <c r="A3" s="178" t="s">
        <v>96</v>
      </c>
      <c r="B3" s="179">
        <f>SUBTOTAL(9,B6:B1048576)</f>
        <v>561152.34</v>
      </c>
      <c r="C3" s="180">
        <f t="shared" ref="C3:R3" si="0">SUBTOTAL(9,C6:C1048576)</f>
        <v>4.0519355976442037</v>
      </c>
      <c r="D3" s="180">
        <f t="shared" si="0"/>
        <v>1313179.6499999999</v>
      </c>
      <c r="E3" s="180">
        <f t="shared" si="0"/>
        <v>14</v>
      </c>
      <c r="F3" s="180">
        <f t="shared" si="0"/>
        <v>1342862.3</v>
      </c>
      <c r="G3" s="183">
        <f>IF(D3&lt;&gt;0,F3/D3,"")</f>
        <v>1.0226036475664242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IF(J3&lt;&gt;0,L3/J3,"")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421"/>
      <c r="B5" s="422">
        <v>2015</v>
      </c>
      <c r="C5" s="423"/>
      <c r="D5" s="423">
        <v>2018</v>
      </c>
      <c r="E5" s="423"/>
      <c r="F5" s="423">
        <v>2019</v>
      </c>
      <c r="G5" s="469" t="s">
        <v>1</v>
      </c>
      <c r="H5" s="422">
        <v>2015</v>
      </c>
      <c r="I5" s="423"/>
      <c r="J5" s="423">
        <v>2018</v>
      </c>
      <c r="K5" s="423"/>
      <c r="L5" s="423">
        <v>2019</v>
      </c>
      <c r="M5" s="469" t="s">
        <v>1</v>
      </c>
      <c r="N5" s="422">
        <v>2015</v>
      </c>
      <c r="O5" s="423"/>
      <c r="P5" s="423">
        <v>2018</v>
      </c>
      <c r="Q5" s="423"/>
      <c r="R5" s="423">
        <v>2019</v>
      </c>
      <c r="S5" s="469" t="s">
        <v>1</v>
      </c>
    </row>
    <row r="6" spans="1:19" ht="14.45" customHeight="1" x14ac:dyDescent="0.2">
      <c r="A6" s="404" t="s">
        <v>448</v>
      </c>
      <c r="B6" s="442">
        <v>554</v>
      </c>
      <c r="C6" s="463">
        <v>4.4666612916229947E-2</v>
      </c>
      <c r="D6" s="442">
        <v>12403</v>
      </c>
      <c r="E6" s="463">
        <v>1</v>
      </c>
      <c r="F6" s="442">
        <v>13950</v>
      </c>
      <c r="G6" s="406">
        <v>1.1247278884140934</v>
      </c>
      <c r="H6" s="442"/>
      <c r="I6" s="463"/>
      <c r="J6" s="442"/>
      <c r="K6" s="463"/>
      <c r="L6" s="442"/>
      <c r="M6" s="406"/>
      <c r="N6" s="442"/>
      <c r="O6" s="463"/>
      <c r="P6" s="442"/>
      <c r="Q6" s="463"/>
      <c r="R6" s="442"/>
      <c r="S6" s="407"/>
    </row>
    <row r="7" spans="1:19" ht="14.45" customHeight="1" x14ac:dyDescent="0.2">
      <c r="A7" s="451" t="s">
        <v>449</v>
      </c>
      <c r="B7" s="446">
        <v>1108</v>
      </c>
      <c r="C7" s="464">
        <v>0.49909909909909911</v>
      </c>
      <c r="D7" s="446">
        <v>2220</v>
      </c>
      <c r="E7" s="464">
        <v>1</v>
      </c>
      <c r="F7" s="446">
        <v>2790</v>
      </c>
      <c r="G7" s="465">
        <v>1.2567567567567568</v>
      </c>
      <c r="H7" s="446"/>
      <c r="I7" s="464"/>
      <c r="J7" s="446"/>
      <c r="K7" s="464"/>
      <c r="L7" s="446"/>
      <c r="M7" s="465"/>
      <c r="N7" s="446"/>
      <c r="O7" s="464"/>
      <c r="P7" s="446"/>
      <c r="Q7" s="464"/>
      <c r="R7" s="446"/>
      <c r="S7" s="470"/>
    </row>
    <row r="8" spans="1:19" ht="14.45" customHeight="1" x14ac:dyDescent="0.2">
      <c r="A8" s="451" t="s">
        <v>450</v>
      </c>
      <c r="B8" s="446">
        <v>4817</v>
      </c>
      <c r="C8" s="464">
        <v>0.53976040778411372</v>
      </c>
      <c r="D8" s="446">
        <v>8924.33</v>
      </c>
      <c r="E8" s="464">
        <v>1</v>
      </c>
      <c r="F8" s="446">
        <v>13758.66</v>
      </c>
      <c r="G8" s="465">
        <v>1.5417022902559632</v>
      </c>
      <c r="H8" s="446"/>
      <c r="I8" s="464"/>
      <c r="J8" s="446"/>
      <c r="K8" s="464"/>
      <c r="L8" s="446"/>
      <c r="M8" s="465"/>
      <c r="N8" s="446"/>
      <c r="O8" s="464"/>
      <c r="P8" s="446"/>
      <c r="Q8" s="464"/>
      <c r="R8" s="446"/>
      <c r="S8" s="470"/>
    </row>
    <row r="9" spans="1:19" ht="14.45" customHeight="1" x14ac:dyDescent="0.2">
      <c r="A9" s="451" t="s">
        <v>451</v>
      </c>
      <c r="B9" s="446">
        <v>554</v>
      </c>
      <c r="C9" s="464">
        <v>0.99819819819819822</v>
      </c>
      <c r="D9" s="446">
        <v>555</v>
      </c>
      <c r="E9" s="464">
        <v>1</v>
      </c>
      <c r="F9" s="446">
        <v>558</v>
      </c>
      <c r="G9" s="465">
        <v>1.0054054054054054</v>
      </c>
      <c r="H9" s="446"/>
      <c r="I9" s="464"/>
      <c r="J9" s="446"/>
      <c r="K9" s="464"/>
      <c r="L9" s="446"/>
      <c r="M9" s="465"/>
      <c r="N9" s="446"/>
      <c r="O9" s="464"/>
      <c r="P9" s="446"/>
      <c r="Q9" s="464"/>
      <c r="R9" s="446"/>
      <c r="S9" s="470"/>
    </row>
    <row r="10" spans="1:19" ht="14.45" customHeight="1" x14ac:dyDescent="0.2">
      <c r="A10" s="451" t="s">
        <v>452</v>
      </c>
      <c r="B10" s="446">
        <v>14336</v>
      </c>
      <c r="C10" s="464">
        <v>0.65583969989478019</v>
      </c>
      <c r="D10" s="446">
        <v>21859</v>
      </c>
      <c r="E10" s="464">
        <v>1</v>
      </c>
      <c r="F10" s="446">
        <v>28533.33</v>
      </c>
      <c r="G10" s="465">
        <v>1.3053355597236838</v>
      </c>
      <c r="H10" s="446"/>
      <c r="I10" s="464"/>
      <c r="J10" s="446"/>
      <c r="K10" s="464"/>
      <c r="L10" s="446"/>
      <c r="M10" s="465"/>
      <c r="N10" s="446"/>
      <c r="O10" s="464"/>
      <c r="P10" s="446"/>
      <c r="Q10" s="464"/>
      <c r="R10" s="446"/>
      <c r="S10" s="470"/>
    </row>
    <row r="11" spans="1:19" ht="14.45" customHeight="1" x14ac:dyDescent="0.2">
      <c r="A11" s="451" t="s">
        <v>453</v>
      </c>
      <c r="B11" s="446"/>
      <c r="C11" s="464"/>
      <c r="D11" s="446">
        <v>555</v>
      </c>
      <c r="E11" s="464">
        <v>1</v>
      </c>
      <c r="F11" s="446">
        <v>35953.33</v>
      </c>
      <c r="G11" s="465">
        <v>64.780774774774784</v>
      </c>
      <c r="H11" s="446"/>
      <c r="I11" s="464"/>
      <c r="J11" s="446"/>
      <c r="K11" s="464"/>
      <c r="L11" s="446"/>
      <c r="M11" s="465"/>
      <c r="N11" s="446"/>
      <c r="O11" s="464"/>
      <c r="P11" s="446"/>
      <c r="Q11" s="464"/>
      <c r="R11" s="446"/>
      <c r="S11" s="470"/>
    </row>
    <row r="12" spans="1:19" ht="14.45" customHeight="1" x14ac:dyDescent="0.2">
      <c r="A12" s="451" t="s">
        <v>454</v>
      </c>
      <c r="B12" s="446"/>
      <c r="C12" s="464"/>
      <c r="D12" s="446">
        <v>432</v>
      </c>
      <c r="E12" s="464">
        <v>1</v>
      </c>
      <c r="F12" s="446"/>
      <c r="G12" s="465"/>
      <c r="H12" s="446"/>
      <c r="I12" s="464"/>
      <c r="J12" s="446"/>
      <c r="K12" s="464"/>
      <c r="L12" s="446"/>
      <c r="M12" s="465"/>
      <c r="N12" s="446"/>
      <c r="O12" s="464"/>
      <c r="P12" s="446"/>
      <c r="Q12" s="464"/>
      <c r="R12" s="446"/>
      <c r="S12" s="470"/>
    </row>
    <row r="13" spans="1:19" ht="14.45" customHeight="1" x14ac:dyDescent="0.2">
      <c r="A13" s="451" t="s">
        <v>455</v>
      </c>
      <c r="B13" s="446"/>
      <c r="C13" s="464"/>
      <c r="D13" s="446"/>
      <c r="E13" s="464"/>
      <c r="F13" s="446">
        <v>558</v>
      </c>
      <c r="G13" s="465"/>
      <c r="H13" s="446"/>
      <c r="I13" s="464"/>
      <c r="J13" s="446"/>
      <c r="K13" s="464"/>
      <c r="L13" s="446"/>
      <c r="M13" s="465"/>
      <c r="N13" s="446"/>
      <c r="O13" s="464"/>
      <c r="P13" s="446"/>
      <c r="Q13" s="464"/>
      <c r="R13" s="446"/>
      <c r="S13" s="470"/>
    </row>
    <row r="14" spans="1:19" ht="14.45" customHeight="1" x14ac:dyDescent="0.2">
      <c r="A14" s="451" t="s">
        <v>456</v>
      </c>
      <c r="B14" s="446"/>
      <c r="C14" s="464"/>
      <c r="D14" s="446"/>
      <c r="E14" s="464"/>
      <c r="F14" s="446">
        <v>558</v>
      </c>
      <c r="G14" s="465"/>
      <c r="H14" s="446"/>
      <c r="I14" s="464"/>
      <c r="J14" s="446"/>
      <c r="K14" s="464"/>
      <c r="L14" s="446"/>
      <c r="M14" s="465"/>
      <c r="N14" s="446"/>
      <c r="O14" s="464"/>
      <c r="P14" s="446"/>
      <c r="Q14" s="464"/>
      <c r="R14" s="446"/>
      <c r="S14" s="470"/>
    </row>
    <row r="15" spans="1:19" ht="14.45" customHeight="1" x14ac:dyDescent="0.2">
      <c r="A15" s="451" t="s">
        <v>457</v>
      </c>
      <c r="B15" s="446"/>
      <c r="C15" s="464"/>
      <c r="D15" s="446">
        <v>3646.33</v>
      </c>
      <c r="E15" s="464">
        <v>1</v>
      </c>
      <c r="F15" s="446">
        <v>2232</v>
      </c>
      <c r="G15" s="465">
        <v>0.61212232573573977</v>
      </c>
      <c r="H15" s="446"/>
      <c r="I15" s="464"/>
      <c r="J15" s="446"/>
      <c r="K15" s="464"/>
      <c r="L15" s="446"/>
      <c r="M15" s="465"/>
      <c r="N15" s="446"/>
      <c r="O15" s="464"/>
      <c r="P15" s="446"/>
      <c r="Q15" s="464"/>
      <c r="R15" s="446"/>
      <c r="S15" s="470"/>
    </row>
    <row r="16" spans="1:19" ht="14.45" customHeight="1" x14ac:dyDescent="0.2">
      <c r="A16" s="451" t="s">
        <v>458</v>
      </c>
      <c r="B16" s="446">
        <v>299882.33999999997</v>
      </c>
      <c r="C16" s="464">
        <v>0.51045714921166663</v>
      </c>
      <c r="D16" s="446">
        <v>587477.99</v>
      </c>
      <c r="E16" s="464">
        <v>1</v>
      </c>
      <c r="F16" s="446">
        <v>758700.99</v>
      </c>
      <c r="G16" s="465">
        <v>1.2914543232504763</v>
      </c>
      <c r="H16" s="446"/>
      <c r="I16" s="464"/>
      <c r="J16" s="446"/>
      <c r="K16" s="464"/>
      <c r="L16" s="446"/>
      <c r="M16" s="465"/>
      <c r="N16" s="446"/>
      <c r="O16" s="464"/>
      <c r="P16" s="446"/>
      <c r="Q16" s="464"/>
      <c r="R16" s="446"/>
      <c r="S16" s="470"/>
    </row>
    <row r="17" spans="1:19" ht="14.45" customHeight="1" x14ac:dyDescent="0.2">
      <c r="A17" s="451" t="s">
        <v>459</v>
      </c>
      <c r="B17" s="446"/>
      <c r="C17" s="464"/>
      <c r="D17" s="446">
        <v>929</v>
      </c>
      <c r="E17" s="464">
        <v>1</v>
      </c>
      <c r="F17" s="446"/>
      <c r="G17" s="465"/>
      <c r="H17" s="446"/>
      <c r="I17" s="464"/>
      <c r="J17" s="446"/>
      <c r="K17" s="464"/>
      <c r="L17" s="446"/>
      <c r="M17" s="465"/>
      <c r="N17" s="446"/>
      <c r="O17" s="464"/>
      <c r="P17" s="446"/>
      <c r="Q17" s="464"/>
      <c r="R17" s="446"/>
      <c r="S17" s="470"/>
    </row>
    <row r="18" spans="1:19" ht="14.45" customHeight="1" x14ac:dyDescent="0.2">
      <c r="A18" s="451" t="s">
        <v>460</v>
      </c>
      <c r="B18" s="446"/>
      <c r="C18" s="464"/>
      <c r="D18" s="446">
        <v>7034</v>
      </c>
      <c r="E18" s="464">
        <v>1</v>
      </c>
      <c r="F18" s="446">
        <v>558</v>
      </c>
      <c r="G18" s="465">
        <v>7.9328973557008811E-2</v>
      </c>
      <c r="H18" s="446"/>
      <c r="I18" s="464"/>
      <c r="J18" s="446"/>
      <c r="K18" s="464"/>
      <c r="L18" s="446"/>
      <c r="M18" s="465"/>
      <c r="N18" s="446"/>
      <c r="O18" s="464"/>
      <c r="P18" s="446"/>
      <c r="Q18" s="464"/>
      <c r="R18" s="446"/>
      <c r="S18" s="470"/>
    </row>
    <row r="19" spans="1:19" ht="14.45" customHeight="1" x14ac:dyDescent="0.2">
      <c r="A19" s="451" t="s">
        <v>461</v>
      </c>
      <c r="B19" s="446">
        <v>164722.66999999998</v>
      </c>
      <c r="C19" s="464">
        <v>0.32530529017573206</v>
      </c>
      <c r="D19" s="446">
        <v>506363.33</v>
      </c>
      <c r="E19" s="464">
        <v>1</v>
      </c>
      <c r="F19" s="446">
        <v>388081.32999999996</v>
      </c>
      <c r="G19" s="465">
        <v>0.76640883533173687</v>
      </c>
      <c r="H19" s="446"/>
      <c r="I19" s="464"/>
      <c r="J19" s="446"/>
      <c r="K19" s="464"/>
      <c r="L19" s="446"/>
      <c r="M19" s="465"/>
      <c r="N19" s="446"/>
      <c r="O19" s="464"/>
      <c r="P19" s="446"/>
      <c r="Q19" s="464"/>
      <c r="R19" s="446"/>
      <c r="S19" s="470"/>
    </row>
    <row r="20" spans="1:19" ht="14.45" customHeight="1" x14ac:dyDescent="0.2">
      <c r="A20" s="451" t="s">
        <v>462</v>
      </c>
      <c r="B20" s="446">
        <v>75178.33</v>
      </c>
      <c r="C20" s="464">
        <v>0.4786091403643839</v>
      </c>
      <c r="D20" s="446">
        <v>157076.66999999998</v>
      </c>
      <c r="E20" s="464">
        <v>1</v>
      </c>
      <c r="F20" s="446">
        <v>80252.66</v>
      </c>
      <c r="G20" s="465">
        <v>0.51091393776045813</v>
      </c>
      <c r="H20" s="446"/>
      <c r="I20" s="464"/>
      <c r="J20" s="446"/>
      <c r="K20" s="464"/>
      <c r="L20" s="446"/>
      <c r="M20" s="465"/>
      <c r="N20" s="446"/>
      <c r="O20" s="464"/>
      <c r="P20" s="446"/>
      <c r="Q20" s="464"/>
      <c r="R20" s="446"/>
      <c r="S20" s="470"/>
    </row>
    <row r="21" spans="1:19" ht="14.45" customHeight="1" x14ac:dyDescent="0.2">
      <c r="A21" s="451" t="s">
        <v>463</v>
      </c>
      <c r="B21" s="446"/>
      <c r="C21" s="464"/>
      <c r="D21" s="446"/>
      <c r="E21" s="464"/>
      <c r="F21" s="446">
        <v>1493</v>
      </c>
      <c r="G21" s="465"/>
      <c r="H21" s="446"/>
      <c r="I21" s="464"/>
      <c r="J21" s="446"/>
      <c r="K21" s="464"/>
      <c r="L21" s="446"/>
      <c r="M21" s="465"/>
      <c r="N21" s="446"/>
      <c r="O21" s="464"/>
      <c r="P21" s="446"/>
      <c r="Q21" s="464"/>
      <c r="R21" s="446"/>
      <c r="S21" s="470"/>
    </row>
    <row r="22" spans="1:19" ht="14.45" customHeight="1" x14ac:dyDescent="0.2">
      <c r="A22" s="451" t="s">
        <v>464</v>
      </c>
      <c r="B22" s="446"/>
      <c r="C22" s="464"/>
      <c r="D22" s="446"/>
      <c r="E22" s="464"/>
      <c r="F22" s="446">
        <v>14885</v>
      </c>
      <c r="G22" s="465"/>
      <c r="H22" s="446"/>
      <c r="I22" s="464"/>
      <c r="J22" s="446"/>
      <c r="K22" s="464"/>
      <c r="L22" s="446"/>
      <c r="M22" s="465"/>
      <c r="N22" s="446"/>
      <c r="O22" s="464"/>
      <c r="P22" s="446"/>
      <c r="Q22" s="464"/>
      <c r="R22" s="446"/>
      <c r="S22" s="470"/>
    </row>
    <row r="23" spans="1:19" ht="14.45" customHeight="1" thickBot="1" x14ac:dyDescent="0.25">
      <c r="A23" s="452" t="s">
        <v>465</v>
      </c>
      <c r="B23" s="449"/>
      <c r="C23" s="467"/>
      <c r="D23" s="449">
        <v>3704</v>
      </c>
      <c r="E23" s="467">
        <v>1</v>
      </c>
      <c r="F23" s="449"/>
      <c r="G23" s="409"/>
      <c r="H23" s="449"/>
      <c r="I23" s="467"/>
      <c r="J23" s="449"/>
      <c r="K23" s="467"/>
      <c r="L23" s="449"/>
      <c r="M23" s="409"/>
      <c r="N23" s="449"/>
      <c r="O23" s="467"/>
      <c r="P23" s="449"/>
      <c r="Q23" s="467"/>
      <c r="R23" s="449"/>
      <c r="S23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0654CCA-A3D5-45F8-AF5F-BBB4A83C505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6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485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0" t="s">
        <v>213</v>
      </c>
      <c r="B2" s="102"/>
      <c r="C2" s="102"/>
      <c r="D2" s="102"/>
      <c r="E2" s="102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5" customHeight="1" thickBot="1" x14ac:dyDescent="0.25">
      <c r="E3" s="62" t="s">
        <v>96</v>
      </c>
      <c r="F3" s="74">
        <f t="shared" ref="F3:O3" si="0">SUBTOTAL(9,F6:F1048576)</f>
        <v>1115</v>
      </c>
      <c r="G3" s="75">
        <f t="shared" si="0"/>
        <v>561152.34</v>
      </c>
      <c r="H3" s="75"/>
      <c r="I3" s="75"/>
      <c r="J3" s="75">
        <f t="shared" si="0"/>
        <v>2553</v>
      </c>
      <c r="K3" s="75">
        <f t="shared" si="0"/>
        <v>1313179.6499999999</v>
      </c>
      <c r="L3" s="75"/>
      <c r="M3" s="75"/>
      <c r="N3" s="75">
        <f t="shared" si="0"/>
        <v>2539</v>
      </c>
      <c r="O3" s="75">
        <f t="shared" si="0"/>
        <v>1342862.3</v>
      </c>
      <c r="P3" s="58">
        <f>IF(K3=0,0,O3/K3)</f>
        <v>1.0226036475664242</v>
      </c>
      <c r="Q3" s="76">
        <f>IF(N3=0,0,O3/N3)</f>
        <v>528.89417093343843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2015</v>
      </c>
      <c r="G4" s="367"/>
      <c r="H4" s="77"/>
      <c r="I4" s="77"/>
      <c r="J4" s="366">
        <v>2018</v>
      </c>
      <c r="K4" s="367"/>
      <c r="L4" s="77"/>
      <c r="M4" s="77"/>
      <c r="N4" s="366">
        <v>2019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55"/>
      <c r="B5" s="453"/>
      <c r="C5" s="455"/>
      <c r="D5" s="471"/>
      <c r="E5" s="457"/>
      <c r="F5" s="472" t="s">
        <v>46</v>
      </c>
      <c r="G5" s="473" t="s">
        <v>3</v>
      </c>
      <c r="H5" s="474"/>
      <c r="I5" s="474"/>
      <c r="J5" s="472" t="s">
        <v>46</v>
      </c>
      <c r="K5" s="473" t="s">
        <v>3</v>
      </c>
      <c r="L5" s="474"/>
      <c r="M5" s="474"/>
      <c r="N5" s="472" t="s">
        <v>46</v>
      </c>
      <c r="O5" s="473" t="s">
        <v>3</v>
      </c>
      <c r="P5" s="475"/>
      <c r="Q5" s="462"/>
    </row>
    <row r="6" spans="1:17" ht="14.45" customHeight="1" x14ac:dyDescent="0.2">
      <c r="A6" s="441" t="s">
        <v>466</v>
      </c>
      <c r="B6" s="463" t="s">
        <v>430</v>
      </c>
      <c r="C6" s="463" t="s">
        <v>431</v>
      </c>
      <c r="D6" s="463" t="s">
        <v>436</v>
      </c>
      <c r="E6" s="463" t="s">
        <v>437</v>
      </c>
      <c r="F6" s="405">
        <v>1</v>
      </c>
      <c r="G6" s="405">
        <v>554</v>
      </c>
      <c r="H6" s="405">
        <v>4.753324753324753E-2</v>
      </c>
      <c r="I6" s="405">
        <v>554</v>
      </c>
      <c r="J6" s="405">
        <v>21</v>
      </c>
      <c r="K6" s="405">
        <v>11655</v>
      </c>
      <c r="L6" s="405">
        <v>1</v>
      </c>
      <c r="M6" s="405">
        <v>555</v>
      </c>
      <c r="N6" s="405">
        <v>25</v>
      </c>
      <c r="O6" s="405">
        <v>13950</v>
      </c>
      <c r="P6" s="406">
        <v>1.196911196911197</v>
      </c>
      <c r="Q6" s="417">
        <v>558</v>
      </c>
    </row>
    <row r="7" spans="1:17" ht="14.45" customHeight="1" x14ac:dyDescent="0.2">
      <c r="A7" s="444" t="s">
        <v>466</v>
      </c>
      <c r="B7" s="464" t="s">
        <v>430</v>
      </c>
      <c r="C7" s="464" t="s">
        <v>431</v>
      </c>
      <c r="D7" s="464" t="s">
        <v>438</v>
      </c>
      <c r="E7" s="464" t="s">
        <v>439</v>
      </c>
      <c r="F7" s="445"/>
      <c r="G7" s="445"/>
      <c r="H7" s="445"/>
      <c r="I7" s="445"/>
      <c r="J7" s="445">
        <v>0</v>
      </c>
      <c r="K7" s="445">
        <v>0</v>
      </c>
      <c r="L7" s="445"/>
      <c r="M7" s="445"/>
      <c r="N7" s="445"/>
      <c r="O7" s="445"/>
      <c r="P7" s="465"/>
      <c r="Q7" s="466"/>
    </row>
    <row r="8" spans="1:17" ht="14.45" customHeight="1" x14ac:dyDescent="0.2">
      <c r="A8" s="444" t="s">
        <v>466</v>
      </c>
      <c r="B8" s="464" t="s">
        <v>430</v>
      </c>
      <c r="C8" s="464" t="s">
        <v>431</v>
      </c>
      <c r="D8" s="464" t="s">
        <v>440</v>
      </c>
      <c r="E8" s="464" t="s">
        <v>441</v>
      </c>
      <c r="F8" s="445"/>
      <c r="G8" s="445"/>
      <c r="H8" s="445"/>
      <c r="I8" s="445"/>
      <c r="J8" s="445">
        <v>2</v>
      </c>
      <c r="K8" s="445">
        <v>748</v>
      </c>
      <c r="L8" s="445">
        <v>1</v>
      </c>
      <c r="M8" s="445">
        <v>374</v>
      </c>
      <c r="N8" s="445"/>
      <c r="O8" s="445"/>
      <c r="P8" s="465"/>
      <c r="Q8" s="466"/>
    </row>
    <row r="9" spans="1:17" ht="14.45" customHeight="1" x14ac:dyDescent="0.2">
      <c r="A9" s="444" t="s">
        <v>467</v>
      </c>
      <c r="B9" s="464" t="s">
        <v>430</v>
      </c>
      <c r="C9" s="464" t="s">
        <v>431</v>
      </c>
      <c r="D9" s="464" t="s">
        <v>436</v>
      </c>
      <c r="E9" s="464" t="s">
        <v>437</v>
      </c>
      <c r="F9" s="445">
        <v>2</v>
      </c>
      <c r="G9" s="445">
        <v>1108</v>
      </c>
      <c r="H9" s="445">
        <v>0.49909909909909911</v>
      </c>
      <c r="I9" s="445">
        <v>554</v>
      </c>
      <c r="J9" s="445">
        <v>4</v>
      </c>
      <c r="K9" s="445">
        <v>2220</v>
      </c>
      <c r="L9" s="445">
        <v>1</v>
      </c>
      <c r="M9" s="445">
        <v>555</v>
      </c>
      <c r="N9" s="445">
        <v>5</v>
      </c>
      <c r="O9" s="445">
        <v>2790</v>
      </c>
      <c r="P9" s="465">
        <v>1.2567567567567568</v>
      </c>
      <c r="Q9" s="466">
        <v>558</v>
      </c>
    </row>
    <row r="10" spans="1:17" ht="14.45" customHeight="1" x14ac:dyDescent="0.2">
      <c r="A10" s="444" t="s">
        <v>468</v>
      </c>
      <c r="B10" s="464" t="s">
        <v>430</v>
      </c>
      <c r="C10" s="464" t="s">
        <v>431</v>
      </c>
      <c r="D10" s="464" t="s">
        <v>436</v>
      </c>
      <c r="E10" s="464" t="s">
        <v>437</v>
      </c>
      <c r="F10" s="445">
        <v>7</v>
      </c>
      <c r="G10" s="445">
        <v>3878</v>
      </c>
      <c r="H10" s="445">
        <v>0.46582582582582582</v>
      </c>
      <c r="I10" s="445">
        <v>554</v>
      </c>
      <c r="J10" s="445">
        <v>15</v>
      </c>
      <c r="K10" s="445">
        <v>8325</v>
      </c>
      <c r="L10" s="445">
        <v>1</v>
      </c>
      <c r="M10" s="445">
        <v>555</v>
      </c>
      <c r="N10" s="445">
        <v>22</v>
      </c>
      <c r="O10" s="445">
        <v>12276</v>
      </c>
      <c r="P10" s="465">
        <v>1.4745945945945946</v>
      </c>
      <c r="Q10" s="466">
        <v>558</v>
      </c>
    </row>
    <row r="11" spans="1:17" ht="14.45" customHeight="1" x14ac:dyDescent="0.2">
      <c r="A11" s="444" t="s">
        <v>468</v>
      </c>
      <c r="B11" s="464" t="s">
        <v>430</v>
      </c>
      <c r="C11" s="464" t="s">
        <v>431</v>
      </c>
      <c r="D11" s="464" t="s">
        <v>438</v>
      </c>
      <c r="E11" s="464" t="s">
        <v>439</v>
      </c>
      <c r="F11" s="445"/>
      <c r="G11" s="445"/>
      <c r="H11" s="445"/>
      <c r="I11" s="445"/>
      <c r="J11" s="445">
        <v>1</v>
      </c>
      <c r="K11" s="445">
        <v>33.33</v>
      </c>
      <c r="L11" s="445">
        <v>1</v>
      </c>
      <c r="M11" s="445">
        <v>33.33</v>
      </c>
      <c r="N11" s="445">
        <v>2</v>
      </c>
      <c r="O11" s="445">
        <v>66.66</v>
      </c>
      <c r="P11" s="465">
        <v>2</v>
      </c>
      <c r="Q11" s="466">
        <v>33.33</v>
      </c>
    </row>
    <row r="12" spans="1:17" ht="14.45" customHeight="1" x14ac:dyDescent="0.2">
      <c r="A12" s="444" t="s">
        <v>468</v>
      </c>
      <c r="B12" s="464" t="s">
        <v>430</v>
      </c>
      <c r="C12" s="464" t="s">
        <v>431</v>
      </c>
      <c r="D12" s="464" t="s">
        <v>440</v>
      </c>
      <c r="E12" s="464" t="s">
        <v>441</v>
      </c>
      <c r="F12" s="445">
        <v>1</v>
      </c>
      <c r="G12" s="445">
        <v>373</v>
      </c>
      <c r="H12" s="445"/>
      <c r="I12" s="445">
        <v>373</v>
      </c>
      <c r="J12" s="445"/>
      <c r="K12" s="445"/>
      <c r="L12" s="445"/>
      <c r="M12" s="445"/>
      <c r="N12" s="445">
        <v>3</v>
      </c>
      <c r="O12" s="445">
        <v>1131</v>
      </c>
      <c r="P12" s="465"/>
      <c r="Q12" s="466">
        <v>377</v>
      </c>
    </row>
    <row r="13" spans="1:17" ht="14.45" customHeight="1" x14ac:dyDescent="0.2">
      <c r="A13" s="444" t="s">
        <v>468</v>
      </c>
      <c r="B13" s="464" t="s">
        <v>430</v>
      </c>
      <c r="C13" s="464" t="s">
        <v>431</v>
      </c>
      <c r="D13" s="464" t="s">
        <v>444</v>
      </c>
      <c r="E13" s="464" t="s">
        <v>445</v>
      </c>
      <c r="F13" s="445">
        <v>2</v>
      </c>
      <c r="G13" s="445">
        <v>566</v>
      </c>
      <c r="H13" s="445">
        <v>1</v>
      </c>
      <c r="I13" s="445">
        <v>283</v>
      </c>
      <c r="J13" s="445">
        <v>2</v>
      </c>
      <c r="K13" s="445">
        <v>566</v>
      </c>
      <c r="L13" s="445">
        <v>1</v>
      </c>
      <c r="M13" s="445">
        <v>283</v>
      </c>
      <c r="N13" s="445">
        <v>1</v>
      </c>
      <c r="O13" s="445">
        <v>285</v>
      </c>
      <c r="P13" s="465">
        <v>0.50353356890459366</v>
      </c>
      <c r="Q13" s="466">
        <v>285</v>
      </c>
    </row>
    <row r="14" spans="1:17" ht="14.45" customHeight="1" x14ac:dyDescent="0.2">
      <c r="A14" s="444" t="s">
        <v>469</v>
      </c>
      <c r="B14" s="464" t="s">
        <v>430</v>
      </c>
      <c r="C14" s="464" t="s">
        <v>431</v>
      </c>
      <c r="D14" s="464" t="s">
        <v>436</v>
      </c>
      <c r="E14" s="464" t="s">
        <v>437</v>
      </c>
      <c r="F14" s="445">
        <v>1</v>
      </c>
      <c r="G14" s="445">
        <v>554</v>
      </c>
      <c r="H14" s="445">
        <v>0.99819819819819822</v>
      </c>
      <c r="I14" s="445">
        <v>554</v>
      </c>
      <c r="J14" s="445">
        <v>1</v>
      </c>
      <c r="K14" s="445">
        <v>555</v>
      </c>
      <c r="L14" s="445">
        <v>1</v>
      </c>
      <c r="M14" s="445">
        <v>555</v>
      </c>
      <c r="N14" s="445">
        <v>1</v>
      </c>
      <c r="O14" s="445">
        <v>558</v>
      </c>
      <c r="P14" s="465">
        <v>1.0054054054054054</v>
      </c>
      <c r="Q14" s="466">
        <v>558</v>
      </c>
    </row>
    <row r="15" spans="1:17" ht="14.45" customHeight="1" x14ac:dyDescent="0.2">
      <c r="A15" s="444" t="s">
        <v>429</v>
      </c>
      <c r="B15" s="464" t="s">
        <v>430</v>
      </c>
      <c r="C15" s="464" t="s">
        <v>431</v>
      </c>
      <c r="D15" s="464" t="s">
        <v>436</v>
      </c>
      <c r="E15" s="464" t="s">
        <v>437</v>
      </c>
      <c r="F15" s="445">
        <v>22</v>
      </c>
      <c r="G15" s="445">
        <v>12188</v>
      </c>
      <c r="H15" s="445">
        <v>0.61001001001000998</v>
      </c>
      <c r="I15" s="445">
        <v>554</v>
      </c>
      <c r="J15" s="445">
        <v>36</v>
      </c>
      <c r="K15" s="445">
        <v>19980</v>
      </c>
      <c r="L15" s="445">
        <v>1</v>
      </c>
      <c r="M15" s="445">
        <v>555</v>
      </c>
      <c r="N15" s="445">
        <v>46</v>
      </c>
      <c r="O15" s="445">
        <v>25668</v>
      </c>
      <c r="P15" s="465">
        <v>1.2846846846846847</v>
      </c>
      <c r="Q15" s="466">
        <v>558</v>
      </c>
    </row>
    <row r="16" spans="1:17" ht="14.45" customHeight="1" x14ac:dyDescent="0.2">
      <c r="A16" s="444" t="s">
        <v>429</v>
      </c>
      <c r="B16" s="464" t="s">
        <v>430</v>
      </c>
      <c r="C16" s="464" t="s">
        <v>431</v>
      </c>
      <c r="D16" s="464" t="s">
        <v>438</v>
      </c>
      <c r="E16" s="464" t="s">
        <v>439</v>
      </c>
      <c r="F16" s="445">
        <v>0</v>
      </c>
      <c r="G16" s="445">
        <v>0</v>
      </c>
      <c r="H16" s="445">
        <v>0</v>
      </c>
      <c r="I16" s="445"/>
      <c r="J16" s="445">
        <v>3</v>
      </c>
      <c r="K16" s="445">
        <v>100</v>
      </c>
      <c r="L16" s="445">
        <v>1</v>
      </c>
      <c r="M16" s="445">
        <v>33.333333333333336</v>
      </c>
      <c r="N16" s="445">
        <v>1</v>
      </c>
      <c r="O16" s="445">
        <v>33.33</v>
      </c>
      <c r="P16" s="465">
        <v>0.33329999999999999</v>
      </c>
      <c r="Q16" s="466">
        <v>33.33</v>
      </c>
    </row>
    <row r="17" spans="1:17" ht="14.45" customHeight="1" x14ac:dyDescent="0.2">
      <c r="A17" s="444" t="s">
        <v>429</v>
      </c>
      <c r="B17" s="464" t="s">
        <v>430</v>
      </c>
      <c r="C17" s="464" t="s">
        <v>431</v>
      </c>
      <c r="D17" s="464" t="s">
        <v>440</v>
      </c>
      <c r="E17" s="464" t="s">
        <v>441</v>
      </c>
      <c r="F17" s="445">
        <v>5</v>
      </c>
      <c r="G17" s="445">
        <v>1865</v>
      </c>
      <c r="H17" s="445">
        <v>1.2466577540106951</v>
      </c>
      <c r="I17" s="445">
        <v>373</v>
      </c>
      <c r="J17" s="445">
        <v>4</v>
      </c>
      <c r="K17" s="445">
        <v>1496</v>
      </c>
      <c r="L17" s="445">
        <v>1</v>
      </c>
      <c r="M17" s="445">
        <v>374</v>
      </c>
      <c r="N17" s="445">
        <v>6</v>
      </c>
      <c r="O17" s="445">
        <v>2262</v>
      </c>
      <c r="P17" s="465">
        <v>1.5120320855614973</v>
      </c>
      <c r="Q17" s="466">
        <v>377</v>
      </c>
    </row>
    <row r="18" spans="1:17" ht="14.45" customHeight="1" x14ac:dyDescent="0.2">
      <c r="A18" s="444" t="s">
        <v>429</v>
      </c>
      <c r="B18" s="464" t="s">
        <v>430</v>
      </c>
      <c r="C18" s="464" t="s">
        <v>431</v>
      </c>
      <c r="D18" s="464" t="s">
        <v>444</v>
      </c>
      <c r="E18" s="464" t="s">
        <v>445</v>
      </c>
      <c r="F18" s="445">
        <v>1</v>
      </c>
      <c r="G18" s="445">
        <v>283</v>
      </c>
      <c r="H18" s="445">
        <v>1</v>
      </c>
      <c r="I18" s="445">
        <v>283</v>
      </c>
      <c r="J18" s="445">
        <v>1</v>
      </c>
      <c r="K18" s="445">
        <v>283</v>
      </c>
      <c r="L18" s="445">
        <v>1</v>
      </c>
      <c r="M18" s="445">
        <v>283</v>
      </c>
      <c r="N18" s="445">
        <v>2</v>
      </c>
      <c r="O18" s="445">
        <v>570</v>
      </c>
      <c r="P18" s="465">
        <v>2.0141342756183747</v>
      </c>
      <c r="Q18" s="466">
        <v>285</v>
      </c>
    </row>
    <row r="19" spans="1:17" ht="14.45" customHeight="1" x14ac:dyDescent="0.2">
      <c r="A19" s="444" t="s">
        <v>470</v>
      </c>
      <c r="B19" s="464" t="s">
        <v>430</v>
      </c>
      <c r="C19" s="464" t="s">
        <v>431</v>
      </c>
      <c r="D19" s="464" t="s">
        <v>436</v>
      </c>
      <c r="E19" s="464" t="s">
        <v>437</v>
      </c>
      <c r="F19" s="445"/>
      <c r="G19" s="445"/>
      <c r="H19" s="445"/>
      <c r="I19" s="445"/>
      <c r="J19" s="445">
        <v>1</v>
      </c>
      <c r="K19" s="445">
        <v>555</v>
      </c>
      <c r="L19" s="445">
        <v>1</v>
      </c>
      <c r="M19" s="445">
        <v>555</v>
      </c>
      <c r="N19" s="445">
        <v>62</v>
      </c>
      <c r="O19" s="445">
        <v>34596</v>
      </c>
      <c r="P19" s="465">
        <v>62.335135135135133</v>
      </c>
      <c r="Q19" s="466">
        <v>558</v>
      </c>
    </row>
    <row r="20" spans="1:17" ht="14.45" customHeight="1" x14ac:dyDescent="0.2">
      <c r="A20" s="444" t="s">
        <v>470</v>
      </c>
      <c r="B20" s="464" t="s">
        <v>430</v>
      </c>
      <c r="C20" s="464" t="s">
        <v>431</v>
      </c>
      <c r="D20" s="464" t="s">
        <v>438</v>
      </c>
      <c r="E20" s="464" t="s">
        <v>439</v>
      </c>
      <c r="F20" s="445"/>
      <c r="G20" s="445"/>
      <c r="H20" s="445"/>
      <c r="I20" s="445"/>
      <c r="J20" s="445"/>
      <c r="K20" s="445"/>
      <c r="L20" s="445"/>
      <c r="M20" s="445"/>
      <c r="N20" s="445">
        <v>1</v>
      </c>
      <c r="O20" s="445">
        <v>33.33</v>
      </c>
      <c r="P20" s="465"/>
      <c r="Q20" s="466">
        <v>33.33</v>
      </c>
    </row>
    <row r="21" spans="1:17" ht="14.45" customHeight="1" x14ac:dyDescent="0.2">
      <c r="A21" s="444" t="s">
        <v>470</v>
      </c>
      <c r="B21" s="464" t="s">
        <v>430</v>
      </c>
      <c r="C21" s="464" t="s">
        <v>431</v>
      </c>
      <c r="D21" s="464" t="s">
        <v>440</v>
      </c>
      <c r="E21" s="464" t="s">
        <v>441</v>
      </c>
      <c r="F21" s="445"/>
      <c r="G21" s="445"/>
      <c r="H21" s="445"/>
      <c r="I21" s="445"/>
      <c r="J21" s="445"/>
      <c r="K21" s="445"/>
      <c r="L21" s="445"/>
      <c r="M21" s="445"/>
      <c r="N21" s="445">
        <v>2</v>
      </c>
      <c r="O21" s="445">
        <v>754</v>
      </c>
      <c r="P21" s="465"/>
      <c r="Q21" s="466">
        <v>377</v>
      </c>
    </row>
    <row r="22" spans="1:17" ht="14.45" customHeight="1" x14ac:dyDescent="0.2">
      <c r="A22" s="444" t="s">
        <v>470</v>
      </c>
      <c r="B22" s="464" t="s">
        <v>430</v>
      </c>
      <c r="C22" s="464" t="s">
        <v>431</v>
      </c>
      <c r="D22" s="464" t="s">
        <v>444</v>
      </c>
      <c r="E22" s="464" t="s">
        <v>445</v>
      </c>
      <c r="F22" s="445"/>
      <c r="G22" s="445"/>
      <c r="H22" s="445"/>
      <c r="I22" s="445"/>
      <c r="J22" s="445"/>
      <c r="K22" s="445"/>
      <c r="L22" s="445"/>
      <c r="M22" s="445"/>
      <c r="N22" s="445">
        <v>2</v>
      </c>
      <c r="O22" s="445">
        <v>570</v>
      </c>
      <c r="P22" s="465"/>
      <c r="Q22" s="466">
        <v>285</v>
      </c>
    </row>
    <row r="23" spans="1:17" ht="14.45" customHeight="1" x14ac:dyDescent="0.2">
      <c r="A23" s="444" t="s">
        <v>471</v>
      </c>
      <c r="B23" s="464" t="s">
        <v>430</v>
      </c>
      <c r="C23" s="464" t="s">
        <v>431</v>
      </c>
      <c r="D23" s="464" t="s">
        <v>442</v>
      </c>
      <c r="E23" s="464" t="s">
        <v>443</v>
      </c>
      <c r="F23" s="445"/>
      <c r="G23" s="445"/>
      <c r="H23" s="445"/>
      <c r="I23" s="445"/>
      <c r="J23" s="445">
        <v>1</v>
      </c>
      <c r="K23" s="445">
        <v>432</v>
      </c>
      <c r="L23" s="445">
        <v>1</v>
      </c>
      <c r="M23" s="445">
        <v>432</v>
      </c>
      <c r="N23" s="445"/>
      <c r="O23" s="445"/>
      <c r="P23" s="465"/>
      <c r="Q23" s="466"/>
    </row>
    <row r="24" spans="1:17" ht="14.45" customHeight="1" x14ac:dyDescent="0.2">
      <c r="A24" s="444" t="s">
        <v>472</v>
      </c>
      <c r="B24" s="464" t="s">
        <v>430</v>
      </c>
      <c r="C24" s="464" t="s">
        <v>431</v>
      </c>
      <c r="D24" s="464" t="s">
        <v>436</v>
      </c>
      <c r="E24" s="464" t="s">
        <v>437</v>
      </c>
      <c r="F24" s="445"/>
      <c r="G24" s="445"/>
      <c r="H24" s="445"/>
      <c r="I24" s="445"/>
      <c r="J24" s="445"/>
      <c r="K24" s="445"/>
      <c r="L24" s="445"/>
      <c r="M24" s="445"/>
      <c r="N24" s="445">
        <v>1</v>
      </c>
      <c r="O24" s="445">
        <v>558</v>
      </c>
      <c r="P24" s="465"/>
      <c r="Q24" s="466">
        <v>558</v>
      </c>
    </row>
    <row r="25" spans="1:17" ht="14.45" customHeight="1" x14ac:dyDescent="0.2">
      <c r="A25" s="444" t="s">
        <v>473</v>
      </c>
      <c r="B25" s="464" t="s">
        <v>430</v>
      </c>
      <c r="C25" s="464" t="s">
        <v>431</v>
      </c>
      <c r="D25" s="464" t="s">
        <v>436</v>
      </c>
      <c r="E25" s="464" t="s">
        <v>437</v>
      </c>
      <c r="F25" s="445"/>
      <c r="G25" s="445"/>
      <c r="H25" s="445"/>
      <c r="I25" s="445"/>
      <c r="J25" s="445"/>
      <c r="K25" s="445"/>
      <c r="L25" s="445"/>
      <c r="M25" s="445"/>
      <c r="N25" s="445">
        <v>1</v>
      </c>
      <c r="O25" s="445">
        <v>558</v>
      </c>
      <c r="P25" s="465"/>
      <c r="Q25" s="466">
        <v>558</v>
      </c>
    </row>
    <row r="26" spans="1:17" ht="14.45" customHeight="1" x14ac:dyDescent="0.2">
      <c r="A26" s="444" t="s">
        <v>474</v>
      </c>
      <c r="B26" s="464" t="s">
        <v>430</v>
      </c>
      <c r="C26" s="464" t="s">
        <v>431</v>
      </c>
      <c r="D26" s="464" t="s">
        <v>436</v>
      </c>
      <c r="E26" s="464" t="s">
        <v>437</v>
      </c>
      <c r="F26" s="445"/>
      <c r="G26" s="445"/>
      <c r="H26" s="445"/>
      <c r="I26" s="445"/>
      <c r="J26" s="445">
        <v>6</v>
      </c>
      <c r="K26" s="445">
        <v>3330</v>
      </c>
      <c r="L26" s="445">
        <v>1</v>
      </c>
      <c r="M26" s="445">
        <v>555</v>
      </c>
      <c r="N26" s="445">
        <v>4</v>
      </c>
      <c r="O26" s="445">
        <v>2232</v>
      </c>
      <c r="P26" s="465">
        <v>0.67027027027027031</v>
      </c>
      <c r="Q26" s="466">
        <v>558</v>
      </c>
    </row>
    <row r="27" spans="1:17" ht="14.45" customHeight="1" x14ac:dyDescent="0.2">
      <c r="A27" s="444" t="s">
        <v>474</v>
      </c>
      <c r="B27" s="464" t="s">
        <v>430</v>
      </c>
      <c r="C27" s="464" t="s">
        <v>431</v>
      </c>
      <c r="D27" s="464" t="s">
        <v>438</v>
      </c>
      <c r="E27" s="464" t="s">
        <v>439</v>
      </c>
      <c r="F27" s="445"/>
      <c r="G27" s="445"/>
      <c r="H27" s="445"/>
      <c r="I27" s="445"/>
      <c r="J27" s="445">
        <v>1</v>
      </c>
      <c r="K27" s="445">
        <v>33.33</v>
      </c>
      <c r="L27" s="445">
        <v>1</v>
      </c>
      <c r="M27" s="445">
        <v>33.33</v>
      </c>
      <c r="N27" s="445"/>
      <c r="O27" s="445"/>
      <c r="P27" s="465"/>
      <c r="Q27" s="466"/>
    </row>
    <row r="28" spans="1:17" ht="14.45" customHeight="1" x14ac:dyDescent="0.2">
      <c r="A28" s="444" t="s">
        <v>474</v>
      </c>
      <c r="B28" s="464" t="s">
        <v>430</v>
      </c>
      <c r="C28" s="464" t="s">
        <v>431</v>
      </c>
      <c r="D28" s="464" t="s">
        <v>444</v>
      </c>
      <c r="E28" s="464" t="s">
        <v>445</v>
      </c>
      <c r="F28" s="445"/>
      <c r="G28" s="445"/>
      <c r="H28" s="445"/>
      <c r="I28" s="445"/>
      <c r="J28" s="445">
        <v>1</v>
      </c>
      <c r="K28" s="445">
        <v>283</v>
      </c>
      <c r="L28" s="445">
        <v>1</v>
      </c>
      <c r="M28" s="445">
        <v>283</v>
      </c>
      <c r="N28" s="445"/>
      <c r="O28" s="445"/>
      <c r="P28" s="465"/>
      <c r="Q28" s="466"/>
    </row>
    <row r="29" spans="1:17" ht="14.45" customHeight="1" x14ac:dyDescent="0.2">
      <c r="A29" s="444" t="s">
        <v>475</v>
      </c>
      <c r="B29" s="464" t="s">
        <v>430</v>
      </c>
      <c r="C29" s="464" t="s">
        <v>431</v>
      </c>
      <c r="D29" s="464" t="s">
        <v>432</v>
      </c>
      <c r="E29" s="464" t="s">
        <v>433</v>
      </c>
      <c r="F29" s="445"/>
      <c r="G29" s="445"/>
      <c r="H29" s="445"/>
      <c r="I29" s="445"/>
      <c r="J29" s="445">
        <v>1</v>
      </c>
      <c r="K29" s="445">
        <v>142</v>
      </c>
      <c r="L29" s="445">
        <v>1</v>
      </c>
      <c r="M29" s="445">
        <v>142</v>
      </c>
      <c r="N29" s="445"/>
      <c r="O29" s="445"/>
      <c r="P29" s="465"/>
      <c r="Q29" s="466"/>
    </row>
    <row r="30" spans="1:17" ht="14.45" customHeight="1" x14ac:dyDescent="0.2">
      <c r="A30" s="444" t="s">
        <v>475</v>
      </c>
      <c r="B30" s="464" t="s">
        <v>430</v>
      </c>
      <c r="C30" s="464" t="s">
        <v>431</v>
      </c>
      <c r="D30" s="464" t="s">
        <v>436</v>
      </c>
      <c r="E30" s="464" t="s">
        <v>437</v>
      </c>
      <c r="F30" s="445">
        <v>430</v>
      </c>
      <c r="G30" s="445">
        <v>238220</v>
      </c>
      <c r="H30" s="445">
        <v>0.46705682831906986</v>
      </c>
      <c r="I30" s="445">
        <v>554</v>
      </c>
      <c r="J30" s="445">
        <v>919</v>
      </c>
      <c r="K30" s="445">
        <v>510045</v>
      </c>
      <c r="L30" s="445">
        <v>1</v>
      </c>
      <c r="M30" s="445">
        <v>555</v>
      </c>
      <c r="N30" s="445">
        <v>1213</v>
      </c>
      <c r="O30" s="445">
        <v>676854</v>
      </c>
      <c r="P30" s="465">
        <v>1.3270476134458724</v>
      </c>
      <c r="Q30" s="466">
        <v>558</v>
      </c>
    </row>
    <row r="31" spans="1:17" ht="14.45" customHeight="1" x14ac:dyDescent="0.2">
      <c r="A31" s="444" t="s">
        <v>475</v>
      </c>
      <c r="B31" s="464" t="s">
        <v>430</v>
      </c>
      <c r="C31" s="464" t="s">
        <v>431</v>
      </c>
      <c r="D31" s="464" t="s">
        <v>438</v>
      </c>
      <c r="E31" s="464" t="s">
        <v>439</v>
      </c>
      <c r="F31" s="445">
        <v>22</v>
      </c>
      <c r="G31" s="445">
        <v>733.34</v>
      </c>
      <c r="H31" s="445">
        <v>0.31884486454288935</v>
      </c>
      <c r="I31" s="445">
        <v>33.333636363636366</v>
      </c>
      <c r="J31" s="445">
        <v>69</v>
      </c>
      <c r="K31" s="445">
        <v>2299.9899999999998</v>
      </c>
      <c r="L31" s="445">
        <v>1</v>
      </c>
      <c r="M31" s="445">
        <v>33.333188405797095</v>
      </c>
      <c r="N31" s="445">
        <v>30</v>
      </c>
      <c r="O31" s="445">
        <v>999.99</v>
      </c>
      <c r="P31" s="465">
        <v>0.4347801512180488</v>
      </c>
      <c r="Q31" s="466">
        <v>33.332999999999998</v>
      </c>
    </row>
    <row r="32" spans="1:17" ht="14.45" customHeight="1" x14ac:dyDescent="0.2">
      <c r="A32" s="444" t="s">
        <v>475</v>
      </c>
      <c r="B32" s="464" t="s">
        <v>430</v>
      </c>
      <c r="C32" s="464" t="s">
        <v>431</v>
      </c>
      <c r="D32" s="464" t="s">
        <v>440</v>
      </c>
      <c r="E32" s="464" t="s">
        <v>441</v>
      </c>
      <c r="F32" s="445">
        <v>133</v>
      </c>
      <c r="G32" s="445">
        <v>49609</v>
      </c>
      <c r="H32" s="445">
        <v>0.78954991087344029</v>
      </c>
      <c r="I32" s="445">
        <v>373</v>
      </c>
      <c r="J32" s="445">
        <v>168</v>
      </c>
      <c r="K32" s="445">
        <v>62832</v>
      </c>
      <c r="L32" s="445">
        <v>1</v>
      </c>
      <c r="M32" s="445">
        <v>374</v>
      </c>
      <c r="N32" s="445">
        <v>178</v>
      </c>
      <c r="O32" s="445">
        <v>67106</v>
      </c>
      <c r="P32" s="465">
        <v>1.0680226636108989</v>
      </c>
      <c r="Q32" s="466">
        <v>377</v>
      </c>
    </row>
    <row r="33" spans="1:17" ht="14.45" customHeight="1" x14ac:dyDescent="0.2">
      <c r="A33" s="444" t="s">
        <v>475</v>
      </c>
      <c r="B33" s="464" t="s">
        <v>430</v>
      </c>
      <c r="C33" s="464" t="s">
        <v>431</v>
      </c>
      <c r="D33" s="464" t="s">
        <v>442</v>
      </c>
      <c r="E33" s="464" t="s">
        <v>443</v>
      </c>
      <c r="F33" s="445"/>
      <c r="G33" s="445"/>
      <c r="H33" s="445"/>
      <c r="I33" s="445"/>
      <c r="J33" s="445"/>
      <c r="K33" s="445"/>
      <c r="L33" s="445"/>
      <c r="M33" s="445"/>
      <c r="N33" s="445">
        <v>1</v>
      </c>
      <c r="O33" s="445">
        <v>434</v>
      </c>
      <c r="P33" s="465"/>
      <c r="Q33" s="466">
        <v>434</v>
      </c>
    </row>
    <row r="34" spans="1:17" ht="14.45" customHeight="1" x14ac:dyDescent="0.2">
      <c r="A34" s="444" t="s">
        <v>475</v>
      </c>
      <c r="B34" s="464" t="s">
        <v>430</v>
      </c>
      <c r="C34" s="464" t="s">
        <v>431</v>
      </c>
      <c r="D34" s="464" t="s">
        <v>444</v>
      </c>
      <c r="E34" s="464" t="s">
        <v>445</v>
      </c>
      <c r="F34" s="445">
        <v>40</v>
      </c>
      <c r="G34" s="445">
        <v>11320</v>
      </c>
      <c r="H34" s="445">
        <v>0.93099761493543876</v>
      </c>
      <c r="I34" s="445">
        <v>283</v>
      </c>
      <c r="J34" s="445">
        <v>43</v>
      </c>
      <c r="K34" s="445">
        <v>12159</v>
      </c>
      <c r="L34" s="445">
        <v>1</v>
      </c>
      <c r="M34" s="445">
        <v>282.76744186046511</v>
      </c>
      <c r="N34" s="445">
        <v>45</v>
      </c>
      <c r="O34" s="445">
        <v>12825</v>
      </c>
      <c r="P34" s="465">
        <v>1.0547742413027388</v>
      </c>
      <c r="Q34" s="466">
        <v>285</v>
      </c>
    </row>
    <row r="35" spans="1:17" ht="14.45" customHeight="1" x14ac:dyDescent="0.2">
      <c r="A35" s="444" t="s">
        <v>475</v>
      </c>
      <c r="B35" s="464" t="s">
        <v>430</v>
      </c>
      <c r="C35" s="464" t="s">
        <v>431</v>
      </c>
      <c r="D35" s="464" t="s">
        <v>476</v>
      </c>
      <c r="E35" s="464" t="s">
        <v>477</v>
      </c>
      <c r="F35" s="445"/>
      <c r="G35" s="445"/>
      <c r="H35" s="445"/>
      <c r="I35" s="445"/>
      <c r="J35" s="445"/>
      <c r="K35" s="445"/>
      <c r="L35" s="445"/>
      <c r="M35" s="445"/>
      <c r="N35" s="445">
        <v>1</v>
      </c>
      <c r="O35" s="445">
        <v>482</v>
      </c>
      <c r="P35" s="465"/>
      <c r="Q35" s="466">
        <v>482</v>
      </c>
    </row>
    <row r="36" spans="1:17" ht="14.45" customHeight="1" x14ac:dyDescent="0.2">
      <c r="A36" s="444" t="s">
        <v>478</v>
      </c>
      <c r="B36" s="464" t="s">
        <v>430</v>
      </c>
      <c r="C36" s="464" t="s">
        <v>431</v>
      </c>
      <c r="D36" s="464" t="s">
        <v>436</v>
      </c>
      <c r="E36" s="464" t="s">
        <v>437</v>
      </c>
      <c r="F36" s="445"/>
      <c r="G36" s="445"/>
      <c r="H36" s="445"/>
      <c r="I36" s="445"/>
      <c r="J36" s="445">
        <v>1</v>
      </c>
      <c r="K36" s="445">
        <v>555</v>
      </c>
      <c r="L36" s="445">
        <v>1</v>
      </c>
      <c r="M36" s="445">
        <v>555</v>
      </c>
      <c r="N36" s="445"/>
      <c r="O36" s="445"/>
      <c r="P36" s="465"/>
      <c r="Q36" s="466"/>
    </row>
    <row r="37" spans="1:17" ht="14.45" customHeight="1" x14ac:dyDescent="0.2">
      <c r="A37" s="444" t="s">
        <v>478</v>
      </c>
      <c r="B37" s="464" t="s">
        <v>430</v>
      </c>
      <c r="C37" s="464" t="s">
        <v>431</v>
      </c>
      <c r="D37" s="464" t="s">
        <v>440</v>
      </c>
      <c r="E37" s="464" t="s">
        <v>441</v>
      </c>
      <c r="F37" s="445"/>
      <c r="G37" s="445"/>
      <c r="H37" s="445"/>
      <c r="I37" s="445"/>
      <c r="J37" s="445">
        <v>1</v>
      </c>
      <c r="K37" s="445">
        <v>374</v>
      </c>
      <c r="L37" s="445">
        <v>1</v>
      </c>
      <c r="M37" s="445">
        <v>374</v>
      </c>
      <c r="N37" s="445"/>
      <c r="O37" s="445"/>
      <c r="P37" s="465"/>
      <c r="Q37" s="466"/>
    </row>
    <row r="38" spans="1:17" ht="14.45" customHeight="1" x14ac:dyDescent="0.2">
      <c r="A38" s="444" t="s">
        <v>479</v>
      </c>
      <c r="B38" s="464" t="s">
        <v>430</v>
      </c>
      <c r="C38" s="464" t="s">
        <v>431</v>
      </c>
      <c r="D38" s="464" t="s">
        <v>436</v>
      </c>
      <c r="E38" s="464" t="s">
        <v>437</v>
      </c>
      <c r="F38" s="445"/>
      <c r="G38" s="445"/>
      <c r="H38" s="445"/>
      <c r="I38" s="445"/>
      <c r="J38" s="445">
        <v>12</v>
      </c>
      <c r="K38" s="445">
        <v>6660</v>
      </c>
      <c r="L38" s="445">
        <v>1</v>
      </c>
      <c r="M38" s="445">
        <v>555</v>
      </c>
      <c r="N38" s="445">
        <v>1</v>
      </c>
      <c r="O38" s="445">
        <v>558</v>
      </c>
      <c r="P38" s="465">
        <v>8.3783783783783788E-2</v>
      </c>
      <c r="Q38" s="466">
        <v>558</v>
      </c>
    </row>
    <row r="39" spans="1:17" ht="14.45" customHeight="1" x14ac:dyDescent="0.2">
      <c r="A39" s="444" t="s">
        <v>479</v>
      </c>
      <c r="B39" s="464" t="s">
        <v>430</v>
      </c>
      <c r="C39" s="464" t="s">
        <v>431</v>
      </c>
      <c r="D39" s="464" t="s">
        <v>440</v>
      </c>
      <c r="E39" s="464" t="s">
        <v>441</v>
      </c>
      <c r="F39" s="445"/>
      <c r="G39" s="445"/>
      <c r="H39" s="445"/>
      <c r="I39" s="445"/>
      <c r="J39" s="445">
        <v>1</v>
      </c>
      <c r="K39" s="445">
        <v>374</v>
      </c>
      <c r="L39" s="445">
        <v>1</v>
      </c>
      <c r="M39" s="445">
        <v>374</v>
      </c>
      <c r="N39" s="445"/>
      <c r="O39" s="445"/>
      <c r="P39" s="465"/>
      <c r="Q39" s="466"/>
    </row>
    <row r="40" spans="1:17" ht="14.45" customHeight="1" x14ac:dyDescent="0.2">
      <c r="A40" s="444" t="s">
        <v>480</v>
      </c>
      <c r="B40" s="464" t="s">
        <v>430</v>
      </c>
      <c r="C40" s="464" t="s">
        <v>431</v>
      </c>
      <c r="D40" s="464" t="s">
        <v>432</v>
      </c>
      <c r="E40" s="464" t="s">
        <v>433</v>
      </c>
      <c r="F40" s="445">
        <v>3</v>
      </c>
      <c r="G40" s="445">
        <v>423</v>
      </c>
      <c r="H40" s="445">
        <v>0.21277665995975856</v>
      </c>
      <c r="I40" s="445">
        <v>141</v>
      </c>
      <c r="J40" s="445">
        <v>14</v>
      </c>
      <c r="K40" s="445">
        <v>1988</v>
      </c>
      <c r="L40" s="445">
        <v>1</v>
      </c>
      <c r="M40" s="445">
        <v>142</v>
      </c>
      <c r="N40" s="445">
        <v>5</v>
      </c>
      <c r="O40" s="445">
        <v>715</v>
      </c>
      <c r="P40" s="465">
        <v>0.3596579476861167</v>
      </c>
      <c r="Q40" s="466">
        <v>143</v>
      </c>
    </row>
    <row r="41" spans="1:17" ht="14.45" customHeight="1" x14ac:dyDescent="0.2">
      <c r="A41" s="444" t="s">
        <v>480</v>
      </c>
      <c r="B41" s="464" t="s">
        <v>430</v>
      </c>
      <c r="C41" s="464" t="s">
        <v>431</v>
      </c>
      <c r="D41" s="464" t="s">
        <v>436</v>
      </c>
      <c r="E41" s="464" t="s">
        <v>437</v>
      </c>
      <c r="F41" s="445">
        <v>287</v>
      </c>
      <c r="G41" s="445">
        <v>158998</v>
      </c>
      <c r="H41" s="445">
        <v>0.3200926065730535</v>
      </c>
      <c r="I41" s="445">
        <v>554</v>
      </c>
      <c r="J41" s="445">
        <v>895</v>
      </c>
      <c r="K41" s="445">
        <v>496725</v>
      </c>
      <c r="L41" s="445">
        <v>1</v>
      </c>
      <c r="M41" s="445">
        <v>555</v>
      </c>
      <c r="N41" s="445">
        <v>685</v>
      </c>
      <c r="O41" s="445">
        <v>382230</v>
      </c>
      <c r="P41" s="465">
        <v>0.76950022648346672</v>
      </c>
      <c r="Q41" s="466">
        <v>558</v>
      </c>
    </row>
    <row r="42" spans="1:17" ht="14.45" customHeight="1" x14ac:dyDescent="0.2">
      <c r="A42" s="444" t="s">
        <v>480</v>
      </c>
      <c r="B42" s="464" t="s">
        <v>430</v>
      </c>
      <c r="C42" s="464" t="s">
        <v>431</v>
      </c>
      <c r="D42" s="464" t="s">
        <v>438</v>
      </c>
      <c r="E42" s="464" t="s">
        <v>439</v>
      </c>
      <c r="F42" s="445">
        <v>2</v>
      </c>
      <c r="G42" s="445">
        <v>66.67</v>
      </c>
      <c r="H42" s="445">
        <v>0.20001200012000123</v>
      </c>
      <c r="I42" s="445">
        <v>33.335000000000001</v>
      </c>
      <c r="J42" s="445">
        <v>10</v>
      </c>
      <c r="K42" s="445">
        <v>333.33</v>
      </c>
      <c r="L42" s="445">
        <v>1</v>
      </c>
      <c r="M42" s="445">
        <v>33.332999999999998</v>
      </c>
      <c r="N42" s="445">
        <v>1</v>
      </c>
      <c r="O42" s="445">
        <v>33.33</v>
      </c>
      <c r="P42" s="465">
        <v>9.9990999909999101E-2</v>
      </c>
      <c r="Q42" s="466">
        <v>33.33</v>
      </c>
    </row>
    <row r="43" spans="1:17" ht="14.45" customHeight="1" x14ac:dyDescent="0.2">
      <c r="A43" s="444" t="s">
        <v>480</v>
      </c>
      <c r="B43" s="464" t="s">
        <v>430</v>
      </c>
      <c r="C43" s="464" t="s">
        <v>431</v>
      </c>
      <c r="D43" s="464" t="s">
        <v>440</v>
      </c>
      <c r="E43" s="464" t="s">
        <v>441</v>
      </c>
      <c r="F43" s="445">
        <v>11</v>
      </c>
      <c r="G43" s="445">
        <v>4103</v>
      </c>
      <c r="H43" s="445">
        <v>0.91421568627450978</v>
      </c>
      <c r="I43" s="445">
        <v>373</v>
      </c>
      <c r="J43" s="445">
        <v>12</v>
      </c>
      <c r="K43" s="445">
        <v>4488</v>
      </c>
      <c r="L43" s="445">
        <v>1</v>
      </c>
      <c r="M43" s="445">
        <v>374</v>
      </c>
      <c r="N43" s="445">
        <v>9</v>
      </c>
      <c r="O43" s="445">
        <v>3393</v>
      </c>
      <c r="P43" s="465">
        <v>0.75601604278074863</v>
      </c>
      <c r="Q43" s="466">
        <v>377</v>
      </c>
    </row>
    <row r="44" spans="1:17" ht="14.45" customHeight="1" x14ac:dyDescent="0.2">
      <c r="A44" s="444" t="s">
        <v>480</v>
      </c>
      <c r="B44" s="464" t="s">
        <v>430</v>
      </c>
      <c r="C44" s="464" t="s">
        <v>431</v>
      </c>
      <c r="D44" s="464" t="s">
        <v>444</v>
      </c>
      <c r="E44" s="464" t="s">
        <v>445</v>
      </c>
      <c r="F44" s="445">
        <v>4</v>
      </c>
      <c r="G44" s="445">
        <v>1132</v>
      </c>
      <c r="H44" s="445">
        <v>0.40014139271827504</v>
      </c>
      <c r="I44" s="445">
        <v>283</v>
      </c>
      <c r="J44" s="445">
        <v>10</v>
      </c>
      <c r="K44" s="445">
        <v>2829</v>
      </c>
      <c r="L44" s="445">
        <v>1</v>
      </c>
      <c r="M44" s="445">
        <v>282.89999999999998</v>
      </c>
      <c r="N44" s="445">
        <v>6</v>
      </c>
      <c r="O44" s="445">
        <v>1710</v>
      </c>
      <c r="P44" s="465">
        <v>0.6044538706256628</v>
      </c>
      <c r="Q44" s="466">
        <v>285</v>
      </c>
    </row>
    <row r="45" spans="1:17" ht="14.45" customHeight="1" x14ac:dyDescent="0.2">
      <c r="A45" s="444" t="s">
        <v>481</v>
      </c>
      <c r="B45" s="464" t="s">
        <v>430</v>
      </c>
      <c r="C45" s="464" t="s">
        <v>431</v>
      </c>
      <c r="D45" s="464" t="s">
        <v>432</v>
      </c>
      <c r="E45" s="464" t="s">
        <v>433</v>
      </c>
      <c r="F45" s="445">
        <v>3</v>
      </c>
      <c r="G45" s="445">
        <v>423</v>
      </c>
      <c r="H45" s="445">
        <v>0.74471830985915488</v>
      </c>
      <c r="I45" s="445">
        <v>141</v>
      </c>
      <c r="J45" s="445">
        <v>4</v>
      </c>
      <c r="K45" s="445">
        <v>568</v>
      </c>
      <c r="L45" s="445">
        <v>1</v>
      </c>
      <c r="M45" s="445">
        <v>142</v>
      </c>
      <c r="N45" s="445"/>
      <c r="O45" s="445"/>
      <c r="P45" s="465"/>
      <c r="Q45" s="466"/>
    </row>
    <row r="46" spans="1:17" ht="14.45" customHeight="1" x14ac:dyDescent="0.2">
      <c r="A46" s="444" t="s">
        <v>481</v>
      </c>
      <c r="B46" s="464" t="s">
        <v>430</v>
      </c>
      <c r="C46" s="464" t="s">
        <v>431</v>
      </c>
      <c r="D46" s="464" t="s">
        <v>436</v>
      </c>
      <c r="E46" s="464" t="s">
        <v>437</v>
      </c>
      <c r="F46" s="445">
        <v>131</v>
      </c>
      <c r="G46" s="445">
        <v>72574</v>
      </c>
      <c r="H46" s="445">
        <v>0.46868804288159127</v>
      </c>
      <c r="I46" s="445">
        <v>554</v>
      </c>
      <c r="J46" s="445">
        <v>279</v>
      </c>
      <c r="K46" s="445">
        <v>154845</v>
      </c>
      <c r="L46" s="445">
        <v>1</v>
      </c>
      <c r="M46" s="445">
        <v>555</v>
      </c>
      <c r="N46" s="445">
        <v>141</v>
      </c>
      <c r="O46" s="445">
        <v>78678</v>
      </c>
      <c r="P46" s="465">
        <v>0.50810810810810814</v>
      </c>
      <c r="Q46" s="466">
        <v>558</v>
      </c>
    </row>
    <row r="47" spans="1:17" ht="14.45" customHeight="1" x14ac:dyDescent="0.2">
      <c r="A47" s="444" t="s">
        <v>481</v>
      </c>
      <c r="B47" s="464" t="s">
        <v>430</v>
      </c>
      <c r="C47" s="464" t="s">
        <v>431</v>
      </c>
      <c r="D47" s="464" t="s">
        <v>438</v>
      </c>
      <c r="E47" s="464" t="s">
        <v>439</v>
      </c>
      <c r="F47" s="445">
        <v>1</v>
      </c>
      <c r="G47" s="445">
        <v>33.33</v>
      </c>
      <c r="H47" s="445">
        <v>0.49992500374981247</v>
      </c>
      <c r="I47" s="445">
        <v>33.33</v>
      </c>
      <c r="J47" s="445">
        <v>2</v>
      </c>
      <c r="K47" s="445">
        <v>66.67</v>
      </c>
      <c r="L47" s="445">
        <v>1</v>
      </c>
      <c r="M47" s="445">
        <v>33.335000000000001</v>
      </c>
      <c r="N47" s="445">
        <v>2</v>
      </c>
      <c r="O47" s="445">
        <v>66.66</v>
      </c>
      <c r="P47" s="465">
        <v>0.99985000749962494</v>
      </c>
      <c r="Q47" s="466">
        <v>33.33</v>
      </c>
    </row>
    <row r="48" spans="1:17" ht="14.45" customHeight="1" x14ac:dyDescent="0.2">
      <c r="A48" s="444" t="s">
        <v>481</v>
      </c>
      <c r="B48" s="464" t="s">
        <v>430</v>
      </c>
      <c r="C48" s="464" t="s">
        <v>431</v>
      </c>
      <c r="D48" s="464" t="s">
        <v>440</v>
      </c>
      <c r="E48" s="464" t="s">
        <v>441</v>
      </c>
      <c r="F48" s="445">
        <v>5</v>
      </c>
      <c r="G48" s="445">
        <v>1865</v>
      </c>
      <c r="H48" s="445">
        <v>2.4933155080213902</v>
      </c>
      <c r="I48" s="445">
        <v>373</v>
      </c>
      <c r="J48" s="445">
        <v>2</v>
      </c>
      <c r="K48" s="445">
        <v>748</v>
      </c>
      <c r="L48" s="445">
        <v>1</v>
      </c>
      <c r="M48" s="445">
        <v>374</v>
      </c>
      <c r="N48" s="445">
        <v>4</v>
      </c>
      <c r="O48" s="445">
        <v>1508</v>
      </c>
      <c r="P48" s="465">
        <v>2.0160427807486632</v>
      </c>
      <c r="Q48" s="466">
        <v>377</v>
      </c>
    </row>
    <row r="49" spans="1:17" ht="14.45" customHeight="1" x14ac:dyDescent="0.2">
      <c r="A49" s="444" t="s">
        <v>481</v>
      </c>
      <c r="B49" s="464" t="s">
        <v>430</v>
      </c>
      <c r="C49" s="464" t="s">
        <v>431</v>
      </c>
      <c r="D49" s="464" t="s">
        <v>444</v>
      </c>
      <c r="E49" s="464" t="s">
        <v>445</v>
      </c>
      <c r="F49" s="445">
        <v>1</v>
      </c>
      <c r="G49" s="445">
        <v>283</v>
      </c>
      <c r="H49" s="445">
        <v>0.33333333333333331</v>
      </c>
      <c r="I49" s="445">
        <v>283</v>
      </c>
      <c r="J49" s="445">
        <v>3</v>
      </c>
      <c r="K49" s="445">
        <v>849</v>
      </c>
      <c r="L49" s="445">
        <v>1</v>
      </c>
      <c r="M49" s="445">
        <v>283</v>
      </c>
      <c r="N49" s="445"/>
      <c r="O49" s="445"/>
      <c r="P49" s="465"/>
      <c r="Q49" s="466"/>
    </row>
    <row r="50" spans="1:17" ht="14.45" customHeight="1" x14ac:dyDescent="0.2">
      <c r="A50" s="444" t="s">
        <v>482</v>
      </c>
      <c r="B50" s="464" t="s">
        <v>430</v>
      </c>
      <c r="C50" s="464" t="s">
        <v>431</v>
      </c>
      <c r="D50" s="464" t="s">
        <v>436</v>
      </c>
      <c r="E50" s="464" t="s">
        <v>437</v>
      </c>
      <c r="F50" s="445"/>
      <c r="G50" s="445"/>
      <c r="H50" s="445"/>
      <c r="I50" s="445"/>
      <c r="J50" s="445"/>
      <c r="K50" s="445"/>
      <c r="L50" s="445"/>
      <c r="M50" s="445"/>
      <c r="N50" s="445">
        <v>2</v>
      </c>
      <c r="O50" s="445">
        <v>1116</v>
      </c>
      <c r="P50" s="465"/>
      <c r="Q50" s="466">
        <v>558</v>
      </c>
    </row>
    <row r="51" spans="1:17" ht="14.45" customHeight="1" x14ac:dyDescent="0.2">
      <c r="A51" s="444" t="s">
        <v>482</v>
      </c>
      <c r="B51" s="464" t="s">
        <v>430</v>
      </c>
      <c r="C51" s="464" t="s">
        <v>431</v>
      </c>
      <c r="D51" s="464" t="s">
        <v>440</v>
      </c>
      <c r="E51" s="464" t="s">
        <v>441</v>
      </c>
      <c r="F51" s="445"/>
      <c r="G51" s="445"/>
      <c r="H51" s="445"/>
      <c r="I51" s="445"/>
      <c r="J51" s="445"/>
      <c r="K51" s="445"/>
      <c r="L51" s="445"/>
      <c r="M51" s="445"/>
      <c r="N51" s="445">
        <v>1</v>
      </c>
      <c r="O51" s="445">
        <v>377</v>
      </c>
      <c r="P51" s="465"/>
      <c r="Q51" s="466">
        <v>377</v>
      </c>
    </row>
    <row r="52" spans="1:17" ht="14.45" customHeight="1" x14ac:dyDescent="0.2">
      <c r="A52" s="444" t="s">
        <v>483</v>
      </c>
      <c r="B52" s="464" t="s">
        <v>430</v>
      </c>
      <c r="C52" s="464" t="s">
        <v>431</v>
      </c>
      <c r="D52" s="464" t="s">
        <v>436</v>
      </c>
      <c r="E52" s="464" t="s">
        <v>437</v>
      </c>
      <c r="F52" s="445"/>
      <c r="G52" s="445"/>
      <c r="H52" s="445"/>
      <c r="I52" s="445"/>
      <c r="J52" s="445"/>
      <c r="K52" s="445"/>
      <c r="L52" s="445"/>
      <c r="M52" s="445"/>
      <c r="N52" s="445">
        <v>26</v>
      </c>
      <c r="O52" s="445">
        <v>14508</v>
      </c>
      <c r="P52" s="465"/>
      <c r="Q52" s="466">
        <v>558</v>
      </c>
    </row>
    <row r="53" spans="1:17" ht="14.45" customHeight="1" x14ac:dyDescent="0.2">
      <c r="A53" s="444" t="s">
        <v>483</v>
      </c>
      <c r="B53" s="464" t="s">
        <v>430</v>
      </c>
      <c r="C53" s="464" t="s">
        <v>431</v>
      </c>
      <c r="D53" s="464" t="s">
        <v>440</v>
      </c>
      <c r="E53" s="464" t="s">
        <v>441</v>
      </c>
      <c r="F53" s="445"/>
      <c r="G53" s="445"/>
      <c r="H53" s="445"/>
      <c r="I53" s="445"/>
      <c r="J53" s="445"/>
      <c r="K53" s="445"/>
      <c r="L53" s="445"/>
      <c r="M53" s="445"/>
      <c r="N53" s="445">
        <v>1</v>
      </c>
      <c r="O53" s="445">
        <v>377</v>
      </c>
      <c r="P53" s="465"/>
      <c r="Q53" s="466">
        <v>377</v>
      </c>
    </row>
    <row r="54" spans="1:17" ht="14.45" customHeight="1" x14ac:dyDescent="0.2">
      <c r="A54" s="444" t="s">
        <v>484</v>
      </c>
      <c r="B54" s="464" t="s">
        <v>430</v>
      </c>
      <c r="C54" s="464" t="s">
        <v>431</v>
      </c>
      <c r="D54" s="464" t="s">
        <v>436</v>
      </c>
      <c r="E54" s="464" t="s">
        <v>437</v>
      </c>
      <c r="F54" s="445"/>
      <c r="G54" s="445"/>
      <c r="H54" s="445"/>
      <c r="I54" s="445"/>
      <c r="J54" s="445">
        <v>6</v>
      </c>
      <c r="K54" s="445">
        <v>3330</v>
      </c>
      <c r="L54" s="445">
        <v>1</v>
      </c>
      <c r="M54" s="445">
        <v>555</v>
      </c>
      <c r="N54" s="445"/>
      <c r="O54" s="445"/>
      <c r="P54" s="465"/>
      <c r="Q54" s="466"/>
    </row>
    <row r="55" spans="1:17" ht="14.45" customHeight="1" thickBot="1" x14ac:dyDescent="0.25">
      <c r="A55" s="448" t="s">
        <v>484</v>
      </c>
      <c r="B55" s="467" t="s">
        <v>430</v>
      </c>
      <c r="C55" s="467" t="s">
        <v>431</v>
      </c>
      <c r="D55" s="467" t="s">
        <v>440</v>
      </c>
      <c r="E55" s="467" t="s">
        <v>441</v>
      </c>
      <c r="F55" s="408"/>
      <c r="G55" s="408"/>
      <c r="H55" s="408"/>
      <c r="I55" s="408"/>
      <c r="J55" s="408">
        <v>1</v>
      </c>
      <c r="K55" s="408">
        <v>374</v>
      </c>
      <c r="L55" s="408">
        <v>1</v>
      </c>
      <c r="M55" s="408">
        <v>374</v>
      </c>
      <c r="N55" s="408"/>
      <c r="O55" s="408"/>
      <c r="P55" s="409"/>
      <c r="Q55" s="41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E0048ED-7A26-4495-8EE3-ECD50B4585FC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90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3442.9317965364457</v>
      </c>
      <c r="D4" s="129">
        <f ca="1">IF(ISERROR(VLOOKUP("Náklady celkem",INDIRECT("HI!$A:$G"),5,0)),0,VLOOKUP("Náklady celkem",INDIRECT("HI!$A:$G"),5,0))</f>
        <v>3731.9903799999997</v>
      </c>
      <c r="E4" s="130">
        <f ca="1">IF(C4=0,0,D4/C4)</f>
        <v>1.0839571041617333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7" t="str">
        <f>HYPERLINK("#'LŽ Statim'!A1","Podíl statimových žádanek (max. 30%)")</f>
        <v>Podíl statimových žádanek (max. 30%)</v>
      </c>
      <c r="B8" s="205" t="s">
        <v>150</v>
      </c>
      <c r="C8" s="206">
        <v>0.3</v>
      </c>
      <c r="D8" s="206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3241.4255527343748</v>
      </c>
      <c r="D13" s="133">
        <f ca="1">IF(ISERROR(VLOOKUP("Osobní náklady (Kč) *",INDIRECT("HI!$A:$G"),5,0)),0,VLOOKUP("Osobní náklady (Kč) *",INDIRECT("HI!$A:$G"),5,0))</f>
        <v>3529.6641199999999</v>
      </c>
      <c r="E13" s="134">
        <f ca="1">IF(C13=0,0,D13/C13)</f>
        <v>1.0889233957640876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926.73667000000012</v>
      </c>
      <c r="D15" s="152">
        <f ca="1">IF(ISERROR(VLOOKUP("Výnosy celkem",INDIRECT("HI!$A:$G"),5,0)),0,VLOOKUP("Výnosy celkem",INDIRECT("HI!$A:$G"),5,0))</f>
        <v>1341.3326500000001</v>
      </c>
      <c r="E15" s="153">
        <f t="shared" ref="E15:E20" ca="1" si="1">IF(C15=0,0,D15/C15)</f>
        <v>1.4473719379206176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926.73667000000012</v>
      </c>
      <c r="D16" s="133">
        <f ca="1">IF(ISERROR(VLOOKUP("Ambulance *",INDIRECT("HI!$A:$G"),5,0)),0,VLOOKUP("Ambulance *",INDIRECT("HI!$A:$G"),5,0))</f>
        <v>1341.3326500000001</v>
      </c>
      <c r="E16" s="134">
        <f t="shared" ca="1" si="1"/>
        <v>1.4473719379206176</v>
      </c>
    </row>
    <row r="17" spans="1:5" ht="14.45" customHeight="1" x14ac:dyDescent="0.25">
      <c r="A17" s="214" t="str">
        <f>HYPERLINK("#'ZV Vykáz.-A'!A1","Zdravotní výkony vykázané u ambulantních pacientů (min. 100 % 2016)")</f>
        <v>Zdravotní výkony vykázané u ambulantních pacientů (min. 100 % 2016)</v>
      </c>
      <c r="B17" s="215" t="s">
        <v>91</v>
      </c>
      <c r="C17" s="138">
        <v>1</v>
      </c>
      <c r="D17" s="138">
        <f>IF(ISERROR(VLOOKUP("Celkem:",'ZV Vykáz.-A'!$A:$AB,10,0)),"",VLOOKUP("Celkem:",'ZV Vykáz.-A'!$A:$AB,10,0))</f>
        <v>1.4473719379206176</v>
      </c>
      <c r="E17" s="134">
        <f t="shared" si="1"/>
        <v>1.4473719379206176</v>
      </c>
    </row>
    <row r="18" spans="1:5" ht="14.45" customHeight="1" x14ac:dyDescent="0.25">
      <c r="A18" s="213" t="str">
        <f>HYPERLINK("#'ZV Vykáz.-A'!A1","Specializovaná ambulantní péče")</f>
        <v>Specializovaná ambulantní péče</v>
      </c>
      <c r="B18" s="215" t="s">
        <v>91</v>
      </c>
      <c r="C18" s="138">
        <v>1</v>
      </c>
      <c r="D18" s="206">
        <f>IF(ISERROR(VLOOKUP("Specializovaná ambulantní péče",'ZV Vykáz.-A'!$A:$AB,10,0)),"",VLOOKUP("Specializovaná ambulantní péče",'ZV Vykáz.-A'!$A:$AB,10,0))</f>
        <v>1.447371937920618</v>
      </c>
      <c r="E18" s="134">
        <f t="shared" si="1"/>
        <v>1.447371937920618</v>
      </c>
    </row>
    <row r="19" spans="1:5" ht="14.45" customHeight="1" x14ac:dyDescent="0.25">
      <c r="A19" s="213" t="str">
        <f>HYPERLINK("#'ZV Vykáz.-A'!A1","Ambulantní péče ve vyjmenovaných odbornostech (§9)")</f>
        <v>Ambulantní péče ve vyjmenovaných odbornostech (§9)</v>
      </c>
      <c r="B19" s="215" t="s">
        <v>91</v>
      </c>
      <c r="C19" s="138">
        <v>1</v>
      </c>
      <c r="D19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15" t="s">
        <v>93</v>
      </c>
      <c r="C20" s="138">
        <v>0.85</v>
      </c>
      <c r="D20" s="138">
        <f>IF(ISERROR(VLOOKUP("Celkem:",'ZV Vykáz.-H'!$A:$S,7,0)),"",VLOOKUP("Celkem:",'ZV Vykáz.-H'!$A:$S,7,0))</f>
        <v>1.0226036475664242</v>
      </c>
      <c r="E20" s="134">
        <f t="shared" si="1"/>
        <v>1.2030631147840285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104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105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2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1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1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1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1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1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9E2BDBA-C6F2-4341-ADB0-620BD20022D2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0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2015</v>
      </c>
      <c r="C3" s="40">
        <v>2018</v>
      </c>
      <c r="D3" s="7"/>
      <c r="E3" s="281">
        <v>2019</v>
      </c>
      <c r="F3" s="282"/>
      <c r="G3" s="282"/>
      <c r="H3" s="283"/>
      <c r="I3" s="284">
        <v>2017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8" t="s">
        <v>158</v>
      </c>
      <c r="J4" s="219" t="s">
        <v>159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3020.2153600000001</v>
      </c>
      <c r="C7" s="31">
        <v>3226.1152900000002</v>
      </c>
      <c r="D7" s="8"/>
      <c r="E7" s="90">
        <v>3529.6641199999999</v>
      </c>
      <c r="F7" s="30">
        <v>3241.4255527343748</v>
      </c>
      <c r="G7" s="91">
        <f>E7-F7</f>
        <v>288.23856726562508</v>
      </c>
      <c r="H7" s="95">
        <f>IF(F7&lt;0.00000001,"",E7/F7)</f>
        <v>1.0889233957640876</v>
      </c>
    </row>
    <row r="8" spans="1:10" ht="14.45" customHeight="1" thickBot="1" x14ac:dyDescent="0.25">
      <c r="A8" s="1" t="s">
        <v>50</v>
      </c>
      <c r="B8" s="11">
        <v>176.14917000000014</v>
      </c>
      <c r="C8" s="33">
        <v>195.92452000000003</v>
      </c>
      <c r="D8" s="8"/>
      <c r="E8" s="92">
        <v>202.32625999999982</v>
      </c>
      <c r="F8" s="32">
        <v>201.50624380207091</v>
      </c>
      <c r="G8" s="93">
        <f>E8-F8</f>
        <v>0.82001619792890779</v>
      </c>
      <c r="H8" s="96">
        <f>IF(F8&lt;0.00000001,"",E8/F8)</f>
        <v>1.0040694331969899</v>
      </c>
    </row>
    <row r="9" spans="1:10" ht="14.45" customHeight="1" thickBot="1" x14ac:dyDescent="0.25">
      <c r="A9" s="2" t="s">
        <v>51</v>
      </c>
      <c r="B9" s="3">
        <v>3196.3645300000003</v>
      </c>
      <c r="C9" s="35">
        <v>3422.0398100000002</v>
      </c>
      <c r="D9" s="8"/>
      <c r="E9" s="3">
        <v>3731.9903799999997</v>
      </c>
      <c r="F9" s="34">
        <v>3442.9317965364457</v>
      </c>
      <c r="G9" s="34">
        <f>E9-F9</f>
        <v>289.05858346355399</v>
      </c>
      <c r="H9" s="97">
        <f>IF(F9&lt;0.00000001,"",E9/F9)</f>
        <v>1.0839571041617333</v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665.68899999999996</v>
      </c>
      <c r="C11" s="29">
        <f>IF(ISERROR(VLOOKUP("Celkem:",'ZV Vykáz.-A'!A:H,5,0)),0,VLOOKUP("Celkem:",'ZV Vykáz.-A'!A:H,5,0)/1000)</f>
        <v>926.73667000000012</v>
      </c>
      <c r="D11" s="8"/>
      <c r="E11" s="89">
        <f>IF(ISERROR(VLOOKUP("Celkem:",'ZV Vykáz.-A'!A:H,8,0)),0,VLOOKUP("Celkem:",'ZV Vykáz.-A'!A:H,8,0)/1000)</f>
        <v>1341.3326500000001</v>
      </c>
      <c r="F11" s="28">
        <f>C11</f>
        <v>926.73667000000012</v>
      </c>
      <c r="G11" s="88">
        <f>E11-F11</f>
        <v>414.59597999999994</v>
      </c>
      <c r="H11" s="94">
        <f>IF(F11&lt;0.00000001,"",E11/F11)</f>
        <v>1.4473719379206176</v>
      </c>
      <c r="I11" s="88">
        <f>E11-B11</f>
        <v>675.64365000000009</v>
      </c>
      <c r="J11" s="94">
        <f>IF(B11&lt;0.00000001,"",E11/B11)</f>
        <v>2.0149539049015384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665.68899999999996</v>
      </c>
      <c r="C13" s="37">
        <f>SUM(C11:C12)</f>
        <v>926.73667000000012</v>
      </c>
      <c r="D13" s="8"/>
      <c r="E13" s="5">
        <f>SUM(E11:E12)</f>
        <v>1341.3326500000001</v>
      </c>
      <c r="F13" s="36">
        <f>SUM(F11:F12)</f>
        <v>926.73667000000012</v>
      </c>
      <c r="G13" s="36">
        <f>E13-F13</f>
        <v>414.59597999999994</v>
      </c>
      <c r="H13" s="98">
        <f>IF(F13&lt;0.00000001,"",E13/F13)</f>
        <v>1.4473719379206176</v>
      </c>
      <c r="I13" s="36">
        <f>SUM(I11:I12)</f>
        <v>675.64365000000009</v>
      </c>
      <c r="J13" s="98">
        <f>IF(B13&lt;0.00000001,"",E13/B13)</f>
        <v>2.0149539049015384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0.20826441845167137</v>
      </c>
      <c r="C15" s="39">
        <f>IF(C9=0,"",C13/C9)</f>
        <v>0.27081411130632055</v>
      </c>
      <c r="D15" s="8"/>
      <c r="E15" s="6">
        <f>IF(E9=0,"",E13/E9)</f>
        <v>0.35941481982062345</v>
      </c>
      <c r="F15" s="38">
        <f>IF(F9=0,"",F13/F9)</f>
        <v>0.26917078953823242</v>
      </c>
      <c r="G15" s="38">
        <f>IF(ISERROR(F15-E15),"",E15-F15)</f>
        <v>9.024403028239103E-2</v>
      </c>
      <c r="H15" s="99">
        <f>IF(ISERROR(F15-E15),"",IF(F15&lt;0.00000001,"",E15/F15))</f>
        <v>1.3352668037910294</v>
      </c>
    </row>
    <row r="17" spans="1:8" ht="14.45" customHeight="1" x14ac:dyDescent="0.2">
      <c r="A17" s="85" t="s">
        <v>108</v>
      </c>
    </row>
    <row r="18" spans="1:8" ht="14.45" customHeight="1" x14ac:dyDescent="0.25">
      <c r="A18" s="193" t="s">
        <v>133</v>
      </c>
      <c r="B18" s="194"/>
      <c r="C18" s="194"/>
      <c r="D18" s="194"/>
      <c r="E18" s="194"/>
      <c r="F18" s="194"/>
      <c r="G18" s="194"/>
      <c r="H18" s="194"/>
    </row>
    <row r="19" spans="1:8" ht="15" x14ac:dyDescent="0.25">
      <c r="A19" s="192" t="s">
        <v>132</v>
      </c>
      <c r="B19" s="194"/>
      <c r="C19" s="194"/>
      <c r="D19" s="194"/>
      <c r="E19" s="194"/>
      <c r="F19" s="194"/>
      <c r="G19" s="194"/>
      <c r="H19" s="194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192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1" priority="8" operator="greaterThan">
      <formula>0</formula>
    </cfRule>
  </conditionalFormatting>
  <conditionalFormatting sqref="G11:G13 G15">
    <cfRule type="cellIs" dxfId="10" priority="7" operator="lessThan">
      <formula>0</formula>
    </cfRule>
  </conditionalFormatting>
  <conditionalFormatting sqref="H5:H9">
    <cfRule type="cellIs" dxfId="9" priority="6" operator="greaterThan">
      <formula>1</formula>
    </cfRule>
  </conditionalFormatting>
  <conditionalFormatting sqref="H11:H13 H15">
    <cfRule type="cellIs" dxfId="8" priority="5" operator="lessThan">
      <formula>1</formula>
    </cfRule>
  </conditionalFormatting>
  <conditionalFormatting sqref="I11:I13">
    <cfRule type="cellIs" dxfId="7" priority="4" operator="lessThan">
      <formula>0</formula>
    </cfRule>
  </conditionalFormatting>
  <conditionalFormatting sqref="J11:J13">
    <cfRule type="cellIs" dxfId="6" priority="3" operator="lessThan">
      <formula>1</formula>
    </cfRule>
  </conditionalFormatting>
  <hyperlinks>
    <hyperlink ref="A2" location="Obsah!A1" display="Zpět na Obsah  KL 01  1.-4.měsíc" xr:uid="{0ADEF550-E318-4E05-8AF2-6113AD677F3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0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5" customHeight="1" x14ac:dyDescent="0.2">
      <c r="A4" s="167" t="s">
        <v>55</v>
      </c>
      <c r="B4" s="170">
        <f>(B10+B8)/B6</f>
        <v>3.3175905550478432E-2</v>
      </c>
      <c r="C4" s="170">
        <f t="shared" ref="C4:M4" si="0">(C10+C8)/C6</f>
        <v>3.0182482962919976E-2</v>
      </c>
      <c r="D4" s="170">
        <f t="shared" si="0"/>
        <v>3.164966247584082E-2</v>
      </c>
      <c r="E4" s="170">
        <f t="shared" si="0"/>
        <v>3.3255659097581089E-2</v>
      </c>
      <c r="F4" s="170">
        <f t="shared" si="0"/>
        <v>3.5077874204717981E-2</v>
      </c>
      <c r="G4" s="170">
        <f t="shared" si="0"/>
        <v>3.5600493448363565E-2</v>
      </c>
      <c r="H4" s="170">
        <f t="shared" si="0"/>
        <v>3.344303921915627E-2</v>
      </c>
      <c r="I4" s="170">
        <f t="shared" si="0"/>
        <v>3.3114215450407859E-2</v>
      </c>
      <c r="J4" s="170">
        <f t="shared" si="0"/>
        <v>3.3972628475296376E-2</v>
      </c>
      <c r="K4" s="170">
        <f t="shared" si="0"/>
        <v>3.4795703005178487E-2</v>
      </c>
      <c r="L4" s="170">
        <f t="shared" si="0"/>
        <v>3.4795703005178487E-2</v>
      </c>
      <c r="M4" s="170">
        <f t="shared" si="0"/>
        <v>3.4795703005178487E-2</v>
      </c>
    </row>
    <row r="5" spans="1:13" ht="14.45" customHeight="1" x14ac:dyDescent="0.2">
      <c r="A5" s="171" t="s">
        <v>28</v>
      </c>
      <c r="B5" s="170">
        <f>IF(ISERROR(VLOOKUP($A5,'Man Tab'!$A:$Q,COLUMN()+2,0)),0,VLOOKUP($A5,'Man Tab'!$A:$Q,COLUMN()+2,0))</f>
        <v>3765.9659300000098</v>
      </c>
      <c r="C5" s="170">
        <f>IF(ISERROR(VLOOKUP($A5,'Man Tab'!$A:$Q,COLUMN()+2,0)),0,VLOOKUP($A5,'Man Tab'!$A:$Q,COLUMN()+2,0))</f>
        <v>3738.5521800000101</v>
      </c>
      <c r="D5" s="170">
        <f>IF(ISERROR(VLOOKUP($A5,'Man Tab'!$A:$Q,COLUMN()+2,0)),0,VLOOKUP($A5,'Man Tab'!$A:$Q,COLUMN()+2,0))</f>
        <v>3700.1716799999899</v>
      </c>
      <c r="E5" s="170">
        <f>IF(ISERROR(VLOOKUP($A5,'Man Tab'!$A:$Q,COLUMN()+2,0)),0,VLOOKUP($A5,'Man Tab'!$A:$Q,COLUMN()+2,0))</f>
        <v>3837.6811499999799</v>
      </c>
      <c r="F5" s="170">
        <f>IF(ISERROR(VLOOKUP($A5,'Man Tab'!$A:$Q,COLUMN()+2,0)),0,VLOOKUP($A5,'Man Tab'!$A:$Q,COLUMN()+2,0))</f>
        <v>3829.3145599999998</v>
      </c>
      <c r="G5" s="170">
        <f>IF(ISERROR(VLOOKUP($A5,'Man Tab'!$A:$Q,COLUMN()+2,0)),0,VLOOKUP($A5,'Man Tab'!$A:$Q,COLUMN()+2,0))</f>
        <v>3685.0414499999902</v>
      </c>
      <c r="H5" s="170">
        <f>IF(ISERROR(VLOOKUP($A5,'Man Tab'!$A:$Q,COLUMN()+2,0)),0,VLOOKUP($A5,'Man Tab'!$A:$Q,COLUMN()+2,0))</f>
        <v>5265.7425899999998</v>
      </c>
      <c r="I5" s="170">
        <f>IF(ISERROR(VLOOKUP($A5,'Man Tab'!$A:$Q,COLUMN()+2,0)),0,VLOOKUP($A5,'Man Tab'!$A:$Q,COLUMN()+2,0))</f>
        <v>3475.1646000000101</v>
      </c>
      <c r="J5" s="170">
        <f>IF(ISERROR(VLOOKUP($A5,'Man Tab'!$A:$Q,COLUMN()+2,0)),0,VLOOKUP($A5,'Man Tab'!$A:$Q,COLUMN()+2,0))</f>
        <v>3544.3934899999799</v>
      </c>
      <c r="K5" s="170">
        <f>IF(ISERROR(VLOOKUP($A5,'Man Tab'!$A:$Q,COLUMN()+2,0)),0,VLOOKUP($A5,'Man Tab'!$A:$Q,COLUMN()+2,0))</f>
        <v>3706.7719099999999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51</v>
      </c>
      <c r="B6" s="172">
        <f>B5</f>
        <v>3765.9659300000098</v>
      </c>
      <c r="C6" s="172">
        <f t="shared" ref="C6:M6" si="1">C5+B6</f>
        <v>7504.51811000002</v>
      </c>
      <c r="D6" s="172">
        <f t="shared" si="1"/>
        <v>11204.689790000009</v>
      </c>
      <c r="E6" s="172">
        <f t="shared" si="1"/>
        <v>15042.37093999999</v>
      </c>
      <c r="F6" s="172">
        <f t="shared" si="1"/>
        <v>18871.685499999989</v>
      </c>
      <c r="G6" s="172">
        <f t="shared" si="1"/>
        <v>22556.726949999978</v>
      </c>
      <c r="H6" s="172">
        <f t="shared" si="1"/>
        <v>27822.469539999976</v>
      </c>
      <c r="I6" s="172">
        <f t="shared" si="1"/>
        <v>31297.634139999987</v>
      </c>
      <c r="J6" s="172">
        <f t="shared" si="1"/>
        <v>34842.027629999968</v>
      </c>
      <c r="K6" s="172">
        <f t="shared" si="1"/>
        <v>38548.799539999971</v>
      </c>
      <c r="L6" s="172">
        <f t="shared" si="1"/>
        <v>38548.799539999971</v>
      </c>
      <c r="M6" s="172">
        <f t="shared" si="1"/>
        <v>38548.799539999971</v>
      </c>
    </row>
    <row r="7" spans="1:13" ht="14.45" customHeight="1" x14ac:dyDescent="0.2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77</v>
      </c>
      <c r="B9" s="171">
        <v>124939.33</v>
      </c>
      <c r="C9" s="171">
        <v>101565.66</v>
      </c>
      <c r="D9" s="171">
        <v>128119.66</v>
      </c>
      <c r="E9" s="171">
        <v>145619.31</v>
      </c>
      <c r="F9" s="171">
        <v>161734.65000000002</v>
      </c>
      <c r="G9" s="171">
        <v>141052</v>
      </c>
      <c r="H9" s="171">
        <v>127437.33</v>
      </c>
      <c r="I9" s="171">
        <v>105928.66</v>
      </c>
      <c r="J9" s="171">
        <v>147278.66</v>
      </c>
      <c r="K9" s="171">
        <v>157657.32</v>
      </c>
      <c r="L9" s="171">
        <v>0</v>
      </c>
      <c r="M9" s="171">
        <v>0</v>
      </c>
    </row>
    <row r="10" spans="1:13" ht="14.45" customHeight="1" x14ac:dyDescent="0.2">
      <c r="A10" s="171" t="s">
        <v>53</v>
      </c>
      <c r="B10" s="172">
        <f>B9/1000</f>
        <v>124.93933</v>
      </c>
      <c r="C10" s="172">
        <f t="shared" ref="C10:M10" si="3">C9/1000+B10</f>
        <v>226.50499000000002</v>
      </c>
      <c r="D10" s="172">
        <f t="shared" si="3"/>
        <v>354.62465000000003</v>
      </c>
      <c r="E10" s="172">
        <f t="shared" si="3"/>
        <v>500.24396000000002</v>
      </c>
      <c r="F10" s="172">
        <f t="shared" si="3"/>
        <v>661.97861</v>
      </c>
      <c r="G10" s="172">
        <f t="shared" si="3"/>
        <v>803.03061000000002</v>
      </c>
      <c r="H10" s="172">
        <f t="shared" si="3"/>
        <v>930.46794</v>
      </c>
      <c r="I10" s="172">
        <f t="shared" si="3"/>
        <v>1036.3966</v>
      </c>
      <c r="J10" s="172">
        <f t="shared" si="3"/>
        <v>1183.67526</v>
      </c>
      <c r="K10" s="172">
        <f t="shared" si="3"/>
        <v>1341.33258</v>
      </c>
      <c r="L10" s="172">
        <f t="shared" si="3"/>
        <v>1341.33258</v>
      </c>
      <c r="M10" s="172">
        <f t="shared" si="3"/>
        <v>1341.33258</v>
      </c>
    </row>
    <row r="11" spans="1:13" ht="14.45" customHeight="1" x14ac:dyDescent="0.2">
      <c r="A11" s="167"/>
      <c r="B11" s="167" t="s">
        <v>68</v>
      </c>
      <c r="C11" s="167">
        <f ca="1">IF(MONTH(TODAY())=1,12,MONTH(TODAY())-1)</f>
        <v>10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>
        <f>IF(ISERROR(HI!F15),#REF!,HI!F15)</f>
        <v>0.26917078953823242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>
        <f>IF(ISERROR(HI!F15),#REF!,HI!F15)</f>
        <v>0.26917078953823242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672B6790-2BC4-4CCA-B419-0AB178496AC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5" customHeight="1" thickBot="1" x14ac:dyDescent="0.25">
      <c r="A2" s="190" t="s">
        <v>213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2019</v>
      </c>
      <c r="C4" s="110" t="s">
        <v>5</v>
      </c>
      <c r="D4" s="212" t="s">
        <v>193</v>
      </c>
      <c r="E4" s="212" t="s">
        <v>194</v>
      </c>
      <c r="F4" s="212" t="s">
        <v>195</v>
      </c>
      <c r="G4" s="212" t="s">
        <v>196</v>
      </c>
      <c r="H4" s="212" t="s">
        <v>197</v>
      </c>
      <c r="I4" s="212" t="s">
        <v>198</v>
      </c>
      <c r="J4" s="212" t="s">
        <v>199</v>
      </c>
      <c r="K4" s="212" t="s">
        <v>200</v>
      </c>
      <c r="L4" s="212" t="s">
        <v>201</v>
      </c>
      <c r="M4" s="212" t="s">
        <v>202</v>
      </c>
      <c r="N4" s="212" t="s">
        <v>203</v>
      </c>
      <c r="O4" s="212" t="s">
        <v>204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180</v>
      </c>
      <c r="C7" s="47">
        <v>15</v>
      </c>
      <c r="D7" s="47">
        <v>8.0216799999999999</v>
      </c>
      <c r="E7" s="47">
        <v>12.950900000000001</v>
      </c>
      <c r="F7" s="47">
        <v>13.19326</v>
      </c>
      <c r="G7" s="47">
        <v>12.562209999999</v>
      </c>
      <c r="H7" s="47">
        <v>13.978070000000001</v>
      </c>
      <c r="I7" s="47">
        <v>26.139849999999001</v>
      </c>
      <c r="J7" s="47">
        <v>12.430149999999999</v>
      </c>
      <c r="K7" s="47">
        <v>12.30001</v>
      </c>
      <c r="L7" s="47">
        <v>12.581199999999001</v>
      </c>
      <c r="M7" s="47">
        <v>13.660679999999999</v>
      </c>
      <c r="N7" s="47">
        <v>0</v>
      </c>
      <c r="O7" s="47">
        <v>0</v>
      </c>
      <c r="P7" s="48">
        <v>137.81800999999999</v>
      </c>
      <c r="Q7" s="70">
        <v>0.91878673333299998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5495</v>
      </c>
      <c r="C9" s="47">
        <v>457.91666666666703</v>
      </c>
      <c r="D9" s="47">
        <v>441.13053000000099</v>
      </c>
      <c r="E9" s="47">
        <v>484.30738000000099</v>
      </c>
      <c r="F9" s="47">
        <v>493.35370999999901</v>
      </c>
      <c r="G9" s="47">
        <v>512.30146999999795</v>
      </c>
      <c r="H9" s="47">
        <v>764.71537000000001</v>
      </c>
      <c r="I9" s="47">
        <v>559.18057999999803</v>
      </c>
      <c r="J9" s="47">
        <v>444.61617999999999</v>
      </c>
      <c r="K9" s="47">
        <v>321.07428000000101</v>
      </c>
      <c r="L9" s="47">
        <v>430.43643999999802</v>
      </c>
      <c r="M9" s="47">
        <v>488.69614999999999</v>
      </c>
      <c r="N9" s="47">
        <v>0</v>
      </c>
      <c r="O9" s="47">
        <v>0</v>
      </c>
      <c r="P9" s="48">
        <v>4939.8120900000004</v>
      </c>
      <c r="Q9" s="70">
        <v>1.0787578722469999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411.79180243616997</v>
      </c>
      <c r="C11" s="47">
        <v>34.315983536346998</v>
      </c>
      <c r="D11" s="47">
        <v>82.087710000000001</v>
      </c>
      <c r="E11" s="47">
        <v>56.971150000000002</v>
      </c>
      <c r="F11" s="47">
        <v>83.862229999999002</v>
      </c>
      <c r="G11" s="47">
        <v>58.292889999998998</v>
      </c>
      <c r="H11" s="47">
        <v>72.703630000000004</v>
      </c>
      <c r="I11" s="47">
        <v>45.190019999999002</v>
      </c>
      <c r="J11" s="47">
        <v>78.157219999999995</v>
      </c>
      <c r="K11" s="47">
        <v>49.349530000000001</v>
      </c>
      <c r="L11" s="47">
        <v>40.841619999998997</v>
      </c>
      <c r="M11" s="47">
        <v>83.966700000000003</v>
      </c>
      <c r="N11" s="47">
        <v>0</v>
      </c>
      <c r="O11" s="47">
        <v>0</v>
      </c>
      <c r="P11" s="48">
        <v>651.42269999999996</v>
      </c>
      <c r="Q11" s="70">
        <v>1.898306948743</v>
      </c>
    </row>
    <row r="12" spans="1:17" ht="14.45" customHeight="1" x14ac:dyDescent="0.2">
      <c r="A12" s="15" t="s">
        <v>15</v>
      </c>
      <c r="B12" s="46">
        <v>53.047903886206001</v>
      </c>
      <c r="C12" s="47">
        <v>4.420658657183</v>
      </c>
      <c r="D12" s="47">
        <v>0</v>
      </c>
      <c r="E12" s="47">
        <v>0</v>
      </c>
      <c r="F12" s="47">
        <v>0</v>
      </c>
      <c r="G12" s="47">
        <v>3.7461599999990001</v>
      </c>
      <c r="H12" s="47">
        <v>14.031000000000001</v>
      </c>
      <c r="I12" s="47">
        <v>14.011999999999</v>
      </c>
      <c r="J12" s="47">
        <v>0</v>
      </c>
      <c r="K12" s="47">
        <v>4.2130000000000001</v>
      </c>
      <c r="L12" s="47">
        <v>14.102999999999</v>
      </c>
      <c r="M12" s="47">
        <v>1.8029999999999999</v>
      </c>
      <c r="N12" s="47">
        <v>0</v>
      </c>
      <c r="O12" s="47">
        <v>0</v>
      </c>
      <c r="P12" s="48">
        <v>51.908159999999</v>
      </c>
      <c r="Q12" s="70">
        <v>1.174217781226</v>
      </c>
    </row>
    <row r="13" spans="1:17" ht="14.45" customHeight="1" x14ac:dyDescent="0.2">
      <c r="A13" s="15" t="s">
        <v>16</v>
      </c>
      <c r="B13" s="46">
        <v>2</v>
      </c>
      <c r="C13" s="47">
        <v>0.166666666666</v>
      </c>
      <c r="D13" s="47">
        <v>0.64614000000000005</v>
      </c>
      <c r="E13" s="47">
        <v>2.6717300000000002</v>
      </c>
      <c r="F13" s="47">
        <v>1.8198799999999999</v>
      </c>
      <c r="G13" s="47">
        <v>1.0986199999999999</v>
      </c>
      <c r="H13" s="47">
        <v>1.6419600000000001</v>
      </c>
      <c r="I13" s="47">
        <v>0.31217999999899998</v>
      </c>
      <c r="J13" s="47">
        <v>0.62128000000000005</v>
      </c>
      <c r="K13" s="47">
        <v>0.31218000000000001</v>
      </c>
      <c r="L13" s="47">
        <v>0.47272999999900001</v>
      </c>
      <c r="M13" s="47">
        <v>0</v>
      </c>
      <c r="N13" s="47">
        <v>0</v>
      </c>
      <c r="O13" s="47">
        <v>0</v>
      </c>
      <c r="P13" s="48">
        <v>9.5966999999990001</v>
      </c>
      <c r="Q13" s="70">
        <v>5.7580200000000001</v>
      </c>
    </row>
    <row r="14" spans="1:17" ht="14.45" customHeight="1" x14ac:dyDescent="0.2">
      <c r="A14" s="15" t="s">
        <v>17</v>
      </c>
      <c r="B14" s="46">
        <v>6.5437158412269998</v>
      </c>
      <c r="C14" s="47">
        <v>0.54530965343500004</v>
      </c>
      <c r="D14" s="47">
        <v>0.60699999999999998</v>
      </c>
      <c r="E14" s="47">
        <v>0.52800000000000002</v>
      </c>
      <c r="F14" s="47">
        <v>0.57299999999899998</v>
      </c>
      <c r="G14" s="47">
        <v>0.53399999999900005</v>
      </c>
      <c r="H14" s="47">
        <v>0.53900000000000003</v>
      </c>
      <c r="I14" s="47">
        <v>0.65999999999900005</v>
      </c>
      <c r="J14" s="47">
        <v>0.60099999999999998</v>
      </c>
      <c r="K14" s="47">
        <v>0.626</v>
      </c>
      <c r="L14" s="47">
        <v>0.55999999999899996</v>
      </c>
      <c r="M14" s="47">
        <v>0.58599999999999997</v>
      </c>
      <c r="N14" s="47">
        <v>0</v>
      </c>
      <c r="O14" s="47">
        <v>0</v>
      </c>
      <c r="P14" s="48">
        <v>5.8140000000000001</v>
      </c>
      <c r="Q14" s="70">
        <v>1.06618321597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94.024539361891996</v>
      </c>
      <c r="C17" s="47">
        <v>7.8353782801570002</v>
      </c>
      <c r="D17" s="47">
        <v>75.060590000000005</v>
      </c>
      <c r="E17" s="47">
        <v>100.235</v>
      </c>
      <c r="F17" s="47">
        <v>42.666999999999</v>
      </c>
      <c r="G17" s="47">
        <v>115.20399999999999</v>
      </c>
      <c r="H17" s="47">
        <v>0.76200000000000001</v>
      </c>
      <c r="I17" s="47">
        <v>0</v>
      </c>
      <c r="J17" s="47">
        <v>299.25700000000001</v>
      </c>
      <c r="K17" s="47">
        <v>0</v>
      </c>
      <c r="L17" s="47">
        <v>6.0257999999990002</v>
      </c>
      <c r="M17" s="47">
        <v>0</v>
      </c>
      <c r="N17" s="47">
        <v>0</v>
      </c>
      <c r="O17" s="47">
        <v>0</v>
      </c>
      <c r="P17" s="48">
        <v>639.21139000000005</v>
      </c>
      <c r="Q17" s="70">
        <v>8.1580156968130009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0</v>
      </c>
      <c r="E18" s="47">
        <v>2.5150000000000001</v>
      </c>
      <c r="F18" s="47">
        <v>0</v>
      </c>
      <c r="G18" s="47">
        <v>14.084399999999</v>
      </c>
      <c r="H18" s="47">
        <v>0.124</v>
      </c>
      <c r="I18" s="47">
        <v>0</v>
      </c>
      <c r="J18" s="47">
        <v>0</v>
      </c>
      <c r="K18" s="47">
        <v>0</v>
      </c>
      <c r="L18" s="47">
        <v>0.44999999999899998</v>
      </c>
      <c r="M18" s="47">
        <v>6.3040000000000003</v>
      </c>
      <c r="N18" s="47">
        <v>0</v>
      </c>
      <c r="O18" s="47">
        <v>0</v>
      </c>
      <c r="P18" s="48">
        <v>23.477399999999001</v>
      </c>
      <c r="Q18" s="70" t="s">
        <v>214</v>
      </c>
    </row>
    <row r="19" spans="1:17" ht="14.45" customHeight="1" x14ac:dyDescent="0.2">
      <c r="A19" s="15" t="s">
        <v>22</v>
      </c>
      <c r="B19" s="46">
        <v>856.89775327213999</v>
      </c>
      <c r="C19" s="47">
        <v>71.408146106011003</v>
      </c>
      <c r="D19" s="47">
        <v>50.89781</v>
      </c>
      <c r="E19" s="47">
        <v>143.63566</v>
      </c>
      <c r="F19" s="47">
        <v>50.788009999998998</v>
      </c>
      <c r="G19" s="47">
        <v>101.04617</v>
      </c>
      <c r="H19" s="47">
        <v>48.031770000000002</v>
      </c>
      <c r="I19" s="47">
        <v>52.370809999998997</v>
      </c>
      <c r="J19" s="47">
        <v>12.18103</v>
      </c>
      <c r="K19" s="47">
        <v>28.385670000000001</v>
      </c>
      <c r="L19" s="47">
        <v>13.311569999999</v>
      </c>
      <c r="M19" s="47">
        <v>126.41378</v>
      </c>
      <c r="N19" s="47">
        <v>0</v>
      </c>
      <c r="O19" s="47">
        <v>0</v>
      </c>
      <c r="P19" s="48">
        <v>627.06227999999999</v>
      </c>
      <c r="Q19" s="70">
        <v>0.87813829961199996</v>
      </c>
    </row>
    <row r="20" spans="1:17" ht="14.45" customHeight="1" x14ac:dyDescent="0.2">
      <c r="A20" s="15" t="s">
        <v>23</v>
      </c>
      <c r="B20" s="46">
        <v>36261.519646000001</v>
      </c>
      <c r="C20" s="47">
        <v>3021.7933038333399</v>
      </c>
      <c r="D20" s="47">
        <v>3048.3857700000099</v>
      </c>
      <c r="E20" s="47">
        <v>2866.5228200000101</v>
      </c>
      <c r="F20" s="47">
        <v>2920.9387899999901</v>
      </c>
      <c r="G20" s="47">
        <v>2951.8133399999901</v>
      </c>
      <c r="H20" s="47">
        <v>2851.09112</v>
      </c>
      <c r="I20" s="47">
        <v>2928.31175999999</v>
      </c>
      <c r="J20" s="47">
        <v>4357.1903000000002</v>
      </c>
      <c r="K20" s="47">
        <v>2998.2176300000101</v>
      </c>
      <c r="L20" s="47">
        <v>2926.2136099999898</v>
      </c>
      <c r="M20" s="47">
        <v>2921.2983399999998</v>
      </c>
      <c r="N20" s="47">
        <v>0</v>
      </c>
      <c r="O20" s="47">
        <v>0</v>
      </c>
      <c r="P20" s="48">
        <v>30769.983479999999</v>
      </c>
      <c r="Q20" s="70">
        <v>1.018268967667</v>
      </c>
    </row>
    <row r="21" spans="1:17" ht="14.45" customHeight="1" x14ac:dyDescent="0.2">
      <c r="A21" s="16" t="s">
        <v>24</v>
      </c>
      <c r="B21" s="46">
        <v>686.99999999999</v>
      </c>
      <c r="C21" s="47">
        <v>57.249999999998998</v>
      </c>
      <c r="D21" s="47">
        <v>58.864829999999998</v>
      </c>
      <c r="E21" s="47">
        <v>58.864780000000003</v>
      </c>
      <c r="F21" s="47">
        <v>58.864789999998997</v>
      </c>
      <c r="G21" s="47">
        <v>58.864769999998998</v>
      </c>
      <c r="H21" s="47">
        <v>58.863790000000002</v>
      </c>
      <c r="I21" s="47">
        <v>58.863789999999</v>
      </c>
      <c r="J21" s="47">
        <v>60.68779</v>
      </c>
      <c r="K21" s="47">
        <v>60.685740000000003</v>
      </c>
      <c r="L21" s="47">
        <v>62.086559999998997</v>
      </c>
      <c r="M21" s="47">
        <v>62.093260000000001</v>
      </c>
      <c r="N21" s="47">
        <v>0</v>
      </c>
      <c r="O21" s="47">
        <v>0</v>
      </c>
      <c r="P21" s="48">
        <v>598.74009999999896</v>
      </c>
      <c r="Q21" s="70">
        <v>1.0458342358070001</v>
      </c>
    </row>
    <row r="22" spans="1:17" ht="14.45" customHeight="1" x14ac:dyDescent="0.2">
      <c r="A22" s="15" t="s">
        <v>25</v>
      </c>
      <c r="B22" s="46">
        <v>34</v>
      </c>
      <c r="C22" s="47">
        <v>2.833333333333</v>
      </c>
      <c r="D22" s="47">
        <v>0</v>
      </c>
      <c r="E22" s="47">
        <v>0</v>
      </c>
      <c r="F22" s="47">
        <v>34.111719999999004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7.5503999999989997</v>
      </c>
      <c r="M22" s="47">
        <v>0</v>
      </c>
      <c r="N22" s="47">
        <v>0</v>
      </c>
      <c r="O22" s="47">
        <v>0</v>
      </c>
      <c r="P22" s="48">
        <v>41.662119999999</v>
      </c>
      <c r="Q22" s="70">
        <v>1.4704277647049999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-7.2759576141834308E-12</v>
      </c>
      <c r="C24" s="47">
        <v>-9.0949470177292804E-13</v>
      </c>
      <c r="D24" s="47">
        <v>0.26386999999900002</v>
      </c>
      <c r="E24" s="47">
        <v>9.3497599999999998</v>
      </c>
      <c r="F24" s="47">
        <v>-7.0999999900000002E-4</v>
      </c>
      <c r="G24" s="47">
        <v>8.1331199999999999</v>
      </c>
      <c r="H24" s="47">
        <v>2.832849999999</v>
      </c>
      <c r="I24" s="47">
        <v>4.5999999900000002E-4</v>
      </c>
      <c r="J24" s="47">
        <v>6.4000000200000004E-4</v>
      </c>
      <c r="K24" s="47">
        <v>5.5999999899999995E-4</v>
      </c>
      <c r="L24" s="47">
        <v>29.760559999999</v>
      </c>
      <c r="M24" s="47">
        <v>1.9499999999990001</v>
      </c>
      <c r="N24" s="47">
        <v>0</v>
      </c>
      <c r="O24" s="47">
        <v>0</v>
      </c>
      <c r="P24" s="48">
        <v>52.291110000000003</v>
      </c>
      <c r="Q24" s="70"/>
    </row>
    <row r="25" spans="1:17" ht="14.45" customHeight="1" x14ac:dyDescent="0.2">
      <c r="A25" s="17" t="s">
        <v>28</v>
      </c>
      <c r="B25" s="49">
        <v>44081.825360797702</v>
      </c>
      <c r="C25" s="50">
        <v>3673.4854467331402</v>
      </c>
      <c r="D25" s="50">
        <v>3765.9659300000098</v>
      </c>
      <c r="E25" s="50">
        <v>3738.5521800000101</v>
      </c>
      <c r="F25" s="50">
        <v>3700.1716799999899</v>
      </c>
      <c r="G25" s="50">
        <v>3837.6811499999799</v>
      </c>
      <c r="H25" s="50">
        <v>3829.3145599999998</v>
      </c>
      <c r="I25" s="50">
        <v>3685.0414499999902</v>
      </c>
      <c r="J25" s="50">
        <v>5265.7425899999998</v>
      </c>
      <c r="K25" s="50">
        <v>3475.1646000000101</v>
      </c>
      <c r="L25" s="50">
        <v>3544.3934899999799</v>
      </c>
      <c r="M25" s="50">
        <v>3706.7719099999999</v>
      </c>
      <c r="N25" s="50">
        <v>0</v>
      </c>
      <c r="O25" s="50">
        <v>0</v>
      </c>
      <c r="P25" s="51">
        <v>38548.79954</v>
      </c>
      <c r="Q25" s="71">
        <v>1.049379399999</v>
      </c>
    </row>
    <row r="26" spans="1:17" ht="14.45" customHeight="1" x14ac:dyDescent="0.2">
      <c r="A26" s="15" t="s">
        <v>29</v>
      </c>
      <c r="B26" s="46">
        <v>5001.2313214896103</v>
      </c>
      <c r="C26" s="47">
        <v>416.76927679080097</v>
      </c>
      <c r="D26" s="47">
        <v>418.27078000000103</v>
      </c>
      <c r="E26" s="47">
        <v>456.60629</v>
      </c>
      <c r="F26" s="47">
        <v>385.71699000000001</v>
      </c>
      <c r="G26" s="47">
        <v>478.41219000000001</v>
      </c>
      <c r="H26" s="47">
        <v>386.24930999999998</v>
      </c>
      <c r="I26" s="47">
        <v>594.39841000000001</v>
      </c>
      <c r="J26" s="47">
        <v>525.00604999999996</v>
      </c>
      <c r="K26" s="47">
        <v>373.24858</v>
      </c>
      <c r="L26" s="47">
        <v>376.01537000000002</v>
      </c>
      <c r="M26" s="47">
        <v>437.22987000000001</v>
      </c>
      <c r="N26" s="47">
        <v>0</v>
      </c>
      <c r="O26" s="47">
        <v>0</v>
      </c>
      <c r="P26" s="48">
        <v>4431.1538399999999</v>
      </c>
      <c r="Q26" s="70">
        <v>1.0632150896820001</v>
      </c>
    </row>
    <row r="27" spans="1:17" ht="14.45" customHeight="1" x14ac:dyDescent="0.2">
      <c r="A27" s="18" t="s">
        <v>30</v>
      </c>
      <c r="B27" s="49">
        <v>49083.056682287301</v>
      </c>
      <c r="C27" s="50">
        <v>4090.2547235239399</v>
      </c>
      <c r="D27" s="50">
        <v>4184.2367100000101</v>
      </c>
      <c r="E27" s="50">
        <v>4195.1584700000103</v>
      </c>
      <c r="F27" s="50">
        <v>4085.8886699999898</v>
      </c>
      <c r="G27" s="50">
        <v>4316.0933399999803</v>
      </c>
      <c r="H27" s="50">
        <v>4215.56387</v>
      </c>
      <c r="I27" s="50">
        <v>4279.4398599999904</v>
      </c>
      <c r="J27" s="50">
        <v>5790.7486399999998</v>
      </c>
      <c r="K27" s="50">
        <v>3848.41318000001</v>
      </c>
      <c r="L27" s="50">
        <v>3920.40885999998</v>
      </c>
      <c r="M27" s="50">
        <v>4144.0017799999996</v>
      </c>
      <c r="N27" s="50">
        <v>0</v>
      </c>
      <c r="O27" s="50">
        <v>0</v>
      </c>
      <c r="P27" s="51">
        <v>42979.953379999999</v>
      </c>
      <c r="Q27" s="71">
        <v>1.0507891631490001</v>
      </c>
    </row>
    <row r="28" spans="1:17" ht="14.45" customHeight="1" x14ac:dyDescent="0.2">
      <c r="A28" s="16" t="s">
        <v>31</v>
      </c>
      <c r="B28" s="46">
        <v>248.56998999883001</v>
      </c>
      <c r="C28" s="47">
        <v>20.714165833235</v>
      </c>
      <c r="D28" s="47">
        <v>30.227499999999999</v>
      </c>
      <c r="E28" s="47">
        <v>10.118679999999999</v>
      </c>
      <c r="F28" s="47">
        <v>0</v>
      </c>
      <c r="G28" s="47">
        <v>15.09506</v>
      </c>
      <c r="H28" s="47">
        <v>23.39716</v>
      </c>
      <c r="I28" s="47">
        <v>37.858609999999999</v>
      </c>
      <c r="J28" s="47">
        <v>47.946440000000003</v>
      </c>
      <c r="K28" s="47">
        <v>54.309330000000003</v>
      </c>
      <c r="L28" s="47">
        <v>16.716439999999999</v>
      </c>
      <c r="M28" s="47">
        <v>72.296869999999004</v>
      </c>
      <c r="N28" s="47">
        <v>0</v>
      </c>
      <c r="O28" s="47">
        <v>0</v>
      </c>
      <c r="P28" s="48">
        <v>307.96609000000001</v>
      </c>
      <c r="Q28" s="70">
        <v>1.486741452585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191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F5DF02B-1D6C-4592-8644-8372000E031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1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5" customHeight="1" thickBot="1" x14ac:dyDescent="0.25">
      <c r="A2" s="190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11" ht="14.45" customHeight="1" x14ac:dyDescent="0.2">
      <c r="A4" s="60"/>
      <c r="B4" s="293"/>
      <c r="C4" s="294"/>
      <c r="D4" s="294"/>
      <c r="E4" s="294"/>
      <c r="F4" s="297" t="s">
        <v>209</v>
      </c>
      <c r="G4" s="299" t="s">
        <v>39</v>
      </c>
      <c r="H4" s="112" t="s">
        <v>100</v>
      </c>
      <c r="I4" s="297" t="s">
        <v>40</v>
      </c>
      <c r="J4" s="299" t="s">
        <v>211</v>
      </c>
      <c r="K4" s="300" t="s">
        <v>212</v>
      </c>
    </row>
    <row r="5" spans="1:11" ht="39" thickBot="1" x14ac:dyDescent="0.2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98"/>
      <c r="G5" s="298"/>
      <c r="H5" s="25" t="s">
        <v>210</v>
      </c>
      <c r="I5" s="298"/>
      <c r="J5" s="298"/>
      <c r="K5" s="301"/>
    </row>
    <row r="6" spans="1:11" ht="14.45" customHeight="1" thickBot="1" x14ac:dyDescent="0.25">
      <c r="A6" s="388" t="s">
        <v>216</v>
      </c>
      <c r="B6" s="370">
        <v>40337.364752712398</v>
      </c>
      <c r="C6" s="370">
        <v>43662.309900000102</v>
      </c>
      <c r="D6" s="371">
        <v>3324.9451472876899</v>
      </c>
      <c r="E6" s="372">
        <v>1.082428417614</v>
      </c>
      <c r="F6" s="370">
        <v>44081.825360797702</v>
      </c>
      <c r="G6" s="371">
        <v>36734.854467331403</v>
      </c>
      <c r="H6" s="373">
        <v>3706.7719099999999</v>
      </c>
      <c r="I6" s="370">
        <v>38548.79954</v>
      </c>
      <c r="J6" s="371">
        <v>1813.9450726686</v>
      </c>
      <c r="K6" s="374">
        <v>0.87448283333200005</v>
      </c>
    </row>
    <row r="7" spans="1:11" ht="14.45" customHeight="1" thickBot="1" x14ac:dyDescent="0.25">
      <c r="A7" s="389" t="s">
        <v>217</v>
      </c>
      <c r="B7" s="370">
        <v>6479.0842917752998</v>
      </c>
      <c r="C7" s="370">
        <v>6303.7477500000095</v>
      </c>
      <c r="D7" s="371">
        <v>-175.336541775287</v>
      </c>
      <c r="E7" s="372">
        <v>0.97293806749800005</v>
      </c>
      <c r="F7" s="370">
        <v>6148.3834221635998</v>
      </c>
      <c r="G7" s="371">
        <v>5123.652851803</v>
      </c>
      <c r="H7" s="373">
        <v>588.71253000000002</v>
      </c>
      <c r="I7" s="370">
        <v>5796.6378399999903</v>
      </c>
      <c r="J7" s="371">
        <v>672.98498819699</v>
      </c>
      <c r="K7" s="374">
        <v>0.94279055842600001</v>
      </c>
    </row>
    <row r="8" spans="1:11" ht="14.45" customHeight="1" thickBot="1" x14ac:dyDescent="0.25">
      <c r="A8" s="390" t="s">
        <v>218</v>
      </c>
      <c r="B8" s="370">
        <v>6474.2887011052098</v>
      </c>
      <c r="C8" s="370">
        <v>6298.7507500000102</v>
      </c>
      <c r="D8" s="371">
        <v>-175.537951105198</v>
      </c>
      <c r="E8" s="372">
        <v>0.97288691326400001</v>
      </c>
      <c r="F8" s="370">
        <v>6141.8397063223802</v>
      </c>
      <c r="G8" s="371">
        <v>5118.1997552686498</v>
      </c>
      <c r="H8" s="373">
        <v>588.12653</v>
      </c>
      <c r="I8" s="370">
        <v>5790.82384</v>
      </c>
      <c r="J8" s="371">
        <v>672.62408473134803</v>
      </c>
      <c r="K8" s="374">
        <v>0.94284841625500004</v>
      </c>
    </row>
    <row r="9" spans="1:11" ht="14.45" customHeight="1" thickBot="1" x14ac:dyDescent="0.25">
      <c r="A9" s="391" t="s">
        <v>219</v>
      </c>
      <c r="B9" s="375">
        <v>0</v>
      </c>
      <c r="C9" s="375">
        <v>-1.31E-3</v>
      </c>
      <c r="D9" s="376">
        <v>-1.31E-3</v>
      </c>
      <c r="E9" s="377" t="s">
        <v>214</v>
      </c>
      <c r="F9" s="375">
        <v>0</v>
      </c>
      <c r="G9" s="376">
        <v>0</v>
      </c>
      <c r="H9" s="378">
        <v>0</v>
      </c>
      <c r="I9" s="375">
        <v>2.1800000000000001E-3</v>
      </c>
      <c r="J9" s="376">
        <v>2.1800000000000001E-3</v>
      </c>
      <c r="K9" s="379" t="s">
        <v>214</v>
      </c>
    </row>
    <row r="10" spans="1:11" ht="14.45" customHeight="1" thickBot="1" x14ac:dyDescent="0.25">
      <c r="A10" s="392" t="s">
        <v>220</v>
      </c>
      <c r="B10" s="370">
        <v>0</v>
      </c>
      <c r="C10" s="370">
        <v>-1.31E-3</v>
      </c>
      <c r="D10" s="371">
        <v>-1.31E-3</v>
      </c>
      <c r="E10" s="380" t="s">
        <v>214</v>
      </c>
      <c r="F10" s="370">
        <v>0</v>
      </c>
      <c r="G10" s="371">
        <v>0</v>
      </c>
      <c r="H10" s="373">
        <v>0</v>
      </c>
      <c r="I10" s="370">
        <v>2.1800000000000001E-3</v>
      </c>
      <c r="J10" s="371">
        <v>2.1800000000000001E-3</v>
      </c>
      <c r="K10" s="381" t="s">
        <v>214</v>
      </c>
    </row>
    <row r="11" spans="1:11" ht="14.45" customHeight="1" thickBot="1" x14ac:dyDescent="0.25">
      <c r="A11" s="391" t="s">
        <v>221</v>
      </c>
      <c r="B11" s="375">
        <v>179.72275757160401</v>
      </c>
      <c r="C11" s="375">
        <v>172.02681000000001</v>
      </c>
      <c r="D11" s="376">
        <v>-7.6959475716029999</v>
      </c>
      <c r="E11" s="382">
        <v>0.95717878094200004</v>
      </c>
      <c r="F11" s="375">
        <v>180</v>
      </c>
      <c r="G11" s="376">
        <v>150</v>
      </c>
      <c r="H11" s="378">
        <v>13.660679999999999</v>
      </c>
      <c r="I11" s="375">
        <v>137.81800999999999</v>
      </c>
      <c r="J11" s="376">
        <v>-12.181990000000001</v>
      </c>
      <c r="K11" s="383">
        <v>0.765655611111</v>
      </c>
    </row>
    <row r="12" spans="1:11" ht="14.45" customHeight="1" thickBot="1" x14ac:dyDescent="0.25">
      <c r="A12" s="392" t="s">
        <v>222</v>
      </c>
      <c r="B12" s="370">
        <v>179.72275757160401</v>
      </c>
      <c r="C12" s="370">
        <v>172.02681000000001</v>
      </c>
      <c r="D12" s="371">
        <v>-7.6959475716029999</v>
      </c>
      <c r="E12" s="372">
        <v>0.95717878094200004</v>
      </c>
      <c r="F12" s="370">
        <v>180</v>
      </c>
      <c r="G12" s="371">
        <v>150</v>
      </c>
      <c r="H12" s="373">
        <v>13.660679999999999</v>
      </c>
      <c r="I12" s="370">
        <v>137.81800999999999</v>
      </c>
      <c r="J12" s="371">
        <v>-12.181990000000001</v>
      </c>
      <c r="K12" s="374">
        <v>0.765655611111</v>
      </c>
    </row>
    <row r="13" spans="1:11" ht="14.45" customHeight="1" thickBot="1" x14ac:dyDescent="0.25">
      <c r="A13" s="391" t="s">
        <v>223</v>
      </c>
      <c r="B13" s="375">
        <v>5495.2196288160203</v>
      </c>
      <c r="C13" s="375">
        <v>5337.7118200000104</v>
      </c>
      <c r="D13" s="376">
        <v>-157.50780881601199</v>
      </c>
      <c r="E13" s="382">
        <v>0.97133730415599995</v>
      </c>
      <c r="F13" s="375">
        <v>5495</v>
      </c>
      <c r="G13" s="376">
        <v>4579.1666666666697</v>
      </c>
      <c r="H13" s="378">
        <v>488.69614999999999</v>
      </c>
      <c r="I13" s="375">
        <v>4939.8120900000004</v>
      </c>
      <c r="J13" s="376">
        <v>360.64542333332901</v>
      </c>
      <c r="K13" s="383">
        <v>0.898964893539</v>
      </c>
    </row>
    <row r="14" spans="1:11" ht="14.45" customHeight="1" thickBot="1" x14ac:dyDescent="0.25">
      <c r="A14" s="392" t="s">
        <v>224</v>
      </c>
      <c r="B14" s="370">
        <v>4565</v>
      </c>
      <c r="C14" s="370">
        <v>4450.9273800000101</v>
      </c>
      <c r="D14" s="371">
        <v>-114.07261999999101</v>
      </c>
      <c r="E14" s="372">
        <v>0.97501147426000001</v>
      </c>
      <c r="F14" s="370">
        <v>4565</v>
      </c>
      <c r="G14" s="371">
        <v>3804.1666666666702</v>
      </c>
      <c r="H14" s="373">
        <v>432.06891000000002</v>
      </c>
      <c r="I14" s="370">
        <v>4173.2677599999997</v>
      </c>
      <c r="J14" s="371">
        <v>369.101093333329</v>
      </c>
      <c r="K14" s="374">
        <v>0.91418789923300003</v>
      </c>
    </row>
    <row r="15" spans="1:11" ht="14.45" customHeight="1" thickBot="1" x14ac:dyDescent="0.25">
      <c r="A15" s="392" t="s">
        <v>225</v>
      </c>
      <c r="B15" s="370">
        <v>620</v>
      </c>
      <c r="C15" s="370">
        <v>564.49549000000104</v>
      </c>
      <c r="D15" s="371">
        <v>-55.504509999999001</v>
      </c>
      <c r="E15" s="372">
        <v>0.91047659677399995</v>
      </c>
      <c r="F15" s="370">
        <v>590</v>
      </c>
      <c r="G15" s="371">
        <v>491.66666666666703</v>
      </c>
      <c r="H15" s="373">
        <v>36.792110000000001</v>
      </c>
      <c r="I15" s="370">
        <v>514.77605999999901</v>
      </c>
      <c r="J15" s="371">
        <v>23.109393333332001</v>
      </c>
      <c r="K15" s="374">
        <v>0.87250179661000005</v>
      </c>
    </row>
    <row r="16" spans="1:11" ht="14.45" customHeight="1" thickBot="1" x14ac:dyDescent="0.25">
      <c r="A16" s="392" t="s">
        <v>226</v>
      </c>
      <c r="B16" s="370">
        <v>20</v>
      </c>
      <c r="C16" s="370">
        <v>16.656790000000001</v>
      </c>
      <c r="D16" s="371">
        <v>-3.3432099999989999</v>
      </c>
      <c r="E16" s="372">
        <v>0.83283949999999995</v>
      </c>
      <c r="F16" s="370">
        <v>20</v>
      </c>
      <c r="G16" s="371">
        <v>16.666666666666</v>
      </c>
      <c r="H16" s="373">
        <v>2.2630599999999998</v>
      </c>
      <c r="I16" s="370">
        <v>16.583410000000001</v>
      </c>
      <c r="J16" s="371">
        <v>-8.3256666665999998E-2</v>
      </c>
      <c r="K16" s="374">
        <v>0.82917049999900005</v>
      </c>
    </row>
    <row r="17" spans="1:11" ht="14.45" customHeight="1" thickBot="1" x14ac:dyDescent="0.25">
      <c r="A17" s="392" t="s">
        <v>227</v>
      </c>
      <c r="B17" s="370">
        <v>260</v>
      </c>
      <c r="C17" s="370">
        <v>286.48586000000103</v>
      </c>
      <c r="D17" s="371">
        <v>26.485859999999999</v>
      </c>
      <c r="E17" s="372">
        <v>1.101868692307</v>
      </c>
      <c r="F17" s="370">
        <v>300</v>
      </c>
      <c r="G17" s="371">
        <v>250</v>
      </c>
      <c r="H17" s="373">
        <v>15.46307</v>
      </c>
      <c r="I17" s="370">
        <v>219.09119999999999</v>
      </c>
      <c r="J17" s="371">
        <v>-30.908799999999999</v>
      </c>
      <c r="K17" s="374">
        <v>0.73030399999999995</v>
      </c>
    </row>
    <row r="18" spans="1:11" ht="14.45" customHeight="1" thickBot="1" x14ac:dyDescent="0.25">
      <c r="A18" s="392" t="s">
        <v>228</v>
      </c>
      <c r="B18" s="370">
        <v>0.219628816023</v>
      </c>
      <c r="C18" s="370">
        <v>0</v>
      </c>
      <c r="D18" s="371">
        <v>-0.219628816023</v>
      </c>
      <c r="E18" s="372">
        <v>0</v>
      </c>
      <c r="F18" s="370">
        <v>0</v>
      </c>
      <c r="G18" s="371">
        <v>0</v>
      </c>
      <c r="H18" s="373">
        <v>0</v>
      </c>
      <c r="I18" s="370">
        <v>0</v>
      </c>
      <c r="J18" s="371">
        <v>0</v>
      </c>
      <c r="K18" s="374">
        <v>10</v>
      </c>
    </row>
    <row r="19" spans="1:11" ht="14.45" customHeight="1" thickBot="1" x14ac:dyDescent="0.25">
      <c r="A19" s="392" t="s">
        <v>229</v>
      </c>
      <c r="B19" s="370">
        <v>30</v>
      </c>
      <c r="C19" s="370">
        <v>19.1463</v>
      </c>
      <c r="D19" s="371">
        <v>-10.8537</v>
      </c>
      <c r="E19" s="372">
        <v>0.63821000000000006</v>
      </c>
      <c r="F19" s="370">
        <v>20</v>
      </c>
      <c r="G19" s="371">
        <v>16.666666666666</v>
      </c>
      <c r="H19" s="373">
        <v>2.109</v>
      </c>
      <c r="I19" s="370">
        <v>16.09366</v>
      </c>
      <c r="J19" s="371">
        <v>-0.57300666666599998</v>
      </c>
      <c r="K19" s="374">
        <v>0.80468299999899995</v>
      </c>
    </row>
    <row r="20" spans="1:11" ht="14.45" customHeight="1" thickBot="1" x14ac:dyDescent="0.25">
      <c r="A20" s="391" t="s">
        <v>230</v>
      </c>
      <c r="B20" s="375">
        <v>745.94810342407402</v>
      </c>
      <c r="C20" s="375">
        <v>729.32803000000104</v>
      </c>
      <c r="D20" s="376">
        <v>-16.620073424072999</v>
      </c>
      <c r="E20" s="382">
        <v>0.97771953122699995</v>
      </c>
      <c r="F20" s="375">
        <v>411.79180243616997</v>
      </c>
      <c r="G20" s="376">
        <v>343.159835363475</v>
      </c>
      <c r="H20" s="378">
        <v>83.966700000000003</v>
      </c>
      <c r="I20" s="375">
        <v>651.42269999999996</v>
      </c>
      <c r="J20" s="376">
        <v>308.26286463652502</v>
      </c>
      <c r="K20" s="383">
        <v>1.5819224572849999</v>
      </c>
    </row>
    <row r="21" spans="1:11" ht="14.45" customHeight="1" thickBot="1" x14ac:dyDescent="0.25">
      <c r="A21" s="392" t="s">
        <v>231</v>
      </c>
      <c r="B21" s="370">
        <v>0</v>
      </c>
      <c r="C21" s="370">
        <v>0</v>
      </c>
      <c r="D21" s="371">
        <v>0</v>
      </c>
      <c r="E21" s="372">
        <v>0</v>
      </c>
      <c r="F21" s="370">
        <v>0</v>
      </c>
      <c r="G21" s="371">
        <v>0</v>
      </c>
      <c r="H21" s="373">
        <v>0</v>
      </c>
      <c r="I21" s="370">
        <v>1.089</v>
      </c>
      <c r="J21" s="371">
        <v>1.089</v>
      </c>
      <c r="K21" s="381" t="s">
        <v>214</v>
      </c>
    </row>
    <row r="22" spans="1:11" ht="14.45" customHeight="1" thickBot="1" x14ac:dyDescent="0.25">
      <c r="A22" s="392" t="s">
        <v>232</v>
      </c>
      <c r="B22" s="370">
        <v>10</v>
      </c>
      <c r="C22" s="370">
        <v>8.86313</v>
      </c>
      <c r="D22" s="371">
        <v>-1.136869999999</v>
      </c>
      <c r="E22" s="372">
        <v>0.88631300000000002</v>
      </c>
      <c r="F22" s="370">
        <v>10</v>
      </c>
      <c r="G22" s="371">
        <v>8.333333333333</v>
      </c>
      <c r="H22" s="373">
        <v>0.71550999999999998</v>
      </c>
      <c r="I22" s="370">
        <v>6.3665499999990001</v>
      </c>
      <c r="J22" s="371">
        <v>-1.966783333333</v>
      </c>
      <c r="K22" s="374">
        <v>0.63665499999899999</v>
      </c>
    </row>
    <row r="23" spans="1:11" ht="14.45" customHeight="1" thickBot="1" x14ac:dyDescent="0.25">
      <c r="A23" s="392" t="s">
        <v>233</v>
      </c>
      <c r="B23" s="370">
        <v>13.003130711428</v>
      </c>
      <c r="C23" s="370">
        <v>21.885300000000001</v>
      </c>
      <c r="D23" s="371">
        <v>8.8821692885709993</v>
      </c>
      <c r="E23" s="372">
        <v>1.6830792895710001</v>
      </c>
      <c r="F23" s="370">
        <v>20</v>
      </c>
      <c r="G23" s="371">
        <v>16.666666666666</v>
      </c>
      <c r="H23" s="373">
        <v>1.3915</v>
      </c>
      <c r="I23" s="370">
        <v>21.611920000000001</v>
      </c>
      <c r="J23" s="371">
        <v>4.9452533333330004</v>
      </c>
      <c r="K23" s="374">
        <v>1.0805959999999999</v>
      </c>
    </row>
    <row r="24" spans="1:11" ht="14.45" customHeight="1" thickBot="1" x14ac:dyDescent="0.25">
      <c r="A24" s="392" t="s">
        <v>234</v>
      </c>
      <c r="B24" s="370">
        <v>107</v>
      </c>
      <c r="C24" s="370">
        <v>82.385459999999995</v>
      </c>
      <c r="D24" s="371">
        <v>-24.614539999999</v>
      </c>
      <c r="E24" s="372">
        <v>0.76995757009300003</v>
      </c>
      <c r="F24" s="370">
        <v>90</v>
      </c>
      <c r="G24" s="371">
        <v>75</v>
      </c>
      <c r="H24" s="373">
        <v>7.8220400000000003</v>
      </c>
      <c r="I24" s="370">
        <v>57.847920000000002</v>
      </c>
      <c r="J24" s="371">
        <v>-17.152080000000002</v>
      </c>
      <c r="K24" s="374">
        <v>0.64275466666600001</v>
      </c>
    </row>
    <row r="25" spans="1:11" ht="14.45" customHeight="1" thickBot="1" x14ac:dyDescent="0.25">
      <c r="A25" s="392" t="s">
        <v>235</v>
      </c>
      <c r="B25" s="370">
        <v>0</v>
      </c>
      <c r="C25" s="370">
        <v>0</v>
      </c>
      <c r="D25" s="371">
        <v>0</v>
      </c>
      <c r="E25" s="372">
        <v>1</v>
      </c>
      <c r="F25" s="370">
        <v>0</v>
      </c>
      <c r="G25" s="371">
        <v>0</v>
      </c>
      <c r="H25" s="373">
        <v>0</v>
      </c>
      <c r="I25" s="370">
        <v>0.44790000000000002</v>
      </c>
      <c r="J25" s="371">
        <v>0.44790000000000002</v>
      </c>
      <c r="K25" s="381" t="s">
        <v>236</v>
      </c>
    </row>
    <row r="26" spans="1:11" ht="14.45" customHeight="1" thickBot="1" x14ac:dyDescent="0.25">
      <c r="A26" s="392" t="s">
        <v>237</v>
      </c>
      <c r="B26" s="370">
        <v>199.31178873797401</v>
      </c>
      <c r="C26" s="370">
        <v>135.93555000000001</v>
      </c>
      <c r="D26" s="371">
        <v>-63.376238737972997</v>
      </c>
      <c r="E26" s="372">
        <v>0.68202463517400003</v>
      </c>
      <c r="F26" s="370">
        <v>121.79180243616899</v>
      </c>
      <c r="G26" s="371">
        <v>101.493168696808</v>
      </c>
      <c r="H26" s="373">
        <v>24.842690000000001</v>
      </c>
      <c r="I26" s="370">
        <v>170.01354000000001</v>
      </c>
      <c r="J26" s="371">
        <v>68.520371303191993</v>
      </c>
      <c r="K26" s="374">
        <v>1.395935823259</v>
      </c>
    </row>
    <row r="27" spans="1:11" ht="14.45" customHeight="1" thickBot="1" x14ac:dyDescent="0.25">
      <c r="A27" s="392" t="s">
        <v>238</v>
      </c>
      <c r="B27" s="370">
        <v>166</v>
      </c>
      <c r="C27" s="370">
        <v>185.01132999999999</v>
      </c>
      <c r="D27" s="371">
        <v>19.011330000000001</v>
      </c>
      <c r="E27" s="372">
        <v>1.114526084337</v>
      </c>
      <c r="F27" s="370">
        <v>170</v>
      </c>
      <c r="G27" s="371">
        <v>141.666666666667</v>
      </c>
      <c r="H27" s="373">
        <v>26.613939999999999</v>
      </c>
      <c r="I27" s="370">
        <v>157.32873000000001</v>
      </c>
      <c r="J27" s="371">
        <v>15.662063333333</v>
      </c>
      <c r="K27" s="374">
        <v>0.92546311764699996</v>
      </c>
    </row>
    <row r="28" spans="1:11" ht="14.45" customHeight="1" thickBot="1" x14ac:dyDescent="0.25">
      <c r="A28" s="392" t="s">
        <v>239</v>
      </c>
      <c r="B28" s="370">
        <v>250.63318397467199</v>
      </c>
      <c r="C28" s="370">
        <v>295.24725999999998</v>
      </c>
      <c r="D28" s="371">
        <v>44.614076025328004</v>
      </c>
      <c r="E28" s="372">
        <v>1.178005463274</v>
      </c>
      <c r="F28" s="370">
        <v>0</v>
      </c>
      <c r="G28" s="371">
        <v>0</v>
      </c>
      <c r="H28" s="373">
        <v>22.581019999999999</v>
      </c>
      <c r="I28" s="370">
        <v>236.71714</v>
      </c>
      <c r="J28" s="371">
        <v>236.71714</v>
      </c>
      <c r="K28" s="381" t="s">
        <v>214</v>
      </c>
    </row>
    <row r="29" spans="1:11" ht="14.45" customHeight="1" thickBot="1" x14ac:dyDescent="0.25">
      <c r="A29" s="391" t="s">
        <v>240</v>
      </c>
      <c r="B29" s="375">
        <v>36.149172305333998</v>
      </c>
      <c r="C29" s="375">
        <v>45.733629999999998</v>
      </c>
      <c r="D29" s="376">
        <v>9.5844576946649997</v>
      </c>
      <c r="E29" s="382">
        <v>1.2651362972769999</v>
      </c>
      <c r="F29" s="375">
        <v>53.047903886206001</v>
      </c>
      <c r="G29" s="376">
        <v>44.206586571838997</v>
      </c>
      <c r="H29" s="378">
        <v>1.8029999999999999</v>
      </c>
      <c r="I29" s="375">
        <v>51.908159999999</v>
      </c>
      <c r="J29" s="376">
        <v>7.7015734281599997</v>
      </c>
      <c r="K29" s="383">
        <v>0.97851481768899995</v>
      </c>
    </row>
    <row r="30" spans="1:11" ht="14.45" customHeight="1" thickBot="1" x14ac:dyDescent="0.25">
      <c r="A30" s="392" t="s">
        <v>241</v>
      </c>
      <c r="B30" s="370">
        <v>5.4022338968539998</v>
      </c>
      <c r="C30" s="370">
        <v>3.5139999999999998</v>
      </c>
      <c r="D30" s="371">
        <v>-1.888233896854</v>
      </c>
      <c r="E30" s="372">
        <v>0.65047165063400003</v>
      </c>
      <c r="F30" s="370">
        <v>6.2158280262090004</v>
      </c>
      <c r="G30" s="371">
        <v>5.1798566885069999</v>
      </c>
      <c r="H30" s="373">
        <v>1.8029999999999999</v>
      </c>
      <c r="I30" s="370">
        <v>1.8029999999999999</v>
      </c>
      <c r="J30" s="371">
        <v>-3.3768566885069999</v>
      </c>
      <c r="K30" s="374">
        <v>0.29006594011199999</v>
      </c>
    </row>
    <row r="31" spans="1:11" ht="14.45" customHeight="1" thickBot="1" x14ac:dyDescent="0.25">
      <c r="A31" s="392" t="s">
        <v>242</v>
      </c>
      <c r="B31" s="370">
        <v>30.746938408479</v>
      </c>
      <c r="C31" s="370">
        <v>41.77563</v>
      </c>
      <c r="D31" s="371">
        <v>11.028691591519999</v>
      </c>
      <c r="E31" s="372">
        <v>1.3586923499500001</v>
      </c>
      <c r="F31" s="370">
        <v>46.030323899541997</v>
      </c>
      <c r="G31" s="371">
        <v>38.358603249618</v>
      </c>
      <c r="H31" s="373">
        <v>0</v>
      </c>
      <c r="I31" s="370">
        <v>50.105159999999003</v>
      </c>
      <c r="J31" s="371">
        <v>11.746556750381</v>
      </c>
      <c r="K31" s="374">
        <v>1.088525036437</v>
      </c>
    </row>
    <row r="32" spans="1:11" ht="14.45" customHeight="1" thickBot="1" x14ac:dyDescent="0.25">
      <c r="A32" s="392" t="s">
        <v>243</v>
      </c>
      <c r="B32" s="370">
        <v>0</v>
      </c>
      <c r="C32" s="370">
        <v>0.44400000000000001</v>
      </c>
      <c r="D32" s="371">
        <v>0.44400000000000001</v>
      </c>
      <c r="E32" s="380" t="s">
        <v>236</v>
      </c>
      <c r="F32" s="370">
        <v>0.80175196045499997</v>
      </c>
      <c r="G32" s="371">
        <v>0.66812663371199998</v>
      </c>
      <c r="H32" s="373">
        <v>0</v>
      </c>
      <c r="I32" s="370">
        <v>0</v>
      </c>
      <c r="J32" s="371">
        <v>-0.66812663371199998</v>
      </c>
      <c r="K32" s="374">
        <v>0</v>
      </c>
    </row>
    <row r="33" spans="1:11" ht="14.45" customHeight="1" thickBot="1" x14ac:dyDescent="0.25">
      <c r="A33" s="391" t="s">
        <v>244</v>
      </c>
      <c r="B33" s="375">
        <v>17.249038988174</v>
      </c>
      <c r="C33" s="375">
        <v>13.95177</v>
      </c>
      <c r="D33" s="376">
        <v>-3.2972689881739998</v>
      </c>
      <c r="E33" s="382">
        <v>0.80884332220199995</v>
      </c>
      <c r="F33" s="375">
        <v>2</v>
      </c>
      <c r="G33" s="376">
        <v>1.6666666666659999</v>
      </c>
      <c r="H33" s="378">
        <v>0</v>
      </c>
      <c r="I33" s="375">
        <v>9.5966999999990001</v>
      </c>
      <c r="J33" s="376">
        <v>7.9300333333330002</v>
      </c>
      <c r="K33" s="383">
        <v>4.7983500000000001</v>
      </c>
    </row>
    <row r="34" spans="1:11" ht="14.45" customHeight="1" thickBot="1" x14ac:dyDescent="0.25">
      <c r="A34" s="392" t="s">
        <v>245</v>
      </c>
      <c r="B34" s="370">
        <v>0</v>
      </c>
      <c r="C34" s="370">
        <v>0.34848000000000001</v>
      </c>
      <c r="D34" s="371">
        <v>0.34848000000000001</v>
      </c>
      <c r="E34" s="380" t="s">
        <v>214</v>
      </c>
      <c r="F34" s="370">
        <v>0</v>
      </c>
      <c r="G34" s="371">
        <v>0</v>
      </c>
      <c r="H34" s="373">
        <v>0</v>
      </c>
      <c r="I34" s="370">
        <v>0</v>
      </c>
      <c r="J34" s="371">
        <v>0</v>
      </c>
      <c r="K34" s="381" t="s">
        <v>214</v>
      </c>
    </row>
    <row r="35" spans="1:11" ht="14.45" customHeight="1" thickBot="1" x14ac:dyDescent="0.25">
      <c r="A35" s="392" t="s">
        <v>246</v>
      </c>
      <c r="B35" s="370">
        <v>15.249038988174</v>
      </c>
      <c r="C35" s="370">
        <v>12.46893</v>
      </c>
      <c r="D35" s="371">
        <v>-2.7801089881740002</v>
      </c>
      <c r="E35" s="372">
        <v>0.81768628237200003</v>
      </c>
      <c r="F35" s="370">
        <v>0</v>
      </c>
      <c r="G35" s="371">
        <v>0</v>
      </c>
      <c r="H35" s="373">
        <v>0</v>
      </c>
      <c r="I35" s="370">
        <v>8.2121499999999994</v>
      </c>
      <c r="J35" s="371">
        <v>8.2121499999999994</v>
      </c>
      <c r="K35" s="381" t="s">
        <v>214</v>
      </c>
    </row>
    <row r="36" spans="1:11" ht="14.45" customHeight="1" thickBot="1" x14ac:dyDescent="0.25">
      <c r="A36" s="392" t="s">
        <v>247</v>
      </c>
      <c r="B36" s="370">
        <v>2</v>
      </c>
      <c r="C36" s="370">
        <v>1.13436</v>
      </c>
      <c r="D36" s="371">
        <v>-0.86563999999899999</v>
      </c>
      <c r="E36" s="372">
        <v>0.56718000000000002</v>
      </c>
      <c r="F36" s="370">
        <v>2</v>
      </c>
      <c r="G36" s="371">
        <v>1.6666666666659999</v>
      </c>
      <c r="H36" s="373">
        <v>0</v>
      </c>
      <c r="I36" s="370">
        <v>1.3845499999999999</v>
      </c>
      <c r="J36" s="371">
        <v>-0.28211666666599999</v>
      </c>
      <c r="K36" s="374">
        <v>0.692274999999</v>
      </c>
    </row>
    <row r="37" spans="1:11" ht="14.45" customHeight="1" thickBot="1" x14ac:dyDescent="0.25">
      <c r="A37" s="391" t="s">
        <v>248</v>
      </c>
      <c r="B37" s="375">
        <v>0</v>
      </c>
      <c r="C37" s="375">
        <v>0</v>
      </c>
      <c r="D37" s="376">
        <v>0</v>
      </c>
      <c r="E37" s="382">
        <v>1</v>
      </c>
      <c r="F37" s="375">
        <v>0</v>
      </c>
      <c r="G37" s="376">
        <v>0</v>
      </c>
      <c r="H37" s="378">
        <v>0</v>
      </c>
      <c r="I37" s="375">
        <v>0.26400000000000001</v>
      </c>
      <c r="J37" s="376">
        <v>0.26400000000000001</v>
      </c>
      <c r="K37" s="379" t="s">
        <v>236</v>
      </c>
    </row>
    <row r="38" spans="1:11" ht="14.45" customHeight="1" thickBot="1" x14ac:dyDescent="0.25">
      <c r="A38" s="392" t="s">
        <v>249</v>
      </c>
      <c r="B38" s="370">
        <v>0</v>
      </c>
      <c r="C38" s="370">
        <v>0</v>
      </c>
      <c r="D38" s="371">
        <v>0</v>
      </c>
      <c r="E38" s="372">
        <v>1</v>
      </c>
      <c r="F38" s="370">
        <v>0</v>
      </c>
      <c r="G38" s="371">
        <v>0</v>
      </c>
      <c r="H38" s="373">
        <v>0</v>
      </c>
      <c r="I38" s="370">
        <v>0.26400000000000001</v>
      </c>
      <c r="J38" s="371">
        <v>0.26400000000000001</v>
      </c>
      <c r="K38" s="381" t="s">
        <v>236</v>
      </c>
    </row>
    <row r="39" spans="1:11" ht="14.45" customHeight="1" thickBot="1" x14ac:dyDescent="0.25">
      <c r="A39" s="390" t="s">
        <v>17</v>
      </c>
      <c r="B39" s="370">
        <v>4.7955906700890001</v>
      </c>
      <c r="C39" s="370">
        <v>4.9969999999999999</v>
      </c>
      <c r="D39" s="371">
        <v>0.20140932990999999</v>
      </c>
      <c r="E39" s="372">
        <v>1.0419988576520001</v>
      </c>
      <c r="F39" s="370">
        <v>6.5437158412269998</v>
      </c>
      <c r="G39" s="371">
        <v>5.4530965343559998</v>
      </c>
      <c r="H39" s="373">
        <v>0.58599999999999997</v>
      </c>
      <c r="I39" s="370">
        <v>5.8140000000000001</v>
      </c>
      <c r="J39" s="371">
        <v>0.36090346564300002</v>
      </c>
      <c r="K39" s="374">
        <v>0.88848601330900001</v>
      </c>
    </row>
    <row r="40" spans="1:11" ht="14.45" customHeight="1" thickBot="1" x14ac:dyDescent="0.25">
      <c r="A40" s="391" t="s">
        <v>250</v>
      </c>
      <c r="B40" s="375">
        <v>4.7955906700890001</v>
      </c>
      <c r="C40" s="375">
        <v>4.9969999999999999</v>
      </c>
      <c r="D40" s="376">
        <v>0.20140932990999999</v>
      </c>
      <c r="E40" s="382">
        <v>1.0419988576520001</v>
      </c>
      <c r="F40" s="375">
        <v>6.5437158412269998</v>
      </c>
      <c r="G40" s="376">
        <v>5.4530965343559998</v>
      </c>
      <c r="H40" s="378">
        <v>0.58599999999999997</v>
      </c>
      <c r="I40" s="375">
        <v>5.8140000000000001</v>
      </c>
      <c r="J40" s="376">
        <v>0.36090346564300002</v>
      </c>
      <c r="K40" s="383">
        <v>0.88848601330900001</v>
      </c>
    </row>
    <row r="41" spans="1:11" ht="14.45" customHeight="1" thickBot="1" x14ac:dyDescent="0.25">
      <c r="A41" s="392" t="s">
        <v>251</v>
      </c>
      <c r="B41" s="370">
        <v>4.7955906700890001</v>
      </c>
      <c r="C41" s="370">
        <v>4.9969999999999999</v>
      </c>
      <c r="D41" s="371">
        <v>0.20140932990999999</v>
      </c>
      <c r="E41" s="372">
        <v>1.0419988576520001</v>
      </c>
      <c r="F41" s="370">
        <v>6.5437158412269998</v>
      </c>
      <c r="G41" s="371">
        <v>5.4530965343559998</v>
      </c>
      <c r="H41" s="373">
        <v>0.58599999999999997</v>
      </c>
      <c r="I41" s="370">
        <v>5.8140000000000001</v>
      </c>
      <c r="J41" s="371">
        <v>0.36090346564300002</v>
      </c>
      <c r="K41" s="374">
        <v>0.88848601330900001</v>
      </c>
    </row>
    <row r="42" spans="1:11" ht="14.45" customHeight="1" thickBot="1" x14ac:dyDescent="0.25">
      <c r="A42" s="393" t="s">
        <v>252</v>
      </c>
      <c r="B42" s="375">
        <v>698.32211929182802</v>
      </c>
      <c r="C42" s="375">
        <v>1033.39303</v>
      </c>
      <c r="D42" s="376">
        <v>335.07091070817398</v>
      </c>
      <c r="E42" s="382">
        <v>1.479822851734</v>
      </c>
      <c r="F42" s="375">
        <v>950.92229263403203</v>
      </c>
      <c r="G42" s="376">
        <v>792.43524386169395</v>
      </c>
      <c r="H42" s="378">
        <v>132.71778</v>
      </c>
      <c r="I42" s="375">
        <v>1289.75107</v>
      </c>
      <c r="J42" s="376">
        <v>497.31582613830602</v>
      </c>
      <c r="K42" s="383">
        <v>1.3563159471499999</v>
      </c>
    </row>
    <row r="43" spans="1:11" ht="14.45" customHeight="1" thickBot="1" x14ac:dyDescent="0.25">
      <c r="A43" s="390" t="s">
        <v>20</v>
      </c>
      <c r="B43" s="370">
        <v>226.16810232862699</v>
      </c>
      <c r="C43" s="370">
        <v>141.014000000001</v>
      </c>
      <c r="D43" s="371">
        <v>-85.154102328625996</v>
      </c>
      <c r="E43" s="372">
        <v>0.62349198913600001</v>
      </c>
      <c r="F43" s="370">
        <v>94.024539361891996</v>
      </c>
      <c r="G43" s="371">
        <v>78.353782801576997</v>
      </c>
      <c r="H43" s="373">
        <v>0</v>
      </c>
      <c r="I43" s="370">
        <v>639.21139000000005</v>
      </c>
      <c r="J43" s="371">
        <v>560.85760719842301</v>
      </c>
      <c r="K43" s="374">
        <v>6.7983464140110001</v>
      </c>
    </row>
    <row r="44" spans="1:11" ht="14.45" customHeight="1" thickBot="1" x14ac:dyDescent="0.25">
      <c r="A44" s="394" t="s">
        <v>253</v>
      </c>
      <c r="B44" s="370">
        <v>226.16810232862699</v>
      </c>
      <c r="C44" s="370">
        <v>141.014000000001</v>
      </c>
      <c r="D44" s="371">
        <v>-85.154102328625996</v>
      </c>
      <c r="E44" s="372">
        <v>0.62349198913600001</v>
      </c>
      <c r="F44" s="370">
        <v>94.024539361891996</v>
      </c>
      <c r="G44" s="371">
        <v>78.353782801576997</v>
      </c>
      <c r="H44" s="373">
        <v>0</v>
      </c>
      <c r="I44" s="370">
        <v>639.21139000000005</v>
      </c>
      <c r="J44" s="371">
        <v>560.85760719842301</v>
      </c>
      <c r="K44" s="374">
        <v>6.7983464140110001</v>
      </c>
    </row>
    <row r="45" spans="1:11" ht="14.45" customHeight="1" thickBot="1" x14ac:dyDescent="0.25">
      <c r="A45" s="392" t="s">
        <v>254</v>
      </c>
      <c r="B45" s="370">
        <v>223.729692306792</v>
      </c>
      <c r="C45" s="370">
        <v>109.907</v>
      </c>
      <c r="D45" s="371">
        <v>-113.82269230679201</v>
      </c>
      <c r="E45" s="372">
        <v>0.49124905535199997</v>
      </c>
      <c r="F45" s="370">
        <v>93.052797995936004</v>
      </c>
      <c r="G45" s="371">
        <v>77.543998329946007</v>
      </c>
      <c r="H45" s="373">
        <v>0</v>
      </c>
      <c r="I45" s="370">
        <v>629.53094999999996</v>
      </c>
      <c r="J45" s="371">
        <v>551.98695167005303</v>
      </c>
      <c r="K45" s="374">
        <v>6.7653091960490004</v>
      </c>
    </row>
    <row r="46" spans="1:11" ht="14.45" customHeight="1" thickBot="1" x14ac:dyDescent="0.25">
      <c r="A46" s="392" t="s">
        <v>255</v>
      </c>
      <c r="B46" s="370">
        <v>2.325890868274</v>
      </c>
      <c r="C46" s="370">
        <v>0.85499999999999998</v>
      </c>
      <c r="D46" s="371">
        <v>-1.4708908682740001</v>
      </c>
      <c r="E46" s="372">
        <v>0.367601082089</v>
      </c>
      <c r="F46" s="370">
        <v>0</v>
      </c>
      <c r="G46" s="371">
        <v>0</v>
      </c>
      <c r="H46" s="373">
        <v>0</v>
      </c>
      <c r="I46" s="370">
        <v>0</v>
      </c>
      <c r="J46" s="371">
        <v>0</v>
      </c>
      <c r="K46" s="381" t="s">
        <v>214</v>
      </c>
    </row>
    <row r="47" spans="1:11" ht="14.45" customHeight="1" thickBot="1" x14ac:dyDescent="0.25">
      <c r="A47" s="392" t="s">
        <v>256</v>
      </c>
      <c r="B47" s="370">
        <v>0.11251915356</v>
      </c>
      <c r="C47" s="370">
        <v>30.251999999999999</v>
      </c>
      <c r="D47" s="371">
        <v>30.139480846439</v>
      </c>
      <c r="E47" s="372">
        <v>268.86089205901499</v>
      </c>
      <c r="F47" s="370">
        <v>0</v>
      </c>
      <c r="G47" s="371">
        <v>0</v>
      </c>
      <c r="H47" s="373">
        <v>0</v>
      </c>
      <c r="I47" s="370">
        <v>5.4449999999990002</v>
      </c>
      <c r="J47" s="371">
        <v>5.4449999999990002</v>
      </c>
      <c r="K47" s="381" t="s">
        <v>214</v>
      </c>
    </row>
    <row r="48" spans="1:11" ht="14.45" customHeight="1" thickBot="1" x14ac:dyDescent="0.25">
      <c r="A48" s="392" t="s">
        <v>257</v>
      </c>
      <c r="B48" s="370">
        <v>0</v>
      </c>
      <c r="C48" s="370">
        <v>0</v>
      </c>
      <c r="D48" s="371">
        <v>0</v>
      </c>
      <c r="E48" s="372">
        <v>1</v>
      </c>
      <c r="F48" s="370">
        <v>0</v>
      </c>
      <c r="G48" s="371">
        <v>0</v>
      </c>
      <c r="H48" s="373">
        <v>0</v>
      </c>
      <c r="I48" s="370">
        <v>4.2354399999999996</v>
      </c>
      <c r="J48" s="371">
        <v>4.2354399999999996</v>
      </c>
      <c r="K48" s="381" t="s">
        <v>236</v>
      </c>
    </row>
    <row r="49" spans="1:11" ht="14.45" customHeight="1" thickBot="1" x14ac:dyDescent="0.25">
      <c r="A49" s="392" t="s">
        <v>258</v>
      </c>
      <c r="B49" s="370">
        <v>0</v>
      </c>
      <c r="C49" s="370">
        <v>0</v>
      </c>
      <c r="D49" s="371">
        <v>0</v>
      </c>
      <c r="E49" s="372">
        <v>1</v>
      </c>
      <c r="F49" s="370">
        <v>0.97174136595600002</v>
      </c>
      <c r="G49" s="371">
        <v>0.80978447163</v>
      </c>
      <c r="H49" s="373">
        <v>0</v>
      </c>
      <c r="I49" s="370">
        <v>0</v>
      </c>
      <c r="J49" s="371">
        <v>-0.80978447163</v>
      </c>
      <c r="K49" s="374">
        <v>0</v>
      </c>
    </row>
    <row r="50" spans="1:11" ht="14.45" customHeight="1" thickBot="1" x14ac:dyDescent="0.25">
      <c r="A50" s="395" t="s">
        <v>21</v>
      </c>
      <c r="B50" s="375">
        <v>0</v>
      </c>
      <c r="C50" s="375">
        <v>98.692999999999998</v>
      </c>
      <c r="D50" s="376">
        <v>98.692999999999998</v>
      </c>
      <c r="E50" s="377" t="s">
        <v>214</v>
      </c>
      <c r="F50" s="375">
        <v>0</v>
      </c>
      <c r="G50" s="376">
        <v>0</v>
      </c>
      <c r="H50" s="378">
        <v>6.3040000000000003</v>
      </c>
      <c r="I50" s="375">
        <v>23.477399999999001</v>
      </c>
      <c r="J50" s="376">
        <v>23.477399999999001</v>
      </c>
      <c r="K50" s="379" t="s">
        <v>214</v>
      </c>
    </row>
    <row r="51" spans="1:11" ht="14.45" customHeight="1" thickBot="1" x14ac:dyDescent="0.25">
      <c r="A51" s="391" t="s">
        <v>259</v>
      </c>
      <c r="B51" s="375">
        <v>0</v>
      </c>
      <c r="C51" s="375">
        <v>97.284000000000006</v>
      </c>
      <c r="D51" s="376">
        <v>97.284000000000006</v>
      </c>
      <c r="E51" s="377" t="s">
        <v>214</v>
      </c>
      <c r="F51" s="375">
        <v>0</v>
      </c>
      <c r="G51" s="376">
        <v>0</v>
      </c>
      <c r="H51" s="378">
        <v>6.3040000000000003</v>
      </c>
      <c r="I51" s="375">
        <v>23.477399999999001</v>
      </c>
      <c r="J51" s="376">
        <v>23.477399999999001</v>
      </c>
      <c r="K51" s="379" t="s">
        <v>214</v>
      </c>
    </row>
    <row r="52" spans="1:11" ht="14.45" customHeight="1" thickBot="1" x14ac:dyDescent="0.25">
      <c r="A52" s="392" t="s">
        <v>260</v>
      </c>
      <c r="B52" s="370">
        <v>0</v>
      </c>
      <c r="C52" s="370">
        <v>69.031999999999996</v>
      </c>
      <c r="D52" s="371">
        <v>69.031999999999996</v>
      </c>
      <c r="E52" s="380" t="s">
        <v>214</v>
      </c>
      <c r="F52" s="370">
        <v>0</v>
      </c>
      <c r="G52" s="371">
        <v>0</v>
      </c>
      <c r="H52" s="373">
        <v>6.3040000000000003</v>
      </c>
      <c r="I52" s="370">
        <v>17.954999999999998</v>
      </c>
      <c r="J52" s="371">
        <v>17.954999999999998</v>
      </c>
      <c r="K52" s="381" t="s">
        <v>214</v>
      </c>
    </row>
    <row r="53" spans="1:11" ht="14.45" customHeight="1" thickBot="1" x14ac:dyDescent="0.25">
      <c r="A53" s="392" t="s">
        <v>261</v>
      </c>
      <c r="B53" s="370">
        <v>0</v>
      </c>
      <c r="C53" s="370">
        <v>28.251999999999999</v>
      </c>
      <c r="D53" s="371">
        <v>28.251999999999999</v>
      </c>
      <c r="E53" s="380" t="s">
        <v>214</v>
      </c>
      <c r="F53" s="370">
        <v>0</v>
      </c>
      <c r="G53" s="371">
        <v>0</v>
      </c>
      <c r="H53" s="373">
        <v>0</v>
      </c>
      <c r="I53" s="370">
        <v>5.5223999999990001</v>
      </c>
      <c r="J53" s="371">
        <v>5.5223999999990001</v>
      </c>
      <c r="K53" s="381" t="s">
        <v>214</v>
      </c>
    </row>
    <row r="54" spans="1:11" ht="14.45" customHeight="1" thickBot="1" x14ac:dyDescent="0.25">
      <c r="A54" s="391" t="s">
        <v>262</v>
      </c>
      <c r="B54" s="375">
        <v>0</v>
      </c>
      <c r="C54" s="375">
        <v>1.409</v>
      </c>
      <c r="D54" s="376">
        <v>1.409</v>
      </c>
      <c r="E54" s="377" t="s">
        <v>214</v>
      </c>
      <c r="F54" s="375">
        <v>0</v>
      </c>
      <c r="G54" s="376">
        <v>0</v>
      </c>
      <c r="H54" s="378">
        <v>0</v>
      </c>
      <c r="I54" s="375">
        <v>0</v>
      </c>
      <c r="J54" s="376">
        <v>0</v>
      </c>
      <c r="K54" s="379" t="s">
        <v>214</v>
      </c>
    </row>
    <row r="55" spans="1:11" ht="14.45" customHeight="1" thickBot="1" x14ac:dyDescent="0.25">
      <c r="A55" s="392" t="s">
        <v>263</v>
      </c>
      <c r="B55" s="370">
        <v>0</v>
      </c>
      <c r="C55" s="370">
        <v>1.409</v>
      </c>
      <c r="D55" s="371">
        <v>1.409</v>
      </c>
      <c r="E55" s="380" t="s">
        <v>214</v>
      </c>
      <c r="F55" s="370">
        <v>0</v>
      </c>
      <c r="G55" s="371">
        <v>0</v>
      </c>
      <c r="H55" s="373">
        <v>0</v>
      </c>
      <c r="I55" s="370">
        <v>0</v>
      </c>
      <c r="J55" s="371">
        <v>0</v>
      </c>
      <c r="K55" s="381" t="s">
        <v>214</v>
      </c>
    </row>
    <row r="56" spans="1:11" ht="14.45" customHeight="1" thickBot="1" x14ac:dyDescent="0.25">
      <c r="A56" s="390" t="s">
        <v>22</v>
      </c>
      <c r="B56" s="370">
        <v>472.15401696319998</v>
      </c>
      <c r="C56" s="370">
        <v>793.68603000000098</v>
      </c>
      <c r="D56" s="371">
        <v>321.532013036801</v>
      </c>
      <c r="E56" s="372">
        <v>1.6809896802419999</v>
      </c>
      <c r="F56" s="370">
        <v>856.89775327213999</v>
      </c>
      <c r="G56" s="371">
        <v>714.08146106011702</v>
      </c>
      <c r="H56" s="373">
        <v>126.41378</v>
      </c>
      <c r="I56" s="370">
        <v>627.06227999999999</v>
      </c>
      <c r="J56" s="371">
        <v>-87.019181060115997</v>
      </c>
      <c r="K56" s="374">
        <v>0.73178191634300005</v>
      </c>
    </row>
    <row r="57" spans="1:11" ht="14.45" customHeight="1" thickBot="1" x14ac:dyDescent="0.25">
      <c r="A57" s="391" t="s">
        <v>264</v>
      </c>
      <c r="B57" s="375">
        <v>0</v>
      </c>
      <c r="C57" s="375">
        <v>349.02499999999998</v>
      </c>
      <c r="D57" s="376">
        <v>349.02499999999998</v>
      </c>
      <c r="E57" s="377" t="s">
        <v>236</v>
      </c>
      <c r="F57" s="375">
        <v>402.63740550513899</v>
      </c>
      <c r="G57" s="376">
        <v>335.53117125428201</v>
      </c>
      <c r="H57" s="378">
        <v>0</v>
      </c>
      <c r="I57" s="375">
        <v>239.77500000000001</v>
      </c>
      <c r="J57" s="376">
        <v>-95.756171254281995</v>
      </c>
      <c r="K57" s="383">
        <v>0.59551099008999997</v>
      </c>
    </row>
    <row r="58" spans="1:11" ht="14.45" customHeight="1" thickBot="1" x14ac:dyDescent="0.25">
      <c r="A58" s="392" t="s">
        <v>265</v>
      </c>
      <c r="B58" s="370">
        <v>0</v>
      </c>
      <c r="C58" s="370">
        <v>349.02499999999998</v>
      </c>
      <c r="D58" s="371">
        <v>349.02499999999998</v>
      </c>
      <c r="E58" s="380" t="s">
        <v>236</v>
      </c>
      <c r="F58" s="370">
        <v>402.63740550513899</v>
      </c>
      <c r="G58" s="371">
        <v>335.53117125428201</v>
      </c>
      <c r="H58" s="373">
        <v>0</v>
      </c>
      <c r="I58" s="370">
        <v>239.77500000000001</v>
      </c>
      <c r="J58" s="371">
        <v>-95.756171254281995</v>
      </c>
      <c r="K58" s="374">
        <v>0.59551099008999997</v>
      </c>
    </row>
    <row r="59" spans="1:11" ht="14.45" customHeight="1" thickBot="1" x14ac:dyDescent="0.25">
      <c r="A59" s="391" t="s">
        <v>266</v>
      </c>
      <c r="B59" s="375">
        <v>14.198421845376</v>
      </c>
      <c r="C59" s="375">
        <v>14.290369999999999</v>
      </c>
      <c r="D59" s="376">
        <v>9.1948154623999995E-2</v>
      </c>
      <c r="E59" s="382">
        <v>1.006475941877</v>
      </c>
      <c r="F59" s="375">
        <v>13.739233260142001</v>
      </c>
      <c r="G59" s="376">
        <v>11.449361050118</v>
      </c>
      <c r="H59" s="378">
        <v>1.6230100000000001</v>
      </c>
      <c r="I59" s="375">
        <v>14.112909999999999</v>
      </c>
      <c r="J59" s="376">
        <v>2.6635489498810001</v>
      </c>
      <c r="K59" s="383">
        <v>1.0271977870069999</v>
      </c>
    </row>
    <row r="60" spans="1:11" ht="14.45" customHeight="1" thickBot="1" x14ac:dyDescent="0.25">
      <c r="A60" s="392" t="s">
        <v>267</v>
      </c>
      <c r="B60" s="370">
        <v>12.362330624642</v>
      </c>
      <c r="C60" s="370">
        <v>12.445399999999999</v>
      </c>
      <c r="D60" s="371">
        <v>8.3069375357E-2</v>
      </c>
      <c r="E60" s="372">
        <v>1.0067195561960001</v>
      </c>
      <c r="F60" s="370">
        <v>11.884454706849001</v>
      </c>
      <c r="G60" s="371">
        <v>9.9037122557069992</v>
      </c>
      <c r="H60" s="373">
        <v>1.4331</v>
      </c>
      <c r="I60" s="370">
        <v>12.212400000000001</v>
      </c>
      <c r="J60" s="371">
        <v>2.308687744292</v>
      </c>
      <c r="K60" s="374">
        <v>1.027594475408</v>
      </c>
    </row>
    <row r="61" spans="1:11" ht="14.45" customHeight="1" thickBot="1" x14ac:dyDescent="0.25">
      <c r="A61" s="392" t="s">
        <v>268</v>
      </c>
      <c r="B61" s="370">
        <v>1.836091220733</v>
      </c>
      <c r="C61" s="370">
        <v>1.84497</v>
      </c>
      <c r="D61" s="371">
        <v>8.8787792659999996E-3</v>
      </c>
      <c r="E61" s="372">
        <v>1.00483569616</v>
      </c>
      <c r="F61" s="370">
        <v>1.8547785532929999</v>
      </c>
      <c r="G61" s="371">
        <v>1.5456487944099999</v>
      </c>
      <c r="H61" s="373">
        <v>0.18991</v>
      </c>
      <c r="I61" s="370">
        <v>1.9005099999999999</v>
      </c>
      <c r="J61" s="371">
        <v>0.35486120558899997</v>
      </c>
      <c r="K61" s="374">
        <v>1.0246560143929999</v>
      </c>
    </row>
    <row r="62" spans="1:11" ht="14.45" customHeight="1" thickBot="1" x14ac:dyDescent="0.25">
      <c r="A62" s="391" t="s">
        <v>269</v>
      </c>
      <c r="B62" s="375">
        <v>38.602489189290999</v>
      </c>
      <c r="C62" s="375">
        <v>38.059060000000002</v>
      </c>
      <c r="D62" s="376">
        <v>-0.54342918929100004</v>
      </c>
      <c r="E62" s="382">
        <v>0.98592243141000002</v>
      </c>
      <c r="F62" s="375">
        <v>39.911306185332997</v>
      </c>
      <c r="G62" s="376">
        <v>33.259421821110998</v>
      </c>
      <c r="H62" s="378">
        <v>8.4600000000000005E-3</v>
      </c>
      <c r="I62" s="375">
        <v>14.65652</v>
      </c>
      <c r="J62" s="376">
        <v>-18.602901821111001</v>
      </c>
      <c r="K62" s="383">
        <v>0.36722726968399999</v>
      </c>
    </row>
    <row r="63" spans="1:11" ht="14.45" customHeight="1" thickBot="1" x14ac:dyDescent="0.25">
      <c r="A63" s="392" t="s">
        <v>270</v>
      </c>
      <c r="B63" s="370">
        <v>1.1357746478870001</v>
      </c>
      <c r="C63" s="370">
        <v>1.08</v>
      </c>
      <c r="D63" s="371">
        <v>-5.5774647886999998E-2</v>
      </c>
      <c r="E63" s="372">
        <v>0.950892857142</v>
      </c>
      <c r="F63" s="370">
        <v>0.99999999999900002</v>
      </c>
      <c r="G63" s="371">
        <v>0.83333333333299997</v>
      </c>
      <c r="H63" s="373">
        <v>0.27</v>
      </c>
      <c r="I63" s="370">
        <v>1.08</v>
      </c>
      <c r="J63" s="371">
        <v>0.24666666666600001</v>
      </c>
      <c r="K63" s="374">
        <v>1.08</v>
      </c>
    </row>
    <row r="64" spans="1:11" ht="14.45" customHeight="1" thickBot="1" x14ac:dyDescent="0.25">
      <c r="A64" s="392" t="s">
        <v>271</v>
      </c>
      <c r="B64" s="370">
        <v>37.466714541404002</v>
      </c>
      <c r="C64" s="370">
        <v>36.979059999999997</v>
      </c>
      <c r="D64" s="371">
        <v>-0.487654541404</v>
      </c>
      <c r="E64" s="372">
        <v>0.98698432602399999</v>
      </c>
      <c r="F64" s="370">
        <v>38.911306185332997</v>
      </c>
      <c r="G64" s="371">
        <v>32.426088487777001</v>
      </c>
      <c r="H64" s="373">
        <v>-0.26153999999999999</v>
      </c>
      <c r="I64" s="370">
        <v>13.57652</v>
      </c>
      <c r="J64" s="371">
        <v>-18.849568487776999</v>
      </c>
      <c r="K64" s="374">
        <v>0.34890938729499998</v>
      </c>
    </row>
    <row r="65" spans="1:11" ht="14.45" customHeight="1" thickBot="1" x14ac:dyDescent="0.25">
      <c r="A65" s="391" t="s">
        <v>272</v>
      </c>
      <c r="B65" s="375">
        <v>3.122279037797</v>
      </c>
      <c r="C65" s="375">
        <v>2.98685</v>
      </c>
      <c r="D65" s="376">
        <v>-0.13542903779599999</v>
      </c>
      <c r="E65" s="382">
        <v>0.95662494089799999</v>
      </c>
      <c r="F65" s="375">
        <v>3.1031958362199998</v>
      </c>
      <c r="G65" s="376">
        <v>2.585996530184</v>
      </c>
      <c r="H65" s="378">
        <v>1.2843800000000001</v>
      </c>
      <c r="I65" s="375">
        <v>7.9591399999999997</v>
      </c>
      <c r="J65" s="376">
        <v>5.373143469815</v>
      </c>
      <c r="K65" s="383">
        <v>2.564820404532</v>
      </c>
    </row>
    <row r="66" spans="1:11" ht="14.45" customHeight="1" thickBot="1" x14ac:dyDescent="0.25">
      <c r="A66" s="392" t="s">
        <v>273</v>
      </c>
      <c r="B66" s="370">
        <v>3.122279037797</v>
      </c>
      <c r="C66" s="370">
        <v>2.98685</v>
      </c>
      <c r="D66" s="371">
        <v>-0.13542903779599999</v>
      </c>
      <c r="E66" s="372">
        <v>0.95662494089799999</v>
      </c>
      <c r="F66" s="370">
        <v>3.1031958362199998</v>
      </c>
      <c r="G66" s="371">
        <v>2.585996530184</v>
      </c>
      <c r="H66" s="373">
        <v>0.35857</v>
      </c>
      <c r="I66" s="370">
        <v>2.8888099999999999</v>
      </c>
      <c r="J66" s="371">
        <v>0.30281346981500001</v>
      </c>
      <c r="K66" s="374">
        <v>0.93091449990999997</v>
      </c>
    </row>
    <row r="67" spans="1:11" ht="14.45" customHeight="1" thickBot="1" x14ac:dyDescent="0.25">
      <c r="A67" s="392" t="s">
        <v>274</v>
      </c>
      <c r="B67" s="370">
        <v>0</v>
      </c>
      <c r="C67" s="370">
        <v>0</v>
      </c>
      <c r="D67" s="371">
        <v>0</v>
      </c>
      <c r="E67" s="372">
        <v>1</v>
      </c>
      <c r="F67" s="370">
        <v>0</v>
      </c>
      <c r="G67" s="371">
        <v>0</v>
      </c>
      <c r="H67" s="373">
        <v>0.92581000000000002</v>
      </c>
      <c r="I67" s="370">
        <v>5.0703300000000002</v>
      </c>
      <c r="J67" s="371">
        <v>5.0703300000000002</v>
      </c>
      <c r="K67" s="381" t="s">
        <v>236</v>
      </c>
    </row>
    <row r="68" spans="1:11" ht="14.45" customHeight="1" thickBot="1" x14ac:dyDescent="0.25">
      <c r="A68" s="391" t="s">
        <v>275</v>
      </c>
      <c r="B68" s="375">
        <v>336.23082689073601</v>
      </c>
      <c r="C68" s="375">
        <v>313.428300000001</v>
      </c>
      <c r="D68" s="376">
        <v>-22.802526890734001</v>
      </c>
      <c r="E68" s="382">
        <v>0.93218192661900001</v>
      </c>
      <c r="F68" s="375">
        <v>352.50661248530503</v>
      </c>
      <c r="G68" s="376">
        <v>293.75551040442099</v>
      </c>
      <c r="H68" s="378">
        <v>123.49793</v>
      </c>
      <c r="I68" s="375">
        <v>300.72480999999999</v>
      </c>
      <c r="J68" s="376">
        <v>6.9692995955789998</v>
      </c>
      <c r="K68" s="383">
        <v>0.85310402514000006</v>
      </c>
    </row>
    <row r="69" spans="1:11" ht="14.45" customHeight="1" thickBot="1" x14ac:dyDescent="0.25">
      <c r="A69" s="392" t="s">
        <v>276</v>
      </c>
      <c r="B69" s="370">
        <v>214.841165785855</v>
      </c>
      <c r="C69" s="370">
        <v>193.78623999999999</v>
      </c>
      <c r="D69" s="371">
        <v>-21.054925785854</v>
      </c>
      <c r="E69" s="372">
        <v>0.90199771208199997</v>
      </c>
      <c r="F69" s="370">
        <v>235.31420383915099</v>
      </c>
      <c r="G69" s="371">
        <v>196.09516986595901</v>
      </c>
      <c r="H69" s="373">
        <v>41.43768</v>
      </c>
      <c r="I69" s="370">
        <v>170.55728999999999</v>
      </c>
      <c r="J69" s="371">
        <v>-25.537879865958999</v>
      </c>
      <c r="K69" s="374">
        <v>0.72480660842900002</v>
      </c>
    </row>
    <row r="70" spans="1:11" ht="14.45" customHeight="1" thickBot="1" x14ac:dyDescent="0.25">
      <c r="A70" s="392" t="s">
        <v>277</v>
      </c>
      <c r="B70" s="370">
        <v>121.38966110488001</v>
      </c>
      <c r="C70" s="370">
        <v>110.57664</v>
      </c>
      <c r="D70" s="371">
        <v>-10.813021104879001</v>
      </c>
      <c r="E70" s="372">
        <v>0.910923047263</v>
      </c>
      <c r="F70" s="370">
        <v>107.22973091417199</v>
      </c>
      <c r="G70" s="371">
        <v>89.358109095143007</v>
      </c>
      <c r="H70" s="373">
        <v>82.060249999999996</v>
      </c>
      <c r="I70" s="370">
        <v>124.18512</v>
      </c>
      <c r="J70" s="371">
        <v>34.827010904856003</v>
      </c>
      <c r="K70" s="374">
        <v>1.158122089286</v>
      </c>
    </row>
    <row r="71" spans="1:11" ht="14.45" customHeight="1" thickBot="1" x14ac:dyDescent="0.25">
      <c r="A71" s="392" t="s">
        <v>278</v>
      </c>
      <c r="B71" s="370">
        <v>0</v>
      </c>
      <c r="C71" s="370">
        <v>9.0654199999999996</v>
      </c>
      <c r="D71" s="371">
        <v>9.0654199999999996</v>
      </c>
      <c r="E71" s="380" t="s">
        <v>236</v>
      </c>
      <c r="F71" s="370">
        <v>9.9626777319809996</v>
      </c>
      <c r="G71" s="371">
        <v>8.302231443318</v>
      </c>
      <c r="H71" s="373">
        <v>0</v>
      </c>
      <c r="I71" s="370">
        <v>5.9824000000000002</v>
      </c>
      <c r="J71" s="371">
        <v>-2.3198314433179998</v>
      </c>
      <c r="K71" s="374">
        <v>0.600481131773</v>
      </c>
    </row>
    <row r="72" spans="1:11" ht="14.45" customHeight="1" thickBot="1" x14ac:dyDescent="0.25">
      <c r="A72" s="391" t="s">
        <v>279</v>
      </c>
      <c r="B72" s="375">
        <v>80</v>
      </c>
      <c r="C72" s="375">
        <v>75.896450000000002</v>
      </c>
      <c r="D72" s="376">
        <v>-4.1035499999990002</v>
      </c>
      <c r="E72" s="382">
        <v>0.948705625</v>
      </c>
      <c r="F72" s="375">
        <v>45</v>
      </c>
      <c r="G72" s="376">
        <v>37.5</v>
      </c>
      <c r="H72" s="378">
        <v>0</v>
      </c>
      <c r="I72" s="375">
        <v>49.833899999998998</v>
      </c>
      <c r="J72" s="376">
        <v>12.333899999999</v>
      </c>
      <c r="K72" s="383">
        <v>1.107419999999</v>
      </c>
    </row>
    <row r="73" spans="1:11" ht="14.45" customHeight="1" thickBot="1" x14ac:dyDescent="0.25">
      <c r="A73" s="392" t="s">
        <v>280</v>
      </c>
      <c r="B73" s="370">
        <v>0</v>
      </c>
      <c r="C73" s="370">
        <v>1.077</v>
      </c>
      <c r="D73" s="371">
        <v>1.077</v>
      </c>
      <c r="E73" s="380" t="s">
        <v>236</v>
      </c>
      <c r="F73" s="370">
        <v>0</v>
      </c>
      <c r="G73" s="371">
        <v>0</v>
      </c>
      <c r="H73" s="373">
        <v>0</v>
      </c>
      <c r="I73" s="370">
        <v>0</v>
      </c>
      <c r="J73" s="371">
        <v>0</v>
      </c>
      <c r="K73" s="374">
        <v>10</v>
      </c>
    </row>
    <row r="74" spans="1:11" ht="14.45" customHeight="1" thickBot="1" x14ac:dyDescent="0.25">
      <c r="A74" s="392" t="s">
        <v>281</v>
      </c>
      <c r="B74" s="370">
        <v>40</v>
      </c>
      <c r="C74" s="370">
        <v>45.17445</v>
      </c>
      <c r="D74" s="371">
        <v>5.1744499999990001</v>
      </c>
      <c r="E74" s="372">
        <v>1.1293612500000001</v>
      </c>
      <c r="F74" s="370">
        <v>40</v>
      </c>
      <c r="G74" s="371">
        <v>33.333333333333002</v>
      </c>
      <c r="H74" s="373">
        <v>0</v>
      </c>
      <c r="I74" s="370">
        <v>45.598899999998999</v>
      </c>
      <c r="J74" s="371">
        <v>12.265566666666</v>
      </c>
      <c r="K74" s="374">
        <v>1.139972499999</v>
      </c>
    </row>
    <row r="75" spans="1:11" ht="14.45" customHeight="1" thickBot="1" x14ac:dyDescent="0.25">
      <c r="A75" s="392" t="s">
        <v>282</v>
      </c>
      <c r="B75" s="370">
        <v>40</v>
      </c>
      <c r="C75" s="370">
        <v>29.645</v>
      </c>
      <c r="D75" s="371">
        <v>-10.354999999999</v>
      </c>
      <c r="E75" s="372">
        <v>0.74112500000000003</v>
      </c>
      <c r="F75" s="370">
        <v>5</v>
      </c>
      <c r="G75" s="371">
        <v>4.1666666666659999</v>
      </c>
      <c r="H75" s="373">
        <v>0</v>
      </c>
      <c r="I75" s="370">
        <v>4.2350000000000003</v>
      </c>
      <c r="J75" s="371">
        <v>6.8333333332999999E-2</v>
      </c>
      <c r="K75" s="374">
        <v>0.84699999999999998</v>
      </c>
    </row>
    <row r="76" spans="1:11" ht="14.45" customHeight="1" thickBot="1" x14ac:dyDescent="0.25">
      <c r="A76" s="389" t="s">
        <v>23</v>
      </c>
      <c r="B76" s="370">
        <v>32623.675545808401</v>
      </c>
      <c r="C76" s="370">
        <v>35426.432670000097</v>
      </c>
      <c r="D76" s="371">
        <v>2802.7571241916398</v>
      </c>
      <c r="E76" s="372">
        <v>1.0859117520420001</v>
      </c>
      <c r="F76" s="370">
        <v>36261.519646000001</v>
      </c>
      <c r="G76" s="371">
        <v>30217.933038333402</v>
      </c>
      <c r="H76" s="373">
        <v>2921.2983399999998</v>
      </c>
      <c r="I76" s="370">
        <v>30769.983479999999</v>
      </c>
      <c r="J76" s="371">
        <v>552.05044166661901</v>
      </c>
      <c r="K76" s="374">
        <v>0.84855747305600004</v>
      </c>
    </row>
    <row r="77" spans="1:11" ht="14.45" customHeight="1" thickBot="1" x14ac:dyDescent="0.25">
      <c r="A77" s="395" t="s">
        <v>283</v>
      </c>
      <c r="B77" s="375">
        <v>24102.115545808399</v>
      </c>
      <c r="C77" s="375">
        <v>26079.74</v>
      </c>
      <c r="D77" s="376">
        <v>1977.6244541916201</v>
      </c>
      <c r="E77" s="382">
        <v>1.0820519033039999</v>
      </c>
      <c r="F77" s="375">
        <v>25842.68</v>
      </c>
      <c r="G77" s="376">
        <v>21535.566666666698</v>
      </c>
      <c r="H77" s="378">
        <v>2152.6970000000001</v>
      </c>
      <c r="I77" s="375">
        <v>22674.65</v>
      </c>
      <c r="J77" s="376">
        <v>1139.0833333332801</v>
      </c>
      <c r="K77" s="383">
        <v>0.87741093416000004</v>
      </c>
    </row>
    <row r="78" spans="1:11" ht="14.45" customHeight="1" thickBot="1" x14ac:dyDescent="0.25">
      <c r="A78" s="391" t="s">
        <v>284</v>
      </c>
      <c r="B78" s="375">
        <v>23670.999999999902</v>
      </c>
      <c r="C78" s="375">
        <v>25408.308000000001</v>
      </c>
      <c r="D78" s="376">
        <v>1737.30800000012</v>
      </c>
      <c r="E78" s="382">
        <v>1.073393941954</v>
      </c>
      <c r="F78" s="375">
        <v>25214.98</v>
      </c>
      <c r="G78" s="376">
        <v>21012.483333333399</v>
      </c>
      <c r="H78" s="378">
        <v>2120.3780000000002</v>
      </c>
      <c r="I78" s="375">
        <v>22207.112000000001</v>
      </c>
      <c r="J78" s="376">
        <v>1194.6286666666099</v>
      </c>
      <c r="K78" s="383">
        <v>0.88071106937200005</v>
      </c>
    </row>
    <row r="79" spans="1:11" ht="14.45" customHeight="1" thickBot="1" x14ac:dyDescent="0.25">
      <c r="A79" s="392" t="s">
        <v>285</v>
      </c>
      <c r="B79" s="370">
        <v>23670.999999999902</v>
      </c>
      <c r="C79" s="370">
        <v>25408.308000000001</v>
      </c>
      <c r="D79" s="371">
        <v>1737.30800000012</v>
      </c>
      <c r="E79" s="372">
        <v>1.073393941954</v>
      </c>
      <c r="F79" s="370">
        <v>25214.98</v>
      </c>
      <c r="G79" s="371">
        <v>21012.483333333399</v>
      </c>
      <c r="H79" s="373">
        <v>2120.3780000000002</v>
      </c>
      <c r="I79" s="370">
        <v>22207.112000000001</v>
      </c>
      <c r="J79" s="371">
        <v>1194.6286666666099</v>
      </c>
      <c r="K79" s="374">
        <v>0.88071106937200005</v>
      </c>
    </row>
    <row r="80" spans="1:11" ht="14.45" customHeight="1" thickBot="1" x14ac:dyDescent="0.25">
      <c r="A80" s="391" t="s">
        <v>286</v>
      </c>
      <c r="B80" s="375">
        <v>374.70254580850099</v>
      </c>
      <c r="C80" s="375">
        <v>568.62000000000103</v>
      </c>
      <c r="D80" s="376">
        <v>193.91745419150001</v>
      </c>
      <c r="E80" s="382">
        <v>1.5175237167740001</v>
      </c>
      <c r="F80" s="375">
        <v>515.88000000000102</v>
      </c>
      <c r="G80" s="376">
        <v>429.900000000001</v>
      </c>
      <c r="H80" s="378">
        <v>30.21</v>
      </c>
      <c r="I80" s="375">
        <v>384.1</v>
      </c>
      <c r="J80" s="376">
        <v>-45.8</v>
      </c>
      <c r="K80" s="383">
        <v>0.74455299681999998</v>
      </c>
    </row>
    <row r="81" spans="1:11" ht="14.45" customHeight="1" thickBot="1" x14ac:dyDescent="0.25">
      <c r="A81" s="392" t="s">
        <v>287</v>
      </c>
      <c r="B81" s="370">
        <v>374.70254580850099</v>
      </c>
      <c r="C81" s="370">
        <v>568.62000000000103</v>
      </c>
      <c r="D81" s="371">
        <v>193.91745419150001</v>
      </c>
      <c r="E81" s="372">
        <v>1.5175237167740001</v>
      </c>
      <c r="F81" s="370">
        <v>515.88000000000102</v>
      </c>
      <c r="G81" s="371">
        <v>429.900000000001</v>
      </c>
      <c r="H81" s="373">
        <v>30.21</v>
      </c>
      <c r="I81" s="370">
        <v>384.1</v>
      </c>
      <c r="J81" s="371">
        <v>-45.8</v>
      </c>
      <c r="K81" s="374">
        <v>0.74455299681999998</v>
      </c>
    </row>
    <row r="82" spans="1:11" ht="14.45" customHeight="1" thickBot="1" x14ac:dyDescent="0.25">
      <c r="A82" s="391" t="s">
        <v>288</v>
      </c>
      <c r="B82" s="375">
        <v>56.412999999999997</v>
      </c>
      <c r="C82" s="375">
        <v>62.311999999999998</v>
      </c>
      <c r="D82" s="376">
        <v>5.899</v>
      </c>
      <c r="E82" s="382">
        <v>1.104568096006</v>
      </c>
      <c r="F82" s="375">
        <v>65.62</v>
      </c>
      <c r="G82" s="376">
        <v>54.683333333333003</v>
      </c>
      <c r="H82" s="378">
        <v>2.109</v>
      </c>
      <c r="I82" s="375">
        <v>58.688000000000002</v>
      </c>
      <c r="J82" s="376">
        <v>4.004666666666</v>
      </c>
      <c r="K82" s="383">
        <v>0.89436147515999997</v>
      </c>
    </row>
    <row r="83" spans="1:11" ht="14.45" customHeight="1" thickBot="1" x14ac:dyDescent="0.25">
      <c r="A83" s="392" t="s">
        <v>289</v>
      </c>
      <c r="B83" s="370">
        <v>56.412999999999997</v>
      </c>
      <c r="C83" s="370">
        <v>62.311999999999998</v>
      </c>
      <c r="D83" s="371">
        <v>5.899</v>
      </c>
      <c r="E83" s="372">
        <v>1.104568096006</v>
      </c>
      <c r="F83" s="370">
        <v>65.62</v>
      </c>
      <c r="G83" s="371">
        <v>54.683333333333003</v>
      </c>
      <c r="H83" s="373">
        <v>2.109</v>
      </c>
      <c r="I83" s="370">
        <v>58.688000000000002</v>
      </c>
      <c r="J83" s="371">
        <v>4.004666666666</v>
      </c>
      <c r="K83" s="374">
        <v>0.89436147515999997</v>
      </c>
    </row>
    <row r="84" spans="1:11" ht="14.45" customHeight="1" thickBot="1" x14ac:dyDescent="0.25">
      <c r="A84" s="394" t="s">
        <v>290</v>
      </c>
      <c r="B84" s="370">
        <v>0</v>
      </c>
      <c r="C84" s="370">
        <v>40.5</v>
      </c>
      <c r="D84" s="371">
        <v>40.5</v>
      </c>
      <c r="E84" s="380" t="s">
        <v>214</v>
      </c>
      <c r="F84" s="370">
        <v>46.2</v>
      </c>
      <c r="G84" s="371">
        <v>38.5</v>
      </c>
      <c r="H84" s="373">
        <v>0</v>
      </c>
      <c r="I84" s="370">
        <v>24.75</v>
      </c>
      <c r="J84" s="371">
        <v>-13.75</v>
      </c>
      <c r="K84" s="374">
        <v>0.53571428571400004</v>
      </c>
    </row>
    <row r="85" spans="1:11" ht="14.45" customHeight="1" thickBot="1" x14ac:dyDescent="0.25">
      <c r="A85" s="392" t="s">
        <v>291</v>
      </c>
      <c r="B85" s="370">
        <v>0</v>
      </c>
      <c r="C85" s="370">
        <v>40.5</v>
      </c>
      <c r="D85" s="371">
        <v>40.5</v>
      </c>
      <c r="E85" s="380" t="s">
        <v>214</v>
      </c>
      <c r="F85" s="370">
        <v>46.2</v>
      </c>
      <c r="G85" s="371">
        <v>38.5</v>
      </c>
      <c r="H85" s="373">
        <v>0</v>
      </c>
      <c r="I85" s="370">
        <v>24.75</v>
      </c>
      <c r="J85" s="371">
        <v>-13.75</v>
      </c>
      <c r="K85" s="374">
        <v>0.53571428571400004</v>
      </c>
    </row>
    <row r="86" spans="1:11" ht="14.45" customHeight="1" thickBot="1" x14ac:dyDescent="0.25">
      <c r="A86" s="390" t="s">
        <v>292</v>
      </c>
      <c r="B86" s="370">
        <v>8048.14</v>
      </c>
      <c r="C86" s="370">
        <v>8837.2711500000205</v>
      </c>
      <c r="D86" s="371">
        <v>789.13115000001699</v>
      </c>
      <c r="E86" s="372">
        <v>1.0980513696330001</v>
      </c>
      <c r="F86" s="370">
        <v>9724.1899999999896</v>
      </c>
      <c r="G86" s="371">
        <v>8103.4916666666604</v>
      </c>
      <c r="H86" s="373">
        <v>726.14751999999999</v>
      </c>
      <c r="I86" s="370">
        <v>7649.9895299999898</v>
      </c>
      <c r="J86" s="371">
        <v>-453.502136666664</v>
      </c>
      <c r="K86" s="374">
        <v>0.78669683850200001</v>
      </c>
    </row>
    <row r="87" spans="1:11" ht="14.45" customHeight="1" thickBot="1" x14ac:dyDescent="0.25">
      <c r="A87" s="391" t="s">
        <v>293</v>
      </c>
      <c r="B87" s="375">
        <v>2130.3900000000099</v>
      </c>
      <c r="C87" s="375">
        <v>2339.2691500000001</v>
      </c>
      <c r="D87" s="376">
        <v>208.87914999999799</v>
      </c>
      <c r="E87" s="382">
        <v>1.0980473763009999</v>
      </c>
      <c r="F87" s="375">
        <v>2574.0500000000002</v>
      </c>
      <c r="G87" s="376">
        <v>2145.0416666666601</v>
      </c>
      <c r="H87" s="378">
        <v>193.34978000000001</v>
      </c>
      <c r="I87" s="375">
        <v>2030.14329</v>
      </c>
      <c r="J87" s="376">
        <v>-114.89837666666401</v>
      </c>
      <c r="K87" s="383">
        <v>0.78869613643799996</v>
      </c>
    </row>
    <row r="88" spans="1:11" ht="14.45" customHeight="1" thickBot="1" x14ac:dyDescent="0.25">
      <c r="A88" s="392" t="s">
        <v>294</v>
      </c>
      <c r="B88" s="370">
        <v>2130.3900000000099</v>
      </c>
      <c r="C88" s="370">
        <v>2339.2691500000001</v>
      </c>
      <c r="D88" s="371">
        <v>208.87914999999799</v>
      </c>
      <c r="E88" s="372">
        <v>1.0980473763009999</v>
      </c>
      <c r="F88" s="370">
        <v>2574.0500000000002</v>
      </c>
      <c r="G88" s="371">
        <v>2145.0416666666601</v>
      </c>
      <c r="H88" s="373">
        <v>193.34978000000001</v>
      </c>
      <c r="I88" s="370">
        <v>2030.14329</v>
      </c>
      <c r="J88" s="371">
        <v>-114.89837666666401</v>
      </c>
      <c r="K88" s="374">
        <v>0.78869613643799996</v>
      </c>
    </row>
    <row r="89" spans="1:11" ht="14.45" customHeight="1" thickBot="1" x14ac:dyDescent="0.25">
      <c r="A89" s="391" t="s">
        <v>295</v>
      </c>
      <c r="B89" s="375">
        <v>5917.74999999999</v>
      </c>
      <c r="C89" s="375">
        <v>6498.0020000000104</v>
      </c>
      <c r="D89" s="376">
        <v>580.25200000001905</v>
      </c>
      <c r="E89" s="382">
        <v>1.0980528072319999</v>
      </c>
      <c r="F89" s="375">
        <v>7150.1399999999903</v>
      </c>
      <c r="G89" s="376">
        <v>5958.4499999999898</v>
      </c>
      <c r="H89" s="378">
        <v>532.79773999999998</v>
      </c>
      <c r="I89" s="375">
        <v>5619.8462399999999</v>
      </c>
      <c r="J89" s="376">
        <v>-338.603759999999</v>
      </c>
      <c r="K89" s="383">
        <v>0.785977091357</v>
      </c>
    </row>
    <row r="90" spans="1:11" ht="14.45" customHeight="1" thickBot="1" x14ac:dyDescent="0.25">
      <c r="A90" s="392" t="s">
        <v>296</v>
      </c>
      <c r="B90" s="370">
        <v>5917.74999999999</v>
      </c>
      <c r="C90" s="370">
        <v>6498.0020000000104</v>
      </c>
      <c r="D90" s="371">
        <v>580.25200000001905</v>
      </c>
      <c r="E90" s="372">
        <v>1.0980528072319999</v>
      </c>
      <c r="F90" s="370">
        <v>7150.1399999999903</v>
      </c>
      <c r="G90" s="371">
        <v>5958.4499999999898</v>
      </c>
      <c r="H90" s="373">
        <v>532.79773999999998</v>
      </c>
      <c r="I90" s="370">
        <v>5619.8462399999999</v>
      </c>
      <c r="J90" s="371">
        <v>-338.603759999999</v>
      </c>
      <c r="K90" s="374">
        <v>0.785977091357</v>
      </c>
    </row>
    <row r="91" spans="1:11" ht="14.45" customHeight="1" thickBot="1" x14ac:dyDescent="0.25">
      <c r="A91" s="390" t="s">
        <v>297</v>
      </c>
      <c r="B91" s="370">
        <v>0</v>
      </c>
      <c r="C91" s="370">
        <v>0</v>
      </c>
      <c r="D91" s="371">
        <v>0</v>
      </c>
      <c r="E91" s="372">
        <v>1</v>
      </c>
      <c r="F91" s="370">
        <v>118.37964599999999</v>
      </c>
      <c r="G91" s="371">
        <v>98.649704999999997</v>
      </c>
      <c r="H91" s="373">
        <v>0</v>
      </c>
      <c r="I91" s="370">
        <v>0</v>
      </c>
      <c r="J91" s="371">
        <v>-98.649704999999997</v>
      </c>
      <c r="K91" s="374">
        <v>0</v>
      </c>
    </row>
    <row r="92" spans="1:11" ht="14.45" customHeight="1" thickBot="1" x14ac:dyDescent="0.25">
      <c r="A92" s="391" t="s">
        <v>298</v>
      </c>
      <c r="B92" s="375">
        <v>0</v>
      </c>
      <c r="C92" s="375">
        <v>0</v>
      </c>
      <c r="D92" s="376">
        <v>0</v>
      </c>
      <c r="E92" s="382">
        <v>1</v>
      </c>
      <c r="F92" s="375">
        <v>118.37964599999999</v>
      </c>
      <c r="G92" s="376">
        <v>98.649704999999997</v>
      </c>
      <c r="H92" s="378">
        <v>0</v>
      </c>
      <c r="I92" s="375">
        <v>0</v>
      </c>
      <c r="J92" s="376">
        <v>-98.649704999999997</v>
      </c>
      <c r="K92" s="383">
        <v>0</v>
      </c>
    </row>
    <row r="93" spans="1:11" ht="14.45" customHeight="1" thickBot="1" x14ac:dyDescent="0.25">
      <c r="A93" s="392" t="s">
        <v>299</v>
      </c>
      <c r="B93" s="370">
        <v>0</v>
      </c>
      <c r="C93" s="370">
        <v>0</v>
      </c>
      <c r="D93" s="371">
        <v>0</v>
      </c>
      <c r="E93" s="372">
        <v>1</v>
      </c>
      <c r="F93" s="370">
        <v>118.37964599999999</v>
      </c>
      <c r="G93" s="371">
        <v>98.649704999999997</v>
      </c>
      <c r="H93" s="373">
        <v>0</v>
      </c>
      <c r="I93" s="370">
        <v>0</v>
      </c>
      <c r="J93" s="371">
        <v>-98.649704999999997</v>
      </c>
      <c r="K93" s="374">
        <v>0</v>
      </c>
    </row>
    <row r="94" spans="1:11" ht="14.45" customHeight="1" thickBot="1" x14ac:dyDescent="0.25">
      <c r="A94" s="390" t="s">
        <v>300</v>
      </c>
      <c r="B94" s="370">
        <v>473.42000000000201</v>
      </c>
      <c r="C94" s="370">
        <v>509.42152000000101</v>
      </c>
      <c r="D94" s="371">
        <v>36.001519999998997</v>
      </c>
      <c r="E94" s="372">
        <v>1.076045625448</v>
      </c>
      <c r="F94" s="370">
        <v>576.26999999999896</v>
      </c>
      <c r="G94" s="371">
        <v>480.22500000000002</v>
      </c>
      <c r="H94" s="373">
        <v>42.45382</v>
      </c>
      <c r="I94" s="370">
        <v>445.34395000000001</v>
      </c>
      <c r="J94" s="371">
        <v>-34.881049999999</v>
      </c>
      <c r="K94" s="374">
        <v>0.77280432783200004</v>
      </c>
    </row>
    <row r="95" spans="1:11" ht="14.45" customHeight="1" thickBot="1" x14ac:dyDescent="0.25">
      <c r="A95" s="391" t="s">
        <v>301</v>
      </c>
      <c r="B95" s="375">
        <v>473.42000000000201</v>
      </c>
      <c r="C95" s="375">
        <v>509.42152000000101</v>
      </c>
      <c r="D95" s="376">
        <v>36.001519999998997</v>
      </c>
      <c r="E95" s="382">
        <v>1.076045625448</v>
      </c>
      <c r="F95" s="375">
        <v>576.26999999999896</v>
      </c>
      <c r="G95" s="376">
        <v>480.22500000000002</v>
      </c>
      <c r="H95" s="378">
        <v>42.45382</v>
      </c>
      <c r="I95" s="375">
        <v>445.34395000000001</v>
      </c>
      <c r="J95" s="376">
        <v>-34.881049999999</v>
      </c>
      <c r="K95" s="383">
        <v>0.77280432783200004</v>
      </c>
    </row>
    <row r="96" spans="1:11" ht="14.45" customHeight="1" thickBot="1" x14ac:dyDescent="0.25">
      <c r="A96" s="392" t="s">
        <v>302</v>
      </c>
      <c r="B96" s="370">
        <v>473.42000000000201</v>
      </c>
      <c r="C96" s="370">
        <v>509.42152000000101</v>
      </c>
      <c r="D96" s="371">
        <v>36.001519999998997</v>
      </c>
      <c r="E96" s="372">
        <v>1.076045625448</v>
      </c>
      <c r="F96" s="370">
        <v>576.26999999999896</v>
      </c>
      <c r="G96" s="371">
        <v>480.22500000000002</v>
      </c>
      <c r="H96" s="373">
        <v>42.45382</v>
      </c>
      <c r="I96" s="370">
        <v>445.34395000000001</v>
      </c>
      <c r="J96" s="371">
        <v>-34.881049999999</v>
      </c>
      <c r="K96" s="374">
        <v>0.77280432783200004</v>
      </c>
    </row>
    <row r="97" spans="1:11" ht="14.45" customHeight="1" thickBot="1" x14ac:dyDescent="0.25">
      <c r="A97" s="389" t="s">
        <v>303</v>
      </c>
      <c r="B97" s="370">
        <v>0</v>
      </c>
      <c r="C97" s="370">
        <v>1</v>
      </c>
      <c r="D97" s="371">
        <v>1</v>
      </c>
      <c r="E97" s="380" t="s">
        <v>214</v>
      </c>
      <c r="F97" s="370">
        <v>0</v>
      </c>
      <c r="G97" s="371">
        <v>0</v>
      </c>
      <c r="H97" s="373">
        <v>0</v>
      </c>
      <c r="I97" s="370">
        <v>0</v>
      </c>
      <c r="J97" s="371">
        <v>0</v>
      </c>
      <c r="K97" s="381" t="s">
        <v>214</v>
      </c>
    </row>
    <row r="98" spans="1:11" ht="14.45" customHeight="1" thickBot="1" x14ac:dyDescent="0.25">
      <c r="A98" s="390" t="s">
        <v>304</v>
      </c>
      <c r="B98" s="370">
        <v>0</v>
      </c>
      <c r="C98" s="370">
        <v>1</v>
      </c>
      <c r="D98" s="371">
        <v>1</v>
      </c>
      <c r="E98" s="380" t="s">
        <v>214</v>
      </c>
      <c r="F98" s="370">
        <v>0</v>
      </c>
      <c r="G98" s="371">
        <v>0</v>
      </c>
      <c r="H98" s="373">
        <v>0</v>
      </c>
      <c r="I98" s="370">
        <v>0</v>
      </c>
      <c r="J98" s="371">
        <v>0</v>
      </c>
      <c r="K98" s="381" t="s">
        <v>214</v>
      </c>
    </row>
    <row r="99" spans="1:11" ht="14.45" customHeight="1" thickBot="1" x14ac:dyDescent="0.25">
      <c r="A99" s="391" t="s">
        <v>305</v>
      </c>
      <c r="B99" s="375">
        <v>0</v>
      </c>
      <c r="C99" s="375">
        <v>1</v>
      </c>
      <c r="D99" s="376">
        <v>1</v>
      </c>
      <c r="E99" s="377" t="s">
        <v>214</v>
      </c>
      <c r="F99" s="375">
        <v>0</v>
      </c>
      <c r="G99" s="376">
        <v>0</v>
      </c>
      <c r="H99" s="378">
        <v>0</v>
      </c>
      <c r="I99" s="375">
        <v>0</v>
      </c>
      <c r="J99" s="376">
        <v>0</v>
      </c>
      <c r="K99" s="379" t="s">
        <v>214</v>
      </c>
    </row>
    <row r="100" spans="1:11" ht="14.45" customHeight="1" thickBot="1" x14ac:dyDescent="0.25">
      <c r="A100" s="392" t="s">
        <v>306</v>
      </c>
      <c r="B100" s="370">
        <v>0</v>
      </c>
      <c r="C100" s="370">
        <v>1</v>
      </c>
      <c r="D100" s="371">
        <v>1</v>
      </c>
      <c r="E100" s="380" t="s">
        <v>214</v>
      </c>
      <c r="F100" s="370">
        <v>0</v>
      </c>
      <c r="G100" s="371">
        <v>0</v>
      </c>
      <c r="H100" s="373">
        <v>0</v>
      </c>
      <c r="I100" s="370">
        <v>0</v>
      </c>
      <c r="J100" s="371">
        <v>0</v>
      </c>
      <c r="K100" s="381" t="s">
        <v>214</v>
      </c>
    </row>
    <row r="101" spans="1:11" ht="14.45" customHeight="1" thickBot="1" x14ac:dyDescent="0.25">
      <c r="A101" s="389" t="s">
        <v>307</v>
      </c>
      <c r="B101" s="370">
        <v>20.461415616265999</v>
      </c>
      <c r="C101" s="370">
        <v>191.374</v>
      </c>
      <c r="D101" s="371">
        <v>170.91258438373401</v>
      </c>
      <c r="E101" s="372">
        <v>9.3529208139370006</v>
      </c>
      <c r="F101" s="370">
        <v>0</v>
      </c>
      <c r="G101" s="371">
        <v>0</v>
      </c>
      <c r="H101" s="373">
        <v>1.95</v>
      </c>
      <c r="I101" s="370">
        <v>51.977499999998997</v>
      </c>
      <c r="J101" s="371">
        <v>51.977499999998997</v>
      </c>
      <c r="K101" s="381" t="s">
        <v>214</v>
      </c>
    </row>
    <row r="102" spans="1:11" ht="14.45" customHeight="1" thickBot="1" x14ac:dyDescent="0.25">
      <c r="A102" s="390" t="s">
        <v>308</v>
      </c>
      <c r="B102" s="370">
        <v>20.461415616265999</v>
      </c>
      <c r="C102" s="370">
        <v>191.374</v>
      </c>
      <c r="D102" s="371">
        <v>170.91258438373401</v>
      </c>
      <c r="E102" s="372">
        <v>9.3529208139370006</v>
      </c>
      <c r="F102" s="370">
        <v>0</v>
      </c>
      <c r="G102" s="371">
        <v>0</v>
      </c>
      <c r="H102" s="373">
        <v>1.95</v>
      </c>
      <c r="I102" s="370">
        <v>51.977499999998997</v>
      </c>
      <c r="J102" s="371">
        <v>51.977499999998997</v>
      </c>
      <c r="K102" s="381" t="s">
        <v>214</v>
      </c>
    </row>
    <row r="103" spans="1:11" ht="14.45" customHeight="1" thickBot="1" x14ac:dyDescent="0.25">
      <c r="A103" s="391" t="s">
        <v>309</v>
      </c>
      <c r="B103" s="375">
        <v>0</v>
      </c>
      <c r="C103" s="375">
        <v>87.837000000000003</v>
      </c>
      <c r="D103" s="376">
        <v>87.837000000000003</v>
      </c>
      <c r="E103" s="377" t="s">
        <v>214</v>
      </c>
      <c r="F103" s="375">
        <v>0</v>
      </c>
      <c r="G103" s="376">
        <v>0</v>
      </c>
      <c r="H103" s="378">
        <v>0</v>
      </c>
      <c r="I103" s="375">
        <v>36.927499999999</v>
      </c>
      <c r="J103" s="376">
        <v>36.927499999999</v>
      </c>
      <c r="K103" s="379" t="s">
        <v>214</v>
      </c>
    </row>
    <row r="104" spans="1:11" ht="14.45" customHeight="1" thickBot="1" x14ac:dyDescent="0.25">
      <c r="A104" s="392" t="s">
        <v>310</v>
      </c>
      <c r="B104" s="370">
        <v>0</v>
      </c>
      <c r="C104" s="370">
        <v>28.9</v>
      </c>
      <c r="D104" s="371">
        <v>28.9</v>
      </c>
      <c r="E104" s="380" t="s">
        <v>214</v>
      </c>
      <c r="F104" s="370">
        <v>0</v>
      </c>
      <c r="G104" s="371">
        <v>0</v>
      </c>
      <c r="H104" s="373">
        <v>0</v>
      </c>
      <c r="I104" s="370">
        <v>25.409999999998998</v>
      </c>
      <c r="J104" s="371">
        <v>25.409999999998998</v>
      </c>
      <c r="K104" s="381" t="s">
        <v>214</v>
      </c>
    </row>
    <row r="105" spans="1:11" ht="14.45" customHeight="1" thickBot="1" x14ac:dyDescent="0.25">
      <c r="A105" s="392" t="s">
        <v>311</v>
      </c>
      <c r="B105" s="370">
        <v>0</v>
      </c>
      <c r="C105" s="370">
        <v>58.936999999999998</v>
      </c>
      <c r="D105" s="371">
        <v>58.936999999999998</v>
      </c>
      <c r="E105" s="380" t="s">
        <v>214</v>
      </c>
      <c r="F105" s="370">
        <v>0</v>
      </c>
      <c r="G105" s="371">
        <v>0</v>
      </c>
      <c r="H105" s="373">
        <v>0</v>
      </c>
      <c r="I105" s="370">
        <v>9.1999999999989992</v>
      </c>
      <c r="J105" s="371">
        <v>9.1999999999989992</v>
      </c>
      <c r="K105" s="381" t="s">
        <v>214</v>
      </c>
    </row>
    <row r="106" spans="1:11" ht="14.45" customHeight="1" thickBot="1" x14ac:dyDescent="0.25">
      <c r="A106" s="392" t="s">
        <v>312</v>
      </c>
      <c r="B106" s="370">
        <v>0</v>
      </c>
      <c r="C106" s="370">
        <v>0</v>
      </c>
      <c r="D106" s="371">
        <v>0</v>
      </c>
      <c r="E106" s="372">
        <v>1</v>
      </c>
      <c r="F106" s="370">
        <v>0</v>
      </c>
      <c r="G106" s="371">
        <v>0</v>
      </c>
      <c r="H106" s="373">
        <v>0</v>
      </c>
      <c r="I106" s="370">
        <v>2.3174999999999999</v>
      </c>
      <c r="J106" s="371">
        <v>2.3174999999999999</v>
      </c>
      <c r="K106" s="381" t="s">
        <v>236</v>
      </c>
    </row>
    <row r="107" spans="1:11" ht="14.45" customHeight="1" thickBot="1" x14ac:dyDescent="0.25">
      <c r="A107" s="391" t="s">
        <v>313</v>
      </c>
      <c r="B107" s="375">
        <v>0</v>
      </c>
      <c r="C107" s="375">
        <v>35.936999999999998</v>
      </c>
      <c r="D107" s="376">
        <v>35.936999999999998</v>
      </c>
      <c r="E107" s="377" t="s">
        <v>236</v>
      </c>
      <c r="F107" s="375">
        <v>0</v>
      </c>
      <c r="G107" s="376">
        <v>0</v>
      </c>
      <c r="H107" s="378">
        <v>0</v>
      </c>
      <c r="I107" s="375">
        <v>0</v>
      </c>
      <c r="J107" s="376">
        <v>0</v>
      </c>
      <c r="K107" s="379" t="s">
        <v>214</v>
      </c>
    </row>
    <row r="108" spans="1:11" ht="14.45" customHeight="1" thickBot="1" x14ac:dyDescent="0.25">
      <c r="A108" s="392" t="s">
        <v>314</v>
      </c>
      <c r="B108" s="370">
        <v>0</v>
      </c>
      <c r="C108" s="370">
        <v>35.936999999999998</v>
      </c>
      <c r="D108" s="371">
        <v>35.936999999999998</v>
      </c>
      <c r="E108" s="380" t="s">
        <v>236</v>
      </c>
      <c r="F108" s="370">
        <v>0</v>
      </c>
      <c r="G108" s="371">
        <v>0</v>
      </c>
      <c r="H108" s="373">
        <v>0</v>
      </c>
      <c r="I108" s="370">
        <v>0</v>
      </c>
      <c r="J108" s="371">
        <v>0</v>
      </c>
      <c r="K108" s="381" t="s">
        <v>214</v>
      </c>
    </row>
    <row r="109" spans="1:11" ht="14.45" customHeight="1" thickBot="1" x14ac:dyDescent="0.25">
      <c r="A109" s="394" t="s">
        <v>315</v>
      </c>
      <c r="B109" s="370">
        <v>0</v>
      </c>
      <c r="C109" s="370">
        <v>30.95</v>
      </c>
      <c r="D109" s="371">
        <v>30.95</v>
      </c>
      <c r="E109" s="380" t="s">
        <v>236</v>
      </c>
      <c r="F109" s="370">
        <v>0</v>
      </c>
      <c r="G109" s="371">
        <v>0</v>
      </c>
      <c r="H109" s="373">
        <v>0</v>
      </c>
      <c r="I109" s="370">
        <v>0</v>
      </c>
      <c r="J109" s="371">
        <v>0</v>
      </c>
      <c r="K109" s="381" t="s">
        <v>214</v>
      </c>
    </row>
    <row r="110" spans="1:11" ht="14.45" customHeight="1" thickBot="1" x14ac:dyDescent="0.25">
      <c r="A110" s="392" t="s">
        <v>316</v>
      </c>
      <c r="B110" s="370">
        <v>0</v>
      </c>
      <c r="C110" s="370">
        <v>30.95</v>
      </c>
      <c r="D110" s="371">
        <v>30.95</v>
      </c>
      <c r="E110" s="380" t="s">
        <v>236</v>
      </c>
      <c r="F110" s="370">
        <v>0</v>
      </c>
      <c r="G110" s="371">
        <v>0</v>
      </c>
      <c r="H110" s="373">
        <v>0</v>
      </c>
      <c r="I110" s="370">
        <v>0</v>
      </c>
      <c r="J110" s="371">
        <v>0</v>
      </c>
      <c r="K110" s="381" t="s">
        <v>214</v>
      </c>
    </row>
    <row r="111" spans="1:11" ht="14.45" customHeight="1" thickBot="1" x14ac:dyDescent="0.25">
      <c r="A111" s="394" t="s">
        <v>317</v>
      </c>
      <c r="B111" s="370">
        <v>20.461415616265999</v>
      </c>
      <c r="C111" s="370">
        <v>36.65</v>
      </c>
      <c r="D111" s="371">
        <v>16.188584383733001</v>
      </c>
      <c r="E111" s="372">
        <v>1.7911761672469999</v>
      </c>
      <c r="F111" s="370">
        <v>0</v>
      </c>
      <c r="G111" s="371">
        <v>0</v>
      </c>
      <c r="H111" s="373">
        <v>1.95</v>
      </c>
      <c r="I111" s="370">
        <v>15.05</v>
      </c>
      <c r="J111" s="371">
        <v>15.05</v>
      </c>
      <c r="K111" s="381" t="s">
        <v>214</v>
      </c>
    </row>
    <row r="112" spans="1:11" ht="14.45" customHeight="1" thickBot="1" x14ac:dyDescent="0.25">
      <c r="A112" s="392" t="s">
        <v>318</v>
      </c>
      <c r="B112" s="370">
        <v>20.461415616265999</v>
      </c>
      <c r="C112" s="370">
        <v>36.65</v>
      </c>
      <c r="D112" s="371">
        <v>16.188584383733001</v>
      </c>
      <c r="E112" s="372">
        <v>1.7911761672469999</v>
      </c>
      <c r="F112" s="370">
        <v>0</v>
      </c>
      <c r="G112" s="371">
        <v>0</v>
      </c>
      <c r="H112" s="373">
        <v>1.95</v>
      </c>
      <c r="I112" s="370">
        <v>15.05</v>
      </c>
      <c r="J112" s="371">
        <v>15.05</v>
      </c>
      <c r="K112" s="381" t="s">
        <v>214</v>
      </c>
    </row>
    <row r="113" spans="1:11" ht="14.45" customHeight="1" thickBot="1" x14ac:dyDescent="0.25">
      <c r="A113" s="389" t="s">
        <v>319</v>
      </c>
      <c r="B113" s="370">
        <v>515.821380220577</v>
      </c>
      <c r="C113" s="370">
        <v>706.227000000001</v>
      </c>
      <c r="D113" s="371">
        <v>190.405619779424</v>
      </c>
      <c r="E113" s="372">
        <v>1.369130918338</v>
      </c>
      <c r="F113" s="370">
        <v>720.99999999999</v>
      </c>
      <c r="G113" s="371">
        <v>600.83333333332496</v>
      </c>
      <c r="H113" s="373">
        <v>62.093260000000001</v>
      </c>
      <c r="I113" s="370">
        <v>640.40221999999903</v>
      </c>
      <c r="J113" s="371">
        <v>39.568886666673997</v>
      </c>
      <c r="K113" s="374">
        <v>0.88821389736400003</v>
      </c>
    </row>
    <row r="114" spans="1:11" ht="14.45" customHeight="1" thickBot="1" x14ac:dyDescent="0.25">
      <c r="A114" s="390" t="s">
        <v>320</v>
      </c>
      <c r="B114" s="370">
        <v>515.821380220577</v>
      </c>
      <c r="C114" s="370">
        <v>704.049000000001</v>
      </c>
      <c r="D114" s="371">
        <v>188.227619779424</v>
      </c>
      <c r="E114" s="372">
        <v>1.364908526472</v>
      </c>
      <c r="F114" s="370">
        <v>686.99999999999</v>
      </c>
      <c r="G114" s="371">
        <v>572.49999999999204</v>
      </c>
      <c r="H114" s="373">
        <v>62.093260000000001</v>
      </c>
      <c r="I114" s="370">
        <v>598.74009999999896</v>
      </c>
      <c r="J114" s="371">
        <v>26.240100000007001</v>
      </c>
      <c r="K114" s="374">
        <v>0.87152852983899998</v>
      </c>
    </row>
    <row r="115" spans="1:11" ht="14.45" customHeight="1" thickBot="1" x14ac:dyDescent="0.25">
      <c r="A115" s="391" t="s">
        <v>321</v>
      </c>
      <c r="B115" s="375">
        <v>515.821380220577</v>
      </c>
      <c r="C115" s="375">
        <v>704.049000000001</v>
      </c>
      <c r="D115" s="376">
        <v>188.227619779424</v>
      </c>
      <c r="E115" s="382">
        <v>1.364908526472</v>
      </c>
      <c r="F115" s="375">
        <v>686.99999999999</v>
      </c>
      <c r="G115" s="376">
        <v>572.49999999999204</v>
      </c>
      <c r="H115" s="378">
        <v>62.093260000000001</v>
      </c>
      <c r="I115" s="375">
        <v>598.74009999999896</v>
      </c>
      <c r="J115" s="376">
        <v>26.240100000007001</v>
      </c>
      <c r="K115" s="383">
        <v>0.87152852983899998</v>
      </c>
    </row>
    <row r="116" spans="1:11" ht="14.45" customHeight="1" thickBot="1" x14ac:dyDescent="0.25">
      <c r="A116" s="392" t="s">
        <v>322</v>
      </c>
      <c r="B116" s="370">
        <v>2.9884698867649999</v>
      </c>
      <c r="C116" s="370">
        <v>2.9279999999999999</v>
      </c>
      <c r="D116" s="371">
        <v>-6.0469886765000001E-2</v>
      </c>
      <c r="E116" s="372">
        <v>0.979765602781</v>
      </c>
      <c r="F116" s="370">
        <v>2.9999999999989999</v>
      </c>
      <c r="G116" s="371">
        <v>2.4999999999989999</v>
      </c>
      <c r="H116" s="373">
        <v>0.29376999999999998</v>
      </c>
      <c r="I116" s="370">
        <v>2.7345999999999999</v>
      </c>
      <c r="J116" s="371">
        <v>0.2346</v>
      </c>
      <c r="K116" s="374">
        <v>0.91153333333300002</v>
      </c>
    </row>
    <row r="117" spans="1:11" ht="14.45" customHeight="1" thickBot="1" x14ac:dyDescent="0.25">
      <c r="A117" s="392" t="s">
        <v>323</v>
      </c>
      <c r="B117" s="370">
        <v>397.836334029635</v>
      </c>
      <c r="C117" s="370">
        <v>566.90600000000097</v>
      </c>
      <c r="D117" s="371">
        <v>169.069665970366</v>
      </c>
      <c r="E117" s="372">
        <v>1.4249729135039999</v>
      </c>
      <c r="F117" s="370">
        <v>548.99999999999204</v>
      </c>
      <c r="G117" s="371">
        <v>457.49999999999301</v>
      </c>
      <c r="H117" s="373">
        <v>48.622999999999998</v>
      </c>
      <c r="I117" s="370">
        <v>475.17200000000003</v>
      </c>
      <c r="J117" s="371">
        <v>17.672000000006001</v>
      </c>
      <c r="K117" s="374">
        <v>0.86552276867</v>
      </c>
    </row>
    <row r="118" spans="1:11" ht="14.45" customHeight="1" thickBot="1" x14ac:dyDescent="0.25">
      <c r="A118" s="392" t="s">
        <v>324</v>
      </c>
      <c r="B118" s="370">
        <v>92.058050686841</v>
      </c>
      <c r="C118" s="370">
        <v>112.596</v>
      </c>
      <c r="D118" s="371">
        <v>20.537949313157998</v>
      </c>
      <c r="E118" s="372">
        <v>1.2230978079579999</v>
      </c>
      <c r="F118" s="370">
        <v>112.999999999998</v>
      </c>
      <c r="G118" s="371">
        <v>94.166666666664995</v>
      </c>
      <c r="H118" s="373">
        <v>11.207000000000001</v>
      </c>
      <c r="I118" s="370">
        <v>101.126</v>
      </c>
      <c r="J118" s="371">
        <v>6.9593333333340004</v>
      </c>
      <c r="K118" s="374">
        <v>0.89492035398199998</v>
      </c>
    </row>
    <row r="119" spans="1:11" ht="14.45" customHeight="1" thickBot="1" x14ac:dyDescent="0.25">
      <c r="A119" s="392" t="s">
        <v>325</v>
      </c>
      <c r="B119" s="370">
        <v>22.938525617334999</v>
      </c>
      <c r="C119" s="370">
        <v>21.619</v>
      </c>
      <c r="D119" s="371">
        <v>-1.319525617334</v>
      </c>
      <c r="E119" s="372">
        <v>0.942475569731</v>
      </c>
      <c r="F119" s="370">
        <v>21.999999999999002</v>
      </c>
      <c r="G119" s="371">
        <v>18.333333333333002</v>
      </c>
      <c r="H119" s="373">
        <v>1.96949</v>
      </c>
      <c r="I119" s="370">
        <v>19.7075</v>
      </c>
      <c r="J119" s="371">
        <v>1.374166666666</v>
      </c>
      <c r="K119" s="374">
        <v>0.89579545454499998</v>
      </c>
    </row>
    <row r="120" spans="1:11" ht="14.45" customHeight="1" thickBot="1" x14ac:dyDescent="0.25">
      <c r="A120" s="390" t="s">
        <v>326</v>
      </c>
      <c r="B120" s="370">
        <v>0</v>
      </c>
      <c r="C120" s="370">
        <v>2.1779999999999999</v>
      </c>
      <c r="D120" s="371">
        <v>2.1779999999999999</v>
      </c>
      <c r="E120" s="380" t="s">
        <v>236</v>
      </c>
      <c r="F120" s="370">
        <v>34</v>
      </c>
      <c r="G120" s="371">
        <v>28.333333333333002</v>
      </c>
      <c r="H120" s="373">
        <v>0</v>
      </c>
      <c r="I120" s="370">
        <v>41.662119999999</v>
      </c>
      <c r="J120" s="371">
        <v>13.328786666666</v>
      </c>
      <c r="K120" s="374">
        <v>1.225356470588</v>
      </c>
    </row>
    <row r="121" spans="1:11" ht="14.45" customHeight="1" thickBot="1" x14ac:dyDescent="0.25">
      <c r="A121" s="391" t="s">
        <v>327</v>
      </c>
      <c r="B121" s="375">
        <v>0</v>
      </c>
      <c r="C121" s="375">
        <v>0</v>
      </c>
      <c r="D121" s="376">
        <v>0</v>
      </c>
      <c r="E121" s="382">
        <v>1</v>
      </c>
      <c r="F121" s="375">
        <v>34</v>
      </c>
      <c r="G121" s="376">
        <v>28.333333333333002</v>
      </c>
      <c r="H121" s="378">
        <v>0</v>
      </c>
      <c r="I121" s="375">
        <v>34.111719999999004</v>
      </c>
      <c r="J121" s="376">
        <v>5.778386666666</v>
      </c>
      <c r="K121" s="383">
        <v>1.0032858823519999</v>
      </c>
    </row>
    <row r="122" spans="1:11" ht="14.45" customHeight="1" thickBot="1" x14ac:dyDescent="0.25">
      <c r="A122" s="392" t="s">
        <v>328</v>
      </c>
      <c r="B122" s="370">
        <v>0</v>
      </c>
      <c r="C122" s="370">
        <v>0</v>
      </c>
      <c r="D122" s="371">
        <v>0</v>
      </c>
      <c r="E122" s="372">
        <v>1</v>
      </c>
      <c r="F122" s="370">
        <v>34</v>
      </c>
      <c r="G122" s="371">
        <v>28.333333333333002</v>
      </c>
      <c r="H122" s="373">
        <v>0</v>
      </c>
      <c r="I122" s="370">
        <v>34.111719999999004</v>
      </c>
      <c r="J122" s="371">
        <v>5.778386666666</v>
      </c>
      <c r="K122" s="374">
        <v>1.0032858823519999</v>
      </c>
    </row>
    <row r="123" spans="1:11" ht="14.45" customHeight="1" thickBot="1" x14ac:dyDescent="0.25">
      <c r="A123" s="391" t="s">
        <v>329</v>
      </c>
      <c r="B123" s="375">
        <v>0</v>
      </c>
      <c r="C123" s="375">
        <v>2.1779999999999999</v>
      </c>
      <c r="D123" s="376">
        <v>2.1779999999999999</v>
      </c>
      <c r="E123" s="377" t="s">
        <v>236</v>
      </c>
      <c r="F123" s="375">
        <v>0</v>
      </c>
      <c r="G123" s="376">
        <v>0</v>
      </c>
      <c r="H123" s="378">
        <v>0</v>
      </c>
      <c r="I123" s="375">
        <v>7.5503999999989997</v>
      </c>
      <c r="J123" s="376">
        <v>7.5503999999989997</v>
      </c>
      <c r="K123" s="379" t="s">
        <v>214</v>
      </c>
    </row>
    <row r="124" spans="1:11" ht="14.45" customHeight="1" thickBot="1" x14ac:dyDescent="0.25">
      <c r="A124" s="392" t="s">
        <v>330</v>
      </c>
      <c r="B124" s="370">
        <v>0</v>
      </c>
      <c r="C124" s="370">
        <v>2.1779999999999999</v>
      </c>
      <c r="D124" s="371">
        <v>2.1779999999999999</v>
      </c>
      <c r="E124" s="380" t="s">
        <v>236</v>
      </c>
      <c r="F124" s="370">
        <v>0</v>
      </c>
      <c r="G124" s="371">
        <v>0</v>
      </c>
      <c r="H124" s="373">
        <v>0</v>
      </c>
      <c r="I124" s="370">
        <v>7.5503999999989997</v>
      </c>
      <c r="J124" s="371">
        <v>7.5503999999989997</v>
      </c>
      <c r="K124" s="381" t="s">
        <v>214</v>
      </c>
    </row>
    <row r="125" spans="1:11" ht="14.45" customHeight="1" thickBot="1" x14ac:dyDescent="0.25">
      <c r="A125" s="389" t="s">
        <v>331</v>
      </c>
      <c r="B125" s="370">
        <v>0</v>
      </c>
      <c r="C125" s="370">
        <v>0.13544999999999999</v>
      </c>
      <c r="D125" s="371">
        <v>0.13544999999999999</v>
      </c>
      <c r="E125" s="380" t="s">
        <v>236</v>
      </c>
      <c r="F125" s="370">
        <v>0</v>
      </c>
      <c r="G125" s="371">
        <v>0</v>
      </c>
      <c r="H125" s="373">
        <v>0</v>
      </c>
      <c r="I125" s="370">
        <v>4.7429999999000001E-2</v>
      </c>
      <c r="J125" s="371">
        <v>4.7429999999000001E-2</v>
      </c>
      <c r="K125" s="381" t="s">
        <v>214</v>
      </c>
    </row>
    <row r="126" spans="1:11" ht="14.45" customHeight="1" thickBot="1" x14ac:dyDescent="0.25">
      <c r="A126" s="390" t="s">
        <v>332</v>
      </c>
      <c r="B126" s="370">
        <v>0</v>
      </c>
      <c r="C126" s="370">
        <v>0.13544999999999999</v>
      </c>
      <c r="D126" s="371">
        <v>0.13544999999999999</v>
      </c>
      <c r="E126" s="380" t="s">
        <v>236</v>
      </c>
      <c r="F126" s="370">
        <v>0</v>
      </c>
      <c r="G126" s="371">
        <v>0</v>
      </c>
      <c r="H126" s="373">
        <v>0</v>
      </c>
      <c r="I126" s="370">
        <v>4.7429999999000001E-2</v>
      </c>
      <c r="J126" s="371">
        <v>4.7429999999000001E-2</v>
      </c>
      <c r="K126" s="381" t="s">
        <v>214</v>
      </c>
    </row>
    <row r="127" spans="1:11" ht="14.45" customHeight="1" thickBot="1" x14ac:dyDescent="0.25">
      <c r="A127" s="391" t="s">
        <v>333</v>
      </c>
      <c r="B127" s="375">
        <v>0</v>
      </c>
      <c r="C127" s="375">
        <v>0.13544999999999999</v>
      </c>
      <c r="D127" s="376">
        <v>0.13544999999999999</v>
      </c>
      <c r="E127" s="377" t="s">
        <v>236</v>
      </c>
      <c r="F127" s="375">
        <v>0</v>
      </c>
      <c r="G127" s="376">
        <v>0</v>
      </c>
      <c r="H127" s="378">
        <v>0</v>
      </c>
      <c r="I127" s="375">
        <v>4.7429999999000001E-2</v>
      </c>
      <c r="J127" s="376">
        <v>4.7429999999000001E-2</v>
      </c>
      <c r="K127" s="379" t="s">
        <v>214</v>
      </c>
    </row>
    <row r="128" spans="1:11" ht="14.45" customHeight="1" thickBot="1" x14ac:dyDescent="0.25">
      <c r="A128" s="392" t="s">
        <v>334</v>
      </c>
      <c r="B128" s="370">
        <v>0</v>
      </c>
      <c r="C128" s="370">
        <v>0.13544999999999999</v>
      </c>
      <c r="D128" s="371">
        <v>0.13544999999999999</v>
      </c>
      <c r="E128" s="380" t="s">
        <v>236</v>
      </c>
      <c r="F128" s="370">
        <v>0</v>
      </c>
      <c r="G128" s="371">
        <v>0</v>
      </c>
      <c r="H128" s="373">
        <v>0</v>
      </c>
      <c r="I128" s="370">
        <v>4.7429999999000001E-2</v>
      </c>
      <c r="J128" s="371">
        <v>4.7429999999000001E-2</v>
      </c>
      <c r="K128" s="381" t="s">
        <v>214</v>
      </c>
    </row>
    <row r="129" spans="1:11" ht="14.45" customHeight="1" thickBot="1" x14ac:dyDescent="0.25">
      <c r="A129" s="388" t="s">
        <v>335</v>
      </c>
      <c r="B129" s="370">
        <v>87656.828181162899</v>
      </c>
      <c r="C129" s="370">
        <v>100474.50023000001</v>
      </c>
      <c r="D129" s="371">
        <v>12817.672048836999</v>
      </c>
      <c r="E129" s="372">
        <v>1.146225597193</v>
      </c>
      <c r="F129" s="370">
        <v>111668.48041452401</v>
      </c>
      <c r="G129" s="371">
        <v>93057.067012102896</v>
      </c>
      <c r="H129" s="373">
        <v>7942.7729799999797</v>
      </c>
      <c r="I129" s="370">
        <v>88786.283160000006</v>
      </c>
      <c r="J129" s="371">
        <v>-4270.7838521029298</v>
      </c>
      <c r="K129" s="374">
        <v>0.79508812899000003</v>
      </c>
    </row>
    <row r="130" spans="1:11" ht="14.45" customHeight="1" thickBot="1" x14ac:dyDescent="0.25">
      <c r="A130" s="389" t="s">
        <v>336</v>
      </c>
      <c r="B130" s="370">
        <v>87631.656555690803</v>
      </c>
      <c r="C130" s="370">
        <v>100404.1989</v>
      </c>
      <c r="D130" s="371">
        <v>12772.5423443092</v>
      </c>
      <c r="E130" s="372">
        <v>1.145752606379</v>
      </c>
      <c r="F130" s="370">
        <v>111668.48041452401</v>
      </c>
      <c r="G130" s="371">
        <v>93057.067012102896</v>
      </c>
      <c r="H130" s="373">
        <v>7940.5415699999803</v>
      </c>
      <c r="I130" s="370">
        <v>88647.287330000006</v>
      </c>
      <c r="J130" s="371">
        <v>-4409.7796821029297</v>
      </c>
      <c r="K130" s="374">
        <v>0.79384341043100004</v>
      </c>
    </row>
    <row r="131" spans="1:11" ht="14.45" customHeight="1" thickBot="1" x14ac:dyDescent="0.25">
      <c r="A131" s="390" t="s">
        <v>337</v>
      </c>
      <c r="B131" s="370">
        <v>87631.656555690803</v>
      </c>
      <c r="C131" s="370">
        <v>100404.1989</v>
      </c>
      <c r="D131" s="371">
        <v>12772.5423443092</v>
      </c>
      <c r="E131" s="372">
        <v>1.145752606379</v>
      </c>
      <c r="F131" s="370">
        <v>111668.48041452401</v>
      </c>
      <c r="G131" s="371">
        <v>93057.067012102896</v>
      </c>
      <c r="H131" s="373">
        <v>7940.5415699999803</v>
      </c>
      <c r="I131" s="370">
        <v>88647.287330000006</v>
      </c>
      <c r="J131" s="371">
        <v>-4409.7796821029297</v>
      </c>
      <c r="K131" s="374">
        <v>0.79384341043100004</v>
      </c>
    </row>
    <row r="132" spans="1:11" ht="14.45" customHeight="1" thickBot="1" x14ac:dyDescent="0.25">
      <c r="A132" s="391" t="s">
        <v>338</v>
      </c>
      <c r="B132" s="375">
        <v>112.103853402884</v>
      </c>
      <c r="C132" s="375">
        <v>228.84929</v>
      </c>
      <c r="D132" s="376">
        <v>116.745436597116</v>
      </c>
      <c r="E132" s="382">
        <v>2.041404314422</v>
      </c>
      <c r="F132" s="375">
        <v>248.56998999883001</v>
      </c>
      <c r="G132" s="376">
        <v>207.14165833235799</v>
      </c>
      <c r="H132" s="378">
        <v>72.296869999999004</v>
      </c>
      <c r="I132" s="375">
        <v>307.96609000000001</v>
      </c>
      <c r="J132" s="376">
        <v>100.824431667642</v>
      </c>
      <c r="K132" s="383">
        <v>1.238951210487</v>
      </c>
    </row>
    <row r="133" spans="1:11" ht="14.45" customHeight="1" thickBot="1" x14ac:dyDescent="0.25">
      <c r="A133" s="392" t="s">
        <v>339</v>
      </c>
      <c r="B133" s="370">
        <v>1.8753125266949999</v>
      </c>
      <c r="C133" s="370">
        <v>2.2404000000000002</v>
      </c>
      <c r="D133" s="371">
        <v>0.36508747330399999</v>
      </c>
      <c r="E133" s="372">
        <v>1.1946808695119999</v>
      </c>
      <c r="F133" s="370">
        <v>2.23350611018</v>
      </c>
      <c r="G133" s="371">
        <v>1.861255091816</v>
      </c>
      <c r="H133" s="373">
        <v>45.371899999999002</v>
      </c>
      <c r="I133" s="370">
        <v>47.184819999999</v>
      </c>
      <c r="J133" s="371">
        <v>45.323564908183002</v>
      </c>
      <c r="K133" s="374">
        <v>21.125896985431002</v>
      </c>
    </row>
    <row r="134" spans="1:11" ht="14.45" customHeight="1" thickBot="1" x14ac:dyDescent="0.25">
      <c r="A134" s="392" t="s">
        <v>340</v>
      </c>
      <c r="B134" s="370">
        <v>97.541767763907004</v>
      </c>
      <c r="C134" s="370">
        <v>215.50020000000001</v>
      </c>
      <c r="D134" s="371">
        <v>117.95843223609199</v>
      </c>
      <c r="E134" s="372">
        <v>2.2093120202779999</v>
      </c>
      <c r="F134" s="370">
        <v>236.60645855008099</v>
      </c>
      <c r="G134" s="371">
        <v>197.172048791734</v>
      </c>
      <c r="H134" s="373">
        <v>26.875379999999002</v>
      </c>
      <c r="I134" s="370">
        <v>260.56472000000002</v>
      </c>
      <c r="J134" s="371">
        <v>63.392671208265</v>
      </c>
      <c r="K134" s="374">
        <v>1.1012578506799999</v>
      </c>
    </row>
    <row r="135" spans="1:11" ht="14.45" customHeight="1" thickBot="1" x14ac:dyDescent="0.25">
      <c r="A135" s="392" t="s">
        <v>341</v>
      </c>
      <c r="B135" s="370">
        <v>12.686773112279999</v>
      </c>
      <c r="C135" s="370">
        <v>11.108689999999999</v>
      </c>
      <c r="D135" s="371">
        <v>-1.5780831122800001</v>
      </c>
      <c r="E135" s="372">
        <v>0.87561193864499998</v>
      </c>
      <c r="F135" s="370">
        <v>9.7300253385679998</v>
      </c>
      <c r="G135" s="371">
        <v>8.1083544488060006</v>
      </c>
      <c r="H135" s="373">
        <v>4.9589999999000003E-2</v>
      </c>
      <c r="I135" s="370">
        <v>0.21654999999999999</v>
      </c>
      <c r="J135" s="371">
        <v>-7.891804448806</v>
      </c>
      <c r="K135" s="374">
        <v>2.2255851600000001E-2</v>
      </c>
    </row>
    <row r="136" spans="1:11" ht="14.45" customHeight="1" thickBot="1" x14ac:dyDescent="0.25">
      <c r="A136" s="391" t="s">
        <v>342</v>
      </c>
      <c r="B136" s="375">
        <v>339.14978824269599</v>
      </c>
      <c r="C136" s="375">
        <v>215.32830000000001</v>
      </c>
      <c r="D136" s="376">
        <v>-123.82148824269601</v>
      </c>
      <c r="E136" s="382">
        <v>0.63490619031700002</v>
      </c>
      <c r="F136" s="375">
        <v>0</v>
      </c>
      <c r="G136" s="376">
        <v>0</v>
      </c>
      <c r="H136" s="378">
        <v>0</v>
      </c>
      <c r="I136" s="375">
        <v>0</v>
      </c>
      <c r="J136" s="376">
        <v>0</v>
      </c>
      <c r="K136" s="379" t="s">
        <v>214</v>
      </c>
    </row>
    <row r="137" spans="1:11" ht="14.45" customHeight="1" thickBot="1" x14ac:dyDescent="0.25">
      <c r="A137" s="392" t="s">
        <v>343</v>
      </c>
      <c r="B137" s="370">
        <v>339.14978824269599</v>
      </c>
      <c r="C137" s="370">
        <v>215.32830000000001</v>
      </c>
      <c r="D137" s="371">
        <v>-123.82148824269601</v>
      </c>
      <c r="E137" s="372">
        <v>0.63490619031700002</v>
      </c>
      <c r="F137" s="370">
        <v>0</v>
      </c>
      <c r="G137" s="371">
        <v>0</v>
      </c>
      <c r="H137" s="373">
        <v>0</v>
      </c>
      <c r="I137" s="370">
        <v>0</v>
      </c>
      <c r="J137" s="371">
        <v>0</v>
      </c>
      <c r="K137" s="381" t="s">
        <v>214</v>
      </c>
    </row>
    <row r="138" spans="1:11" ht="14.45" customHeight="1" thickBot="1" x14ac:dyDescent="0.25">
      <c r="A138" s="394" t="s">
        <v>344</v>
      </c>
      <c r="B138" s="370">
        <v>277.501499393166</v>
      </c>
      <c r="C138" s="370">
        <v>353.15911999999997</v>
      </c>
      <c r="D138" s="371">
        <v>75.657620606833007</v>
      </c>
      <c r="E138" s="372">
        <v>1.2726386011319999</v>
      </c>
      <c r="F138" s="370">
        <v>129.701820603969</v>
      </c>
      <c r="G138" s="371">
        <v>108.084850503308</v>
      </c>
      <c r="H138" s="373">
        <v>82.760359999998997</v>
      </c>
      <c r="I138" s="370">
        <v>404.71843999999999</v>
      </c>
      <c r="J138" s="371">
        <v>296.63358949669203</v>
      </c>
      <c r="K138" s="374">
        <v>3.1203759370170001</v>
      </c>
    </row>
    <row r="139" spans="1:11" ht="14.45" customHeight="1" thickBot="1" x14ac:dyDescent="0.25">
      <c r="A139" s="392" t="s">
        <v>345</v>
      </c>
      <c r="B139" s="370">
        <v>0</v>
      </c>
      <c r="C139" s="370">
        <v>0</v>
      </c>
      <c r="D139" s="371">
        <v>0</v>
      </c>
      <c r="E139" s="372">
        <v>1</v>
      </c>
      <c r="F139" s="370">
        <v>50.038008882325002</v>
      </c>
      <c r="G139" s="371">
        <v>41.698340735271003</v>
      </c>
      <c r="H139" s="373">
        <v>0.70644999999900004</v>
      </c>
      <c r="I139" s="370">
        <v>95.150649999999999</v>
      </c>
      <c r="J139" s="371">
        <v>53.452309264728001</v>
      </c>
      <c r="K139" s="374">
        <v>1.9015674709149999</v>
      </c>
    </row>
    <row r="140" spans="1:11" ht="14.45" customHeight="1" thickBot="1" x14ac:dyDescent="0.25">
      <c r="A140" s="392" t="s">
        <v>346</v>
      </c>
      <c r="B140" s="370">
        <v>0</v>
      </c>
      <c r="C140" s="370">
        <v>0</v>
      </c>
      <c r="D140" s="371">
        <v>0</v>
      </c>
      <c r="E140" s="372">
        <v>1</v>
      </c>
      <c r="F140" s="370">
        <v>79.663811721643</v>
      </c>
      <c r="G140" s="371">
        <v>66.386509768036007</v>
      </c>
      <c r="H140" s="373">
        <v>82.053909999998993</v>
      </c>
      <c r="I140" s="370">
        <v>309.56779</v>
      </c>
      <c r="J140" s="371">
        <v>243.181280231963</v>
      </c>
      <c r="K140" s="374">
        <v>3.8859274155949999</v>
      </c>
    </row>
    <row r="141" spans="1:11" ht="14.45" customHeight="1" thickBot="1" x14ac:dyDescent="0.25">
      <c r="A141" s="392" t="s">
        <v>347</v>
      </c>
      <c r="B141" s="370">
        <v>223.13996158397899</v>
      </c>
      <c r="C141" s="370">
        <v>225.79405</v>
      </c>
      <c r="D141" s="371">
        <v>2.65408841602</v>
      </c>
      <c r="E141" s="372">
        <v>1.011894276566</v>
      </c>
      <c r="F141" s="370">
        <v>0</v>
      </c>
      <c r="G141" s="371">
        <v>0</v>
      </c>
      <c r="H141" s="373">
        <v>0</v>
      </c>
      <c r="I141" s="370">
        <v>0</v>
      </c>
      <c r="J141" s="371">
        <v>0</v>
      </c>
      <c r="K141" s="381" t="s">
        <v>214</v>
      </c>
    </row>
    <row r="142" spans="1:11" ht="14.45" customHeight="1" thickBot="1" x14ac:dyDescent="0.25">
      <c r="A142" s="392" t="s">
        <v>348</v>
      </c>
      <c r="B142" s="370">
        <v>54.361537809185997</v>
      </c>
      <c r="C142" s="370">
        <v>127.36507</v>
      </c>
      <c r="D142" s="371">
        <v>73.003532190813004</v>
      </c>
      <c r="E142" s="372">
        <v>2.3429261778249999</v>
      </c>
      <c r="F142" s="370">
        <v>0</v>
      </c>
      <c r="G142" s="371">
        <v>0</v>
      </c>
      <c r="H142" s="373">
        <v>0</v>
      </c>
      <c r="I142" s="370">
        <v>0</v>
      </c>
      <c r="J142" s="371">
        <v>0</v>
      </c>
      <c r="K142" s="381" t="s">
        <v>214</v>
      </c>
    </row>
    <row r="143" spans="1:11" ht="14.45" customHeight="1" thickBot="1" x14ac:dyDescent="0.25">
      <c r="A143" s="391" t="s">
        <v>349</v>
      </c>
      <c r="B143" s="375">
        <v>86902.901414652093</v>
      </c>
      <c r="C143" s="375">
        <v>93894.17254</v>
      </c>
      <c r="D143" s="376">
        <v>6991.2711253479201</v>
      </c>
      <c r="E143" s="382">
        <v>1.080449225647</v>
      </c>
      <c r="F143" s="375">
        <v>111290.208603921</v>
      </c>
      <c r="G143" s="376">
        <v>92741.840503267202</v>
      </c>
      <c r="H143" s="378">
        <v>7422.1375799999896</v>
      </c>
      <c r="I143" s="375">
        <v>85258.253599999996</v>
      </c>
      <c r="J143" s="376">
        <v>-7483.5869032672599</v>
      </c>
      <c r="K143" s="383">
        <v>0.76608944011799995</v>
      </c>
    </row>
    <row r="144" spans="1:11" ht="14.45" customHeight="1" thickBot="1" x14ac:dyDescent="0.25">
      <c r="A144" s="392" t="s">
        <v>350</v>
      </c>
      <c r="B144" s="370">
        <v>37005.019546577903</v>
      </c>
      <c r="C144" s="370">
        <v>38102.01283</v>
      </c>
      <c r="D144" s="371">
        <v>1096.9932834220599</v>
      </c>
      <c r="E144" s="372">
        <v>1.029644445452</v>
      </c>
      <c r="F144" s="370">
        <v>0</v>
      </c>
      <c r="G144" s="371">
        <v>0</v>
      </c>
      <c r="H144" s="373">
        <v>0</v>
      </c>
      <c r="I144" s="370">
        <v>0</v>
      </c>
      <c r="J144" s="371">
        <v>0</v>
      </c>
      <c r="K144" s="381" t="s">
        <v>214</v>
      </c>
    </row>
    <row r="145" spans="1:11" ht="14.45" customHeight="1" thickBot="1" x14ac:dyDescent="0.25">
      <c r="A145" s="392" t="s">
        <v>351</v>
      </c>
      <c r="B145" s="370">
        <v>49897.881868074102</v>
      </c>
      <c r="C145" s="370">
        <v>55792.15971</v>
      </c>
      <c r="D145" s="371">
        <v>5894.2778419258802</v>
      </c>
      <c r="E145" s="372">
        <v>1.1181268146309999</v>
      </c>
      <c r="F145" s="370">
        <v>111290.208603921</v>
      </c>
      <c r="G145" s="371">
        <v>92741.840503267202</v>
      </c>
      <c r="H145" s="373">
        <v>7422.1375799999896</v>
      </c>
      <c r="I145" s="370">
        <v>85258.253599999996</v>
      </c>
      <c r="J145" s="371">
        <v>-7483.5869032672599</v>
      </c>
      <c r="K145" s="374">
        <v>0.76608944011799995</v>
      </c>
    </row>
    <row r="146" spans="1:11" ht="14.45" customHeight="1" thickBot="1" x14ac:dyDescent="0.25">
      <c r="A146" s="391" t="s">
        <v>352</v>
      </c>
      <c r="B146" s="375">
        <v>0</v>
      </c>
      <c r="C146" s="375">
        <v>5712.6896500000003</v>
      </c>
      <c r="D146" s="376">
        <v>5712.6896500000003</v>
      </c>
      <c r="E146" s="377" t="s">
        <v>214</v>
      </c>
      <c r="F146" s="375">
        <v>0</v>
      </c>
      <c r="G146" s="376">
        <v>0</v>
      </c>
      <c r="H146" s="378">
        <v>363.34675999999899</v>
      </c>
      <c r="I146" s="375">
        <v>2676.3492000000001</v>
      </c>
      <c r="J146" s="376">
        <v>2676.3492000000001</v>
      </c>
      <c r="K146" s="379" t="s">
        <v>214</v>
      </c>
    </row>
    <row r="147" spans="1:11" ht="14.45" customHeight="1" thickBot="1" x14ac:dyDescent="0.25">
      <c r="A147" s="392" t="s">
        <v>353</v>
      </c>
      <c r="B147" s="370">
        <v>0</v>
      </c>
      <c r="C147" s="370">
        <v>1948.2169100000001</v>
      </c>
      <c r="D147" s="371">
        <v>1948.2169100000001</v>
      </c>
      <c r="E147" s="380" t="s">
        <v>214</v>
      </c>
      <c r="F147" s="370">
        <v>0</v>
      </c>
      <c r="G147" s="371">
        <v>0</v>
      </c>
      <c r="H147" s="373">
        <v>0</v>
      </c>
      <c r="I147" s="370">
        <v>0</v>
      </c>
      <c r="J147" s="371">
        <v>0</v>
      </c>
      <c r="K147" s="381" t="s">
        <v>214</v>
      </c>
    </row>
    <row r="148" spans="1:11" ht="14.45" customHeight="1" thickBot="1" x14ac:dyDescent="0.25">
      <c r="A148" s="392" t="s">
        <v>354</v>
      </c>
      <c r="B148" s="370">
        <v>0</v>
      </c>
      <c r="C148" s="370">
        <v>3764.4727400000002</v>
      </c>
      <c r="D148" s="371">
        <v>3764.4727400000002</v>
      </c>
      <c r="E148" s="380" t="s">
        <v>214</v>
      </c>
      <c r="F148" s="370">
        <v>0</v>
      </c>
      <c r="G148" s="371">
        <v>0</v>
      </c>
      <c r="H148" s="373">
        <v>363.34675999999899</v>
      </c>
      <c r="I148" s="370">
        <v>2676.3492000000001</v>
      </c>
      <c r="J148" s="371">
        <v>2676.3492000000001</v>
      </c>
      <c r="K148" s="381" t="s">
        <v>214</v>
      </c>
    </row>
    <row r="149" spans="1:11" ht="14.45" customHeight="1" thickBot="1" x14ac:dyDescent="0.25">
      <c r="A149" s="389" t="s">
        <v>355</v>
      </c>
      <c r="B149" s="370">
        <v>25.171625472134</v>
      </c>
      <c r="C149" s="370">
        <v>70.301329999999993</v>
      </c>
      <c r="D149" s="371">
        <v>45.129704527865002</v>
      </c>
      <c r="E149" s="372">
        <v>2.7928800258769999</v>
      </c>
      <c r="F149" s="370">
        <v>0</v>
      </c>
      <c r="G149" s="371">
        <v>0</v>
      </c>
      <c r="H149" s="373">
        <v>2.2314099999999999</v>
      </c>
      <c r="I149" s="370">
        <v>138.92818</v>
      </c>
      <c r="J149" s="371">
        <v>138.92818</v>
      </c>
      <c r="K149" s="381" t="s">
        <v>214</v>
      </c>
    </row>
    <row r="150" spans="1:11" ht="14.45" customHeight="1" thickBot="1" x14ac:dyDescent="0.25">
      <c r="A150" s="390" t="s">
        <v>356</v>
      </c>
      <c r="B150" s="370">
        <v>0</v>
      </c>
      <c r="C150" s="370">
        <v>40.5</v>
      </c>
      <c r="D150" s="371">
        <v>40.5</v>
      </c>
      <c r="E150" s="380" t="s">
        <v>214</v>
      </c>
      <c r="F150" s="370">
        <v>0</v>
      </c>
      <c r="G150" s="371">
        <v>0</v>
      </c>
      <c r="H150" s="373">
        <v>0</v>
      </c>
      <c r="I150" s="370">
        <v>24.75</v>
      </c>
      <c r="J150" s="371">
        <v>24.75</v>
      </c>
      <c r="K150" s="381" t="s">
        <v>214</v>
      </c>
    </row>
    <row r="151" spans="1:11" ht="14.45" customHeight="1" thickBot="1" x14ac:dyDescent="0.25">
      <c r="A151" s="391" t="s">
        <v>357</v>
      </c>
      <c r="B151" s="375">
        <v>0</v>
      </c>
      <c r="C151" s="375">
        <v>40.5</v>
      </c>
      <c r="D151" s="376">
        <v>40.5</v>
      </c>
      <c r="E151" s="377" t="s">
        <v>214</v>
      </c>
      <c r="F151" s="375">
        <v>0</v>
      </c>
      <c r="G151" s="376">
        <v>0</v>
      </c>
      <c r="H151" s="378">
        <v>0</v>
      </c>
      <c r="I151" s="375">
        <v>24.75</v>
      </c>
      <c r="J151" s="376">
        <v>24.75</v>
      </c>
      <c r="K151" s="379" t="s">
        <v>214</v>
      </c>
    </row>
    <row r="152" spans="1:11" ht="14.45" customHeight="1" thickBot="1" x14ac:dyDescent="0.25">
      <c r="A152" s="392" t="s">
        <v>358</v>
      </c>
      <c r="B152" s="370">
        <v>0</v>
      </c>
      <c r="C152" s="370">
        <v>40.5</v>
      </c>
      <c r="D152" s="371">
        <v>40.5</v>
      </c>
      <c r="E152" s="380" t="s">
        <v>214</v>
      </c>
      <c r="F152" s="370">
        <v>0</v>
      </c>
      <c r="G152" s="371">
        <v>0</v>
      </c>
      <c r="H152" s="373">
        <v>0</v>
      </c>
      <c r="I152" s="370">
        <v>24.75</v>
      </c>
      <c r="J152" s="371">
        <v>24.75</v>
      </c>
      <c r="K152" s="381" t="s">
        <v>214</v>
      </c>
    </row>
    <row r="153" spans="1:11" ht="14.45" customHeight="1" thickBot="1" x14ac:dyDescent="0.25">
      <c r="A153" s="395" t="s">
        <v>359</v>
      </c>
      <c r="B153" s="375">
        <v>25.171625472134</v>
      </c>
      <c r="C153" s="375">
        <v>29.80133</v>
      </c>
      <c r="D153" s="376">
        <v>4.629704527865</v>
      </c>
      <c r="E153" s="382">
        <v>1.1839255288849999</v>
      </c>
      <c r="F153" s="375">
        <v>0</v>
      </c>
      <c r="G153" s="376">
        <v>0</v>
      </c>
      <c r="H153" s="378">
        <v>2.2314099999999999</v>
      </c>
      <c r="I153" s="375">
        <v>114.17818</v>
      </c>
      <c r="J153" s="376">
        <v>114.17818</v>
      </c>
      <c r="K153" s="379" t="s">
        <v>214</v>
      </c>
    </row>
    <row r="154" spans="1:11" ht="14.45" customHeight="1" thickBot="1" x14ac:dyDescent="0.25">
      <c r="A154" s="391" t="s">
        <v>360</v>
      </c>
      <c r="B154" s="375">
        <v>0</v>
      </c>
      <c r="C154" s="375">
        <v>-3.3000000000000002E-2</v>
      </c>
      <c r="D154" s="376">
        <v>-3.3000000000000002E-2</v>
      </c>
      <c r="E154" s="377" t="s">
        <v>236</v>
      </c>
      <c r="F154" s="375">
        <v>0</v>
      </c>
      <c r="G154" s="376">
        <v>0</v>
      </c>
      <c r="H154" s="378">
        <v>0</v>
      </c>
      <c r="I154" s="375">
        <v>0</v>
      </c>
      <c r="J154" s="376">
        <v>0</v>
      </c>
      <c r="K154" s="379" t="s">
        <v>214</v>
      </c>
    </row>
    <row r="155" spans="1:11" ht="14.45" customHeight="1" thickBot="1" x14ac:dyDescent="0.25">
      <c r="A155" s="392" t="s">
        <v>361</v>
      </c>
      <c r="B155" s="370">
        <v>0</v>
      </c>
      <c r="C155" s="370">
        <v>-3.3000000000000002E-2</v>
      </c>
      <c r="D155" s="371">
        <v>-3.3000000000000002E-2</v>
      </c>
      <c r="E155" s="380" t="s">
        <v>236</v>
      </c>
      <c r="F155" s="370">
        <v>0</v>
      </c>
      <c r="G155" s="371">
        <v>0</v>
      </c>
      <c r="H155" s="373">
        <v>0</v>
      </c>
      <c r="I155" s="370">
        <v>0</v>
      </c>
      <c r="J155" s="371">
        <v>0</v>
      </c>
      <c r="K155" s="381" t="s">
        <v>214</v>
      </c>
    </row>
    <row r="156" spans="1:11" ht="14.45" customHeight="1" thickBot="1" x14ac:dyDescent="0.25">
      <c r="A156" s="391" t="s">
        <v>362</v>
      </c>
      <c r="B156" s="375">
        <v>0</v>
      </c>
      <c r="C156" s="375">
        <v>-3.2000000000000003E-4</v>
      </c>
      <c r="D156" s="376">
        <v>-3.2000000000000003E-4</v>
      </c>
      <c r="E156" s="377" t="s">
        <v>214</v>
      </c>
      <c r="F156" s="375">
        <v>0</v>
      </c>
      <c r="G156" s="376">
        <v>0</v>
      </c>
      <c r="H156" s="378">
        <v>9.9999999999999805E-6</v>
      </c>
      <c r="I156" s="375">
        <v>3.1E-4</v>
      </c>
      <c r="J156" s="376">
        <v>3.1E-4</v>
      </c>
      <c r="K156" s="379" t="s">
        <v>214</v>
      </c>
    </row>
    <row r="157" spans="1:11" ht="14.45" customHeight="1" thickBot="1" x14ac:dyDescent="0.25">
      <c r="A157" s="392" t="s">
        <v>363</v>
      </c>
      <c r="B157" s="370">
        <v>0</v>
      </c>
      <c r="C157" s="370">
        <v>-3.2000000000000003E-4</v>
      </c>
      <c r="D157" s="371">
        <v>-3.2000000000000003E-4</v>
      </c>
      <c r="E157" s="380" t="s">
        <v>214</v>
      </c>
      <c r="F157" s="370">
        <v>0</v>
      </c>
      <c r="G157" s="371">
        <v>0</v>
      </c>
      <c r="H157" s="373">
        <v>9.9999999999999805E-6</v>
      </c>
      <c r="I157" s="370">
        <v>3.1E-4</v>
      </c>
      <c r="J157" s="371">
        <v>3.1E-4</v>
      </c>
      <c r="K157" s="381" t="s">
        <v>214</v>
      </c>
    </row>
    <row r="158" spans="1:11" ht="14.45" customHeight="1" thickBot="1" x14ac:dyDescent="0.25">
      <c r="A158" s="391" t="s">
        <v>364</v>
      </c>
      <c r="B158" s="375">
        <v>25.171625472134</v>
      </c>
      <c r="C158" s="375">
        <v>29.83465</v>
      </c>
      <c r="D158" s="376">
        <v>4.6630245278649998</v>
      </c>
      <c r="E158" s="382">
        <v>1.185249241572</v>
      </c>
      <c r="F158" s="375">
        <v>0</v>
      </c>
      <c r="G158" s="376">
        <v>0</v>
      </c>
      <c r="H158" s="378">
        <v>2.2313999999999998</v>
      </c>
      <c r="I158" s="375">
        <v>114.17787</v>
      </c>
      <c r="J158" s="376">
        <v>114.17787</v>
      </c>
      <c r="K158" s="379" t="s">
        <v>214</v>
      </c>
    </row>
    <row r="159" spans="1:11" ht="14.45" customHeight="1" thickBot="1" x14ac:dyDescent="0.25">
      <c r="A159" s="392" t="s">
        <v>365</v>
      </c>
      <c r="B159" s="370">
        <v>2.9315972847999999E-2</v>
      </c>
      <c r="C159" s="370">
        <v>0</v>
      </c>
      <c r="D159" s="371">
        <v>-2.9315972847999999E-2</v>
      </c>
      <c r="E159" s="372">
        <v>0</v>
      </c>
      <c r="F159" s="370">
        <v>0</v>
      </c>
      <c r="G159" s="371">
        <v>0</v>
      </c>
      <c r="H159" s="373">
        <v>0</v>
      </c>
      <c r="I159" s="370">
        <v>0</v>
      </c>
      <c r="J159" s="371">
        <v>0</v>
      </c>
      <c r="K159" s="374">
        <v>10</v>
      </c>
    </row>
    <row r="160" spans="1:11" ht="14.45" customHeight="1" thickBot="1" x14ac:dyDescent="0.25">
      <c r="A160" s="392" t="s">
        <v>366</v>
      </c>
      <c r="B160" s="370">
        <v>5.4554988872999997E-2</v>
      </c>
      <c r="C160" s="370">
        <v>0</v>
      </c>
      <c r="D160" s="371">
        <v>-5.4554988872999997E-2</v>
      </c>
      <c r="E160" s="372">
        <v>0</v>
      </c>
      <c r="F160" s="370">
        <v>0</v>
      </c>
      <c r="G160" s="371">
        <v>0</v>
      </c>
      <c r="H160" s="373">
        <v>0</v>
      </c>
      <c r="I160" s="370">
        <v>5.1499999999999997E-2</v>
      </c>
      <c r="J160" s="371">
        <v>5.1499999999999997E-2</v>
      </c>
      <c r="K160" s="381" t="s">
        <v>236</v>
      </c>
    </row>
    <row r="161" spans="1:11" ht="14.45" customHeight="1" thickBot="1" x14ac:dyDescent="0.25">
      <c r="A161" s="392" t="s">
        <v>367</v>
      </c>
      <c r="B161" s="370">
        <v>25.087754510412999</v>
      </c>
      <c r="C161" s="370">
        <v>29.83465</v>
      </c>
      <c r="D161" s="371">
        <v>4.7468954895859996</v>
      </c>
      <c r="E161" s="372">
        <v>1.1892116525459999</v>
      </c>
      <c r="F161" s="370">
        <v>0</v>
      </c>
      <c r="G161" s="371">
        <v>0</v>
      </c>
      <c r="H161" s="373">
        <v>2.2313999999999998</v>
      </c>
      <c r="I161" s="370">
        <v>114.12636999999999</v>
      </c>
      <c r="J161" s="371">
        <v>114.12636999999999</v>
      </c>
      <c r="K161" s="381" t="s">
        <v>214</v>
      </c>
    </row>
    <row r="162" spans="1:11" ht="14.45" customHeight="1" thickBot="1" x14ac:dyDescent="0.25">
      <c r="A162" s="389" t="s">
        <v>368</v>
      </c>
      <c r="B162" s="370">
        <v>0</v>
      </c>
      <c r="C162" s="370">
        <v>0</v>
      </c>
      <c r="D162" s="371">
        <v>0</v>
      </c>
      <c r="E162" s="372">
        <v>1</v>
      </c>
      <c r="F162" s="370">
        <v>0</v>
      </c>
      <c r="G162" s="371">
        <v>0</v>
      </c>
      <c r="H162" s="373">
        <v>0</v>
      </c>
      <c r="I162" s="370">
        <v>6.7650000000000002E-2</v>
      </c>
      <c r="J162" s="371">
        <v>6.7650000000000002E-2</v>
      </c>
      <c r="K162" s="381" t="s">
        <v>236</v>
      </c>
    </row>
    <row r="163" spans="1:11" ht="14.45" customHeight="1" thickBot="1" x14ac:dyDescent="0.25">
      <c r="A163" s="395" t="s">
        <v>369</v>
      </c>
      <c r="B163" s="375">
        <v>0</v>
      </c>
      <c r="C163" s="375">
        <v>0</v>
      </c>
      <c r="D163" s="376">
        <v>0</v>
      </c>
      <c r="E163" s="382">
        <v>1</v>
      </c>
      <c r="F163" s="375">
        <v>0</v>
      </c>
      <c r="G163" s="376">
        <v>0</v>
      </c>
      <c r="H163" s="378">
        <v>0</v>
      </c>
      <c r="I163" s="375">
        <v>6.7650000000000002E-2</v>
      </c>
      <c r="J163" s="376">
        <v>6.7650000000000002E-2</v>
      </c>
      <c r="K163" s="379" t="s">
        <v>236</v>
      </c>
    </row>
    <row r="164" spans="1:11" ht="14.45" customHeight="1" thickBot="1" x14ac:dyDescent="0.25">
      <c r="A164" s="391" t="s">
        <v>370</v>
      </c>
      <c r="B164" s="375">
        <v>0</v>
      </c>
      <c r="C164" s="375">
        <v>0</v>
      </c>
      <c r="D164" s="376">
        <v>0</v>
      </c>
      <c r="E164" s="382">
        <v>1</v>
      </c>
      <c r="F164" s="375">
        <v>0</v>
      </c>
      <c r="G164" s="376">
        <v>0</v>
      </c>
      <c r="H164" s="378">
        <v>0</v>
      </c>
      <c r="I164" s="375">
        <v>6.7650000000000002E-2</v>
      </c>
      <c r="J164" s="376">
        <v>6.7650000000000002E-2</v>
      </c>
      <c r="K164" s="379" t="s">
        <v>236</v>
      </c>
    </row>
    <row r="165" spans="1:11" ht="14.45" customHeight="1" thickBot="1" x14ac:dyDescent="0.25">
      <c r="A165" s="392" t="s">
        <v>371</v>
      </c>
      <c r="B165" s="370">
        <v>0</v>
      </c>
      <c r="C165" s="370">
        <v>0</v>
      </c>
      <c r="D165" s="371">
        <v>0</v>
      </c>
      <c r="E165" s="372">
        <v>1</v>
      </c>
      <c r="F165" s="370">
        <v>0</v>
      </c>
      <c r="G165" s="371">
        <v>0</v>
      </c>
      <c r="H165" s="373">
        <v>0</v>
      </c>
      <c r="I165" s="370">
        <v>6.7650000000000002E-2</v>
      </c>
      <c r="J165" s="371">
        <v>6.7650000000000002E-2</v>
      </c>
      <c r="K165" s="381" t="s">
        <v>236</v>
      </c>
    </row>
    <row r="166" spans="1:11" ht="14.45" customHeight="1" thickBot="1" x14ac:dyDescent="0.25">
      <c r="A166" s="388" t="s">
        <v>372</v>
      </c>
      <c r="B166" s="370">
        <v>4707.4033281437296</v>
      </c>
      <c r="C166" s="370">
        <v>4909.8362200000001</v>
      </c>
      <c r="D166" s="371">
        <v>202.43289185626901</v>
      </c>
      <c r="E166" s="372">
        <v>1.043003090609</v>
      </c>
      <c r="F166" s="370">
        <v>5001.2313214896103</v>
      </c>
      <c r="G166" s="371">
        <v>4167.69276790801</v>
      </c>
      <c r="H166" s="373">
        <v>437.22987000000001</v>
      </c>
      <c r="I166" s="370">
        <v>4431.1538399999999</v>
      </c>
      <c r="J166" s="371">
        <v>263.46107209198902</v>
      </c>
      <c r="K166" s="374">
        <v>0.88601257473499995</v>
      </c>
    </row>
    <row r="167" spans="1:11" ht="14.45" customHeight="1" thickBot="1" x14ac:dyDescent="0.25">
      <c r="A167" s="393" t="s">
        <v>373</v>
      </c>
      <c r="B167" s="375">
        <v>4707.4033281437296</v>
      </c>
      <c r="C167" s="375">
        <v>4909.8362200000001</v>
      </c>
      <c r="D167" s="376">
        <v>202.43289185626901</v>
      </c>
      <c r="E167" s="382">
        <v>1.043003090609</v>
      </c>
      <c r="F167" s="375">
        <v>5001.2313214896103</v>
      </c>
      <c r="G167" s="376">
        <v>4167.69276790801</v>
      </c>
      <c r="H167" s="378">
        <v>437.22987000000001</v>
      </c>
      <c r="I167" s="375">
        <v>4431.1538399999999</v>
      </c>
      <c r="J167" s="376">
        <v>263.46107209198902</v>
      </c>
      <c r="K167" s="383">
        <v>0.88601257473499995</v>
      </c>
    </row>
    <row r="168" spans="1:11" ht="14.45" customHeight="1" thickBot="1" x14ac:dyDescent="0.25">
      <c r="A168" s="395" t="s">
        <v>29</v>
      </c>
      <c r="B168" s="375">
        <v>4707.4033281437296</v>
      </c>
      <c r="C168" s="375">
        <v>4909.8362200000001</v>
      </c>
      <c r="D168" s="376">
        <v>202.43289185626901</v>
      </c>
      <c r="E168" s="382">
        <v>1.043003090609</v>
      </c>
      <c r="F168" s="375">
        <v>5001.2313214896103</v>
      </c>
      <c r="G168" s="376">
        <v>4167.69276790801</v>
      </c>
      <c r="H168" s="378">
        <v>437.22987000000001</v>
      </c>
      <c r="I168" s="375">
        <v>4431.1538399999999</v>
      </c>
      <c r="J168" s="376">
        <v>263.46107209198902</v>
      </c>
      <c r="K168" s="383">
        <v>0.88601257473499995</v>
      </c>
    </row>
    <row r="169" spans="1:11" ht="14.45" customHeight="1" thickBot="1" x14ac:dyDescent="0.25">
      <c r="A169" s="394" t="s">
        <v>374</v>
      </c>
      <c r="B169" s="370">
        <v>0</v>
      </c>
      <c r="C169" s="370">
        <v>3.9293499999999999</v>
      </c>
      <c r="D169" s="371">
        <v>3.9293499999999999</v>
      </c>
      <c r="E169" s="380" t="s">
        <v>236</v>
      </c>
      <c r="F169" s="370">
        <v>1.8165715280900001</v>
      </c>
      <c r="G169" s="371">
        <v>1.5138096067419999</v>
      </c>
      <c r="H169" s="373">
        <v>0.26458999999999999</v>
      </c>
      <c r="I169" s="370">
        <v>1.4756400000000001</v>
      </c>
      <c r="J169" s="371">
        <v>-3.8169606741999998E-2</v>
      </c>
      <c r="K169" s="374">
        <v>0.81232144024099995</v>
      </c>
    </row>
    <row r="170" spans="1:11" ht="14.45" customHeight="1" thickBot="1" x14ac:dyDescent="0.25">
      <c r="A170" s="392" t="s">
        <v>375</v>
      </c>
      <c r="B170" s="370">
        <v>0</v>
      </c>
      <c r="C170" s="370">
        <v>3.9293499999999999</v>
      </c>
      <c r="D170" s="371">
        <v>3.9293499999999999</v>
      </c>
      <c r="E170" s="380" t="s">
        <v>236</v>
      </c>
      <c r="F170" s="370">
        <v>1.8165715280900001</v>
      </c>
      <c r="G170" s="371">
        <v>1.5138096067419999</v>
      </c>
      <c r="H170" s="373">
        <v>0.26458999999999999</v>
      </c>
      <c r="I170" s="370">
        <v>1.4756400000000001</v>
      </c>
      <c r="J170" s="371">
        <v>-3.8169606741999998E-2</v>
      </c>
      <c r="K170" s="374">
        <v>0.81232144024099995</v>
      </c>
    </row>
    <row r="171" spans="1:11" ht="14.45" customHeight="1" thickBot="1" x14ac:dyDescent="0.25">
      <c r="A171" s="391" t="s">
        <v>376</v>
      </c>
      <c r="B171" s="375">
        <v>5.4732098842120003</v>
      </c>
      <c r="C171" s="375">
        <v>5.4678000000000004</v>
      </c>
      <c r="D171" s="376">
        <v>-5.4098842120000002E-3</v>
      </c>
      <c r="E171" s="382">
        <v>0.99901157011499997</v>
      </c>
      <c r="F171" s="375">
        <v>3.2716685680039999</v>
      </c>
      <c r="G171" s="376">
        <v>2.726390473336</v>
      </c>
      <c r="H171" s="378">
        <v>0.29399999999999998</v>
      </c>
      <c r="I171" s="375">
        <v>3.3310200000000001</v>
      </c>
      <c r="J171" s="376">
        <v>0.60462952666299996</v>
      </c>
      <c r="K171" s="383">
        <v>1.018141028274</v>
      </c>
    </row>
    <row r="172" spans="1:11" ht="14.45" customHeight="1" thickBot="1" x14ac:dyDescent="0.25">
      <c r="A172" s="392" t="s">
        <v>377</v>
      </c>
      <c r="B172" s="370">
        <v>0</v>
      </c>
      <c r="C172" s="370">
        <v>0.32279999999999998</v>
      </c>
      <c r="D172" s="371">
        <v>0.32279999999999998</v>
      </c>
      <c r="E172" s="380" t="s">
        <v>236</v>
      </c>
      <c r="F172" s="370">
        <v>0</v>
      </c>
      <c r="G172" s="371">
        <v>0</v>
      </c>
      <c r="H172" s="373">
        <v>0</v>
      </c>
      <c r="I172" s="370">
        <v>0</v>
      </c>
      <c r="J172" s="371">
        <v>0</v>
      </c>
      <c r="K172" s="374">
        <v>10</v>
      </c>
    </row>
    <row r="173" spans="1:11" ht="14.45" customHeight="1" thickBot="1" x14ac:dyDescent="0.25">
      <c r="A173" s="392" t="s">
        <v>378</v>
      </c>
      <c r="B173" s="370">
        <v>5.4732098842120003</v>
      </c>
      <c r="C173" s="370">
        <v>5.1449999999999996</v>
      </c>
      <c r="D173" s="371">
        <v>-0.32820988421199998</v>
      </c>
      <c r="E173" s="372">
        <v>0.94003338239199996</v>
      </c>
      <c r="F173" s="370">
        <v>3.2716685680039999</v>
      </c>
      <c r="G173" s="371">
        <v>2.726390473336</v>
      </c>
      <c r="H173" s="373">
        <v>0.29399999999999998</v>
      </c>
      <c r="I173" s="370">
        <v>3.3310200000000001</v>
      </c>
      <c r="J173" s="371">
        <v>0.60462952666299996</v>
      </c>
      <c r="K173" s="374">
        <v>1.018141028274</v>
      </c>
    </row>
    <row r="174" spans="1:11" ht="14.45" customHeight="1" thickBot="1" x14ac:dyDescent="0.25">
      <c r="A174" s="394" t="s">
        <v>379</v>
      </c>
      <c r="B174" s="370">
        <v>0</v>
      </c>
      <c r="C174" s="370">
        <v>0</v>
      </c>
      <c r="D174" s="371">
        <v>0</v>
      </c>
      <c r="E174" s="372">
        <v>1</v>
      </c>
      <c r="F174" s="370">
        <v>0</v>
      </c>
      <c r="G174" s="371">
        <v>0</v>
      </c>
      <c r="H174" s="373">
        <v>4.0160000000000001E-2</v>
      </c>
      <c r="I174" s="370">
        <v>0.35211999999999999</v>
      </c>
      <c r="J174" s="371">
        <v>0.35211999999999999</v>
      </c>
      <c r="K174" s="381" t="s">
        <v>236</v>
      </c>
    </row>
    <row r="175" spans="1:11" ht="14.45" customHeight="1" thickBot="1" x14ac:dyDescent="0.25">
      <c r="A175" s="392" t="s">
        <v>380</v>
      </c>
      <c r="B175" s="370">
        <v>0</v>
      </c>
      <c r="C175" s="370">
        <v>0</v>
      </c>
      <c r="D175" s="371">
        <v>0</v>
      </c>
      <c r="E175" s="372">
        <v>1</v>
      </c>
      <c r="F175" s="370">
        <v>0</v>
      </c>
      <c r="G175" s="371">
        <v>0</v>
      </c>
      <c r="H175" s="373">
        <v>4.0160000000000001E-2</v>
      </c>
      <c r="I175" s="370">
        <v>0.35211999999999999</v>
      </c>
      <c r="J175" s="371">
        <v>0.35211999999999999</v>
      </c>
      <c r="K175" s="381" t="s">
        <v>236</v>
      </c>
    </row>
    <row r="176" spans="1:11" ht="14.45" customHeight="1" thickBot="1" x14ac:dyDescent="0.25">
      <c r="A176" s="391" t="s">
        <v>381</v>
      </c>
      <c r="B176" s="375">
        <v>35.504297454719001</v>
      </c>
      <c r="C176" s="375">
        <v>37.417110000000001</v>
      </c>
      <c r="D176" s="376">
        <v>1.91281254528</v>
      </c>
      <c r="E176" s="382">
        <v>1.0538755216239999</v>
      </c>
      <c r="F176" s="375">
        <v>34.801602916782002</v>
      </c>
      <c r="G176" s="376">
        <v>29.001335763985001</v>
      </c>
      <c r="H176" s="378">
        <v>0</v>
      </c>
      <c r="I176" s="375">
        <v>8.8811999999999998</v>
      </c>
      <c r="J176" s="376">
        <v>-20.120135763985001</v>
      </c>
      <c r="K176" s="383">
        <v>0.255195142052</v>
      </c>
    </row>
    <row r="177" spans="1:11" ht="14.45" customHeight="1" thickBot="1" x14ac:dyDescent="0.25">
      <c r="A177" s="392" t="s">
        <v>382</v>
      </c>
      <c r="B177" s="370">
        <v>35.504297454719001</v>
      </c>
      <c r="C177" s="370">
        <v>37.417110000000001</v>
      </c>
      <c r="D177" s="371">
        <v>1.91281254528</v>
      </c>
      <c r="E177" s="372">
        <v>1.0538755216239999</v>
      </c>
      <c r="F177" s="370">
        <v>34.801602916782002</v>
      </c>
      <c r="G177" s="371">
        <v>29.001335763985001</v>
      </c>
      <c r="H177" s="373">
        <v>0</v>
      </c>
      <c r="I177" s="370">
        <v>8.8811999999999998</v>
      </c>
      <c r="J177" s="371">
        <v>-20.120135763985001</v>
      </c>
      <c r="K177" s="374">
        <v>0.255195142052</v>
      </c>
    </row>
    <row r="178" spans="1:11" ht="14.45" customHeight="1" thickBot="1" x14ac:dyDescent="0.25">
      <c r="A178" s="391" t="s">
        <v>383</v>
      </c>
      <c r="B178" s="375">
        <v>1414.20890913686</v>
      </c>
      <c r="C178" s="375">
        <v>1184.47244</v>
      </c>
      <c r="D178" s="376">
        <v>-229.73646913685499</v>
      </c>
      <c r="E178" s="382">
        <v>0.83755125027599997</v>
      </c>
      <c r="F178" s="375">
        <v>1590.3913817196101</v>
      </c>
      <c r="G178" s="376">
        <v>1325.3261514329999</v>
      </c>
      <c r="H178" s="378">
        <v>90.778819999999996</v>
      </c>
      <c r="I178" s="375">
        <v>1124.17347</v>
      </c>
      <c r="J178" s="376">
        <v>-201.15268143300401</v>
      </c>
      <c r="K178" s="383">
        <v>0.70685334623999996</v>
      </c>
    </row>
    <row r="179" spans="1:11" ht="14.45" customHeight="1" thickBot="1" x14ac:dyDescent="0.25">
      <c r="A179" s="392" t="s">
        <v>384</v>
      </c>
      <c r="B179" s="370">
        <v>1414.20890913686</v>
      </c>
      <c r="C179" s="370">
        <v>1184.47244</v>
      </c>
      <c r="D179" s="371">
        <v>-229.73646913685499</v>
      </c>
      <c r="E179" s="372">
        <v>0.83755125027599997</v>
      </c>
      <c r="F179" s="370">
        <v>1590.3913817196101</v>
      </c>
      <c r="G179" s="371">
        <v>1325.3261514329999</v>
      </c>
      <c r="H179" s="373">
        <v>90.778819999999996</v>
      </c>
      <c r="I179" s="370">
        <v>1124.17347</v>
      </c>
      <c r="J179" s="371">
        <v>-201.15268143300401</v>
      </c>
      <c r="K179" s="374">
        <v>0.70685334623999996</v>
      </c>
    </row>
    <row r="180" spans="1:11" ht="14.45" customHeight="1" thickBot="1" x14ac:dyDescent="0.25">
      <c r="A180" s="391" t="s">
        <v>385</v>
      </c>
      <c r="B180" s="375">
        <v>0</v>
      </c>
      <c r="C180" s="375">
        <v>25.837</v>
      </c>
      <c r="D180" s="376">
        <v>25.837</v>
      </c>
      <c r="E180" s="377" t="s">
        <v>236</v>
      </c>
      <c r="F180" s="375">
        <v>0</v>
      </c>
      <c r="G180" s="376">
        <v>0</v>
      </c>
      <c r="H180" s="378">
        <v>0</v>
      </c>
      <c r="I180" s="375">
        <v>12.923</v>
      </c>
      <c r="J180" s="376">
        <v>12.923</v>
      </c>
      <c r="K180" s="379" t="s">
        <v>236</v>
      </c>
    </row>
    <row r="181" spans="1:11" ht="14.45" customHeight="1" thickBot="1" x14ac:dyDescent="0.25">
      <c r="A181" s="392" t="s">
        <v>386</v>
      </c>
      <c r="B181" s="370">
        <v>0</v>
      </c>
      <c r="C181" s="370">
        <v>25.837</v>
      </c>
      <c r="D181" s="371">
        <v>25.837</v>
      </c>
      <c r="E181" s="380" t="s">
        <v>236</v>
      </c>
      <c r="F181" s="370">
        <v>0</v>
      </c>
      <c r="G181" s="371">
        <v>0</v>
      </c>
      <c r="H181" s="373">
        <v>0</v>
      </c>
      <c r="I181" s="370">
        <v>12.923</v>
      </c>
      <c r="J181" s="371">
        <v>12.923</v>
      </c>
      <c r="K181" s="381" t="s">
        <v>236</v>
      </c>
    </row>
    <row r="182" spans="1:11" ht="14.45" customHeight="1" thickBot="1" x14ac:dyDescent="0.25">
      <c r="A182" s="391" t="s">
        <v>387</v>
      </c>
      <c r="B182" s="375">
        <v>3252.2169116679502</v>
      </c>
      <c r="C182" s="375">
        <v>3652.71252</v>
      </c>
      <c r="D182" s="376">
        <v>400.49560833205499</v>
      </c>
      <c r="E182" s="382">
        <v>1.1231454171749999</v>
      </c>
      <c r="F182" s="375">
        <v>3370.9500967571298</v>
      </c>
      <c r="G182" s="376">
        <v>2809.1250806309399</v>
      </c>
      <c r="H182" s="378">
        <v>345.85230000000001</v>
      </c>
      <c r="I182" s="375">
        <v>3280.01739</v>
      </c>
      <c r="J182" s="376">
        <v>470.89230936905801</v>
      </c>
      <c r="K182" s="383">
        <v>0.97302460607600005</v>
      </c>
    </row>
    <row r="183" spans="1:11" ht="14.45" customHeight="1" thickBot="1" x14ac:dyDescent="0.25">
      <c r="A183" s="392" t="s">
        <v>388</v>
      </c>
      <c r="B183" s="370">
        <v>3252.2169116679502</v>
      </c>
      <c r="C183" s="370">
        <v>3652.71252</v>
      </c>
      <c r="D183" s="371">
        <v>400.49560833205499</v>
      </c>
      <c r="E183" s="372">
        <v>1.1231454171749999</v>
      </c>
      <c r="F183" s="370">
        <v>3370.9500967571298</v>
      </c>
      <c r="G183" s="371">
        <v>2809.1250806309399</v>
      </c>
      <c r="H183" s="373">
        <v>345.85230000000001</v>
      </c>
      <c r="I183" s="370">
        <v>3280.01739</v>
      </c>
      <c r="J183" s="371">
        <v>470.89230936905801</v>
      </c>
      <c r="K183" s="374">
        <v>0.97302460607600005</v>
      </c>
    </row>
    <row r="184" spans="1:11" ht="14.45" customHeight="1" thickBot="1" x14ac:dyDescent="0.25">
      <c r="A184" s="388" t="s">
        <v>389</v>
      </c>
      <c r="B184" s="370">
        <v>0</v>
      </c>
      <c r="C184" s="370">
        <v>39.125999999999998</v>
      </c>
      <c r="D184" s="371">
        <v>39.125999999999998</v>
      </c>
      <c r="E184" s="380" t="s">
        <v>214</v>
      </c>
      <c r="F184" s="370">
        <v>0</v>
      </c>
      <c r="G184" s="371">
        <v>0</v>
      </c>
      <c r="H184" s="373">
        <v>0</v>
      </c>
      <c r="I184" s="370">
        <v>33.953200000000002</v>
      </c>
      <c r="J184" s="371">
        <v>33.953200000000002</v>
      </c>
      <c r="K184" s="381" t="s">
        <v>236</v>
      </c>
    </row>
    <row r="185" spans="1:11" ht="14.45" customHeight="1" thickBot="1" x14ac:dyDescent="0.25">
      <c r="A185" s="393" t="s">
        <v>390</v>
      </c>
      <c r="B185" s="375">
        <v>0</v>
      </c>
      <c r="C185" s="375">
        <v>39.125999999999998</v>
      </c>
      <c r="D185" s="376">
        <v>39.125999999999998</v>
      </c>
      <c r="E185" s="377" t="s">
        <v>214</v>
      </c>
      <c r="F185" s="375">
        <v>0</v>
      </c>
      <c r="G185" s="376">
        <v>0</v>
      </c>
      <c r="H185" s="378">
        <v>0</v>
      </c>
      <c r="I185" s="375">
        <v>33.953200000000002</v>
      </c>
      <c r="J185" s="376">
        <v>33.953200000000002</v>
      </c>
      <c r="K185" s="379" t="s">
        <v>236</v>
      </c>
    </row>
    <row r="186" spans="1:11" ht="14.45" customHeight="1" thickBot="1" x14ac:dyDescent="0.25">
      <c r="A186" s="395" t="s">
        <v>391</v>
      </c>
      <c r="B186" s="375">
        <v>0</v>
      </c>
      <c r="C186" s="375">
        <v>39.125999999999998</v>
      </c>
      <c r="D186" s="376">
        <v>39.125999999999998</v>
      </c>
      <c r="E186" s="377" t="s">
        <v>214</v>
      </c>
      <c r="F186" s="375">
        <v>0</v>
      </c>
      <c r="G186" s="376">
        <v>0</v>
      </c>
      <c r="H186" s="378">
        <v>0</v>
      </c>
      <c r="I186" s="375">
        <v>33.953200000000002</v>
      </c>
      <c r="J186" s="376">
        <v>33.953200000000002</v>
      </c>
      <c r="K186" s="379" t="s">
        <v>236</v>
      </c>
    </row>
    <row r="187" spans="1:11" ht="14.45" customHeight="1" thickBot="1" x14ac:dyDescent="0.25">
      <c r="A187" s="391" t="s">
        <v>392</v>
      </c>
      <c r="B187" s="375">
        <v>0</v>
      </c>
      <c r="C187" s="375">
        <v>39.125999999999998</v>
      </c>
      <c r="D187" s="376">
        <v>39.125999999999998</v>
      </c>
      <c r="E187" s="377" t="s">
        <v>236</v>
      </c>
      <c r="F187" s="375">
        <v>0</v>
      </c>
      <c r="G187" s="376">
        <v>0</v>
      </c>
      <c r="H187" s="378">
        <v>0</v>
      </c>
      <c r="I187" s="375">
        <v>33.953200000000002</v>
      </c>
      <c r="J187" s="376">
        <v>33.953200000000002</v>
      </c>
      <c r="K187" s="379" t="s">
        <v>236</v>
      </c>
    </row>
    <row r="188" spans="1:11" ht="14.45" customHeight="1" thickBot="1" x14ac:dyDescent="0.25">
      <c r="A188" s="392" t="s">
        <v>393</v>
      </c>
      <c r="B188" s="370">
        <v>0</v>
      </c>
      <c r="C188" s="370">
        <v>39.125999999999998</v>
      </c>
      <c r="D188" s="371">
        <v>39.125999999999998</v>
      </c>
      <c r="E188" s="380" t="s">
        <v>236</v>
      </c>
      <c r="F188" s="370">
        <v>0</v>
      </c>
      <c r="G188" s="371">
        <v>0</v>
      </c>
      <c r="H188" s="373">
        <v>0</v>
      </c>
      <c r="I188" s="370">
        <v>33.953200000000002</v>
      </c>
      <c r="J188" s="371">
        <v>33.953200000000002</v>
      </c>
      <c r="K188" s="381" t="s">
        <v>236</v>
      </c>
    </row>
    <row r="189" spans="1:11" ht="14.45" customHeight="1" thickBot="1" x14ac:dyDescent="0.25">
      <c r="A189" s="396"/>
      <c r="B189" s="370">
        <v>42612.0601003068</v>
      </c>
      <c r="C189" s="370">
        <v>51941.480109999902</v>
      </c>
      <c r="D189" s="371">
        <v>9329.4200096930908</v>
      </c>
      <c r="E189" s="372">
        <v>1.218938488017</v>
      </c>
      <c r="F189" s="370">
        <v>62585.423732236202</v>
      </c>
      <c r="G189" s="371">
        <v>52154.519776863497</v>
      </c>
      <c r="H189" s="373">
        <v>3798.7711999999801</v>
      </c>
      <c r="I189" s="370">
        <v>45840.282980000004</v>
      </c>
      <c r="J189" s="371">
        <v>-6314.2367968635199</v>
      </c>
      <c r="K189" s="374">
        <v>0.73244343884399998</v>
      </c>
    </row>
    <row r="190" spans="1:11" ht="14.45" customHeight="1" thickBot="1" x14ac:dyDescent="0.25">
      <c r="A190" s="397" t="s">
        <v>41</v>
      </c>
      <c r="B190" s="384">
        <v>42612.0601003068</v>
      </c>
      <c r="C190" s="384">
        <v>51941.480109999902</v>
      </c>
      <c r="D190" s="385">
        <v>9329.4200096930908</v>
      </c>
      <c r="E190" s="386" t="s">
        <v>214</v>
      </c>
      <c r="F190" s="384">
        <v>62585.423732236202</v>
      </c>
      <c r="G190" s="385">
        <v>52154.519776863497</v>
      </c>
      <c r="H190" s="384">
        <v>3798.7711999999801</v>
      </c>
      <c r="I190" s="384">
        <v>45840.282980000004</v>
      </c>
      <c r="J190" s="385">
        <v>-6314.2367968635199</v>
      </c>
      <c r="K190" s="387">
        <v>0.73244343884399998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54D92D1-F7ED-4468-99C6-978BA9DFE4D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5" bestFit="1" customWidth="1"/>
    <col min="3" max="3" width="6.140625" style="175" bestFit="1" customWidth="1"/>
    <col min="4" max="4" width="7.42578125" style="175" bestFit="1" customWidth="1"/>
    <col min="5" max="5" width="6.28515625" style="175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5" bestFit="1" customWidth="1"/>
    <col min="11" max="11" width="6.140625" style="175" bestFit="1" customWidth="1"/>
    <col min="12" max="12" width="7.42578125" style="175" bestFit="1" customWidth="1"/>
    <col min="13" max="13" width="6.28515625" style="175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90" t="s">
        <v>213</v>
      </c>
      <c r="B2" s="177"/>
      <c r="C2" s="177"/>
      <c r="D2" s="177"/>
      <c r="E2" s="177"/>
    </row>
    <row r="3" spans="1:17" ht="14.45" customHeight="1" thickBot="1" x14ac:dyDescent="0.25">
      <c r="A3" s="197" t="s">
        <v>2</v>
      </c>
      <c r="B3" s="201">
        <f>SUM(B6:B1048576)</f>
        <v>5</v>
      </c>
      <c r="C3" s="202">
        <f>SUM(C6:C1048576)</f>
        <v>0</v>
      </c>
      <c r="D3" s="202">
        <f>SUM(D6:D1048576)</f>
        <v>0</v>
      </c>
      <c r="E3" s="203">
        <f>SUM(E6:E1048576)</f>
        <v>0</v>
      </c>
      <c r="F3" s="200">
        <f>IF(SUM($B3:$E3)=0,"",B3/SUM($B3:$E3))</f>
        <v>1</v>
      </c>
      <c r="G3" s="198">
        <f t="shared" ref="G3:I3" si="0">IF(SUM($B3:$E3)=0,"",C3/SUM($B3:$E3))</f>
        <v>0</v>
      </c>
      <c r="H3" s="198">
        <f t="shared" si="0"/>
        <v>0</v>
      </c>
      <c r="I3" s="199">
        <f t="shared" si="0"/>
        <v>0</v>
      </c>
      <c r="J3" s="202">
        <f>SUM(J6:J1048576)</f>
        <v>3</v>
      </c>
      <c r="K3" s="202">
        <f>SUM(K6:K1048576)</f>
        <v>0</v>
      </c>
      <c r="L3" s="202">
        <f>SUM(L6:L1048576)</f>
        <v>0</v>
      </c>
      <c r="M3" s="203">
        <f>SUM(M6:M1048576)</f>
        <v>0</v>
      </c>
      <c r="N3" s="200">
        <f>IF(SUM($J3:$M3)=0,"",J3/SUM($J3:$M3))</f>
        <v>1</v>
      </c>
      <c r="O3" s="198">
        <f t="shared" ref="O3:Q3" si="1">IF(SUM($J3:$M3)=0,"",K3/SUM($J3:$M3))</f>
        <v>0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98" t="s">
        <v>141</v>
      </c>
      <c r="B5" s="399" t="s">
        <v>143</v>
      </c>
      <c r="C5" s="399" t="s">
        <v>144</v>
      </c>
      <c r="D5" s="399" t="s">
        <v>145</v>
      </c>
      <c r="E5" s="400" t="s">
        <v>146</v>
      </c>
      <c r="F5" s="401" t="s">
        <v>143</v>
      </c>
      <c r="G5" s="402" t="s">
        <v>144</v>
      </c>
      <c r="H5" s="402" t="s">
        <v>145</v>
      </c>
      <c r="I5" s="403" t="s">
        <v>146</v>
      </c>
      <c r="J5" s="399" t="s">
        <v>143</v>
      </c>
      <c r="K5" s="399" t="s">
        <v>144</v>
      </c>
      <c r="L5" s="399" t="s">
        <v>145</v>
      </c>
      <c r="M5" s="400" t="s">
        <v>146</v>
      </c>
      <c r="N5" s="401" t="s">
        <v>143</v>
      </c>
      <c r="O5" s="402" t="s">
        <v>144</v>
      </c>
      <c r="P5" s="402" t="s">
        <v>145</v>
      </c>
      <c r="Q5" s="403" t="s">
        <v>146</v>
      </c>
    </row>
    <row r="6" spans="1:17" ht="14.45" customHeight="1" x14ac:dyDescent="0.2">
      <c r="A6" s="411" t="s">
        <v>394</v>
      </c>
      <c r="B6" s="415"/>
      <c r="C6" s="405"/>
      <c r="D6" s="405"/>
      <c r="E6" s="417"/>
      <c r="F6" s="413"/>
      <c r="G6" s="406"/>
      <c r="H6" s="406"/>
      <c r="I6" s="419"/>
      <c r="J6" s="415"/>
      <c r="K6" s="405"/>
      <c r="L6" s="405"/>
      <c r="M6" s="417"/>
      <c r="N6" s="413"/>
      <c r="O6" s="406"/>
      <c r="P6" s="406"/>
      <c r="Q6" s="407"/>
    </row>
    <row r="7" spans="1:17" ht="14.45" customHeight="1" thickBot="1" x14ac:dyDescent="0.25">
      <c r="A7" s="412" t="s">
        <v>395</v>
      </c>
      <c r="B7" s="416">
        <v>5</v>
      </c>
      <c r="C7" s="408"/>
      <c r="D7" s="408"/>
      <c r="E7" s="418"/>
      <c r="F7" s="414">
        <v>1</v>
      </c>
      <c r="G7" s="409">
        <v>0</v>
      </c>
      <c r="H7" s="409">
        <v>0</v>
      </c>
      <c r="I7" s="420">
        <v>0</v>
      </c>
      <c r="J7" s="416">
        <v>3</v>
      </c>
      <c r="K7" s="408"/>
      <c r="L7" s="408"/>
      <c r="M7" s="418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3A806C69-977F-41F0-9EFB-8A0E6946FD7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9" customWidth="1"/>
    <col min="18" max="18" width="7.28515625" style="222" customWidth="1"/>
    <col min="19" max="19" width="8" style="189" customWidth="1"/>
    <col min="21" max="21" width="11.28515625" bestFit="1" customWidth="1"/>
  </cols>
  <sheetData>
    <row r="1" spans="1:19" ht="19.5" thickBot="1" x14ac:dyDescent="0.35">
      <c r="A1" s="326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90" t="s">
        <v>213</v>
      </c>
      <c r="B2" s="191"/>
    </row>
    <row r="3" spans="1:19" x14ac:dyDescent="0.25">
      <c r="A3" s="338" t="s">
        <v>136</v>
      </c>
      <c r="B3" s="339"/>
      <c r="C3" s="340" t="s">
        <v>125</v>
      </c>
      <c r="D3" s="341"/>
      <c r="E3" s="341"/>
      <c r="F3" s="342"/>
      <c r="G3" s="343" t="s">
        <v>126</v>
      </c>
      <c r="H3" s="344"/>
      <c r="I3" s="344"/>
      <c r="J3" s="345"/>
      <c r="K3" s="346" t="s">
        <v>135</v>
      </c>
      <c r="L3" s="347"/>
      <c r="M3" s="347"/>
      <c r="N3" s="347"/>
      <c r="O3" s="348"/>
      <c r="P3" s="344" t="s">
        <v>188</v>
      </c>
      <c r="Q3" s="344"/>
      <c r="R3" s="344"/>
      <c r="S3" s="345"/>
    </row>
    <row r="4" spans="1:19" ht="15.75" thickBot="1" x14ac:dyDescent="0.3">
      <c r="A4" s="318">
        <v>2019</v>
      </c>
      <c r="B4" s="319"/>
      <c r="C4" s="320" t="s">
        <v>187</v>
      </c>
      <c r="D4" s="322" t="s">
        <v>81</v>
      </c>
      <c r="E4" s="322" t="s">
        <v>49</v>
      </c>
      <c r="F4" s="324" t="s">
        <v>42</v>
      </c>
      <c r="G4" s="312" t="s">
        <v>127</v>
      </c>
      <c r="H4" s="314" t="s">
        <v>131</v>
      </c>
      <c r="I4" s="314" t="s">
        <v>186</v>
      </c>
      <c r="J4" s="316" t="s">
        <v>128</v>
      </c>
      <c r="K4" s="335" t="s">
        <v>185</v>
      </c>
      <c r="L4" s="336"/>
      <c r="M4" s="336"/>
      <c r="N4" s="337"/>
      <c r="O4" s="324" t="s">
        <v>184</v>
      </c>
      <c r="P4" s="327" t="s">
        <v>183</v>
      </c>
      <c r="Q4" s="327" t="s">
        <v>138</v>
      </c>
      <c r="R4" s="329" t="s">
        <v>49</v>
      </c>
      <c r="S4" s="331" t="s">
        <v>137</v>
      </c>
    </row>
    <row r="5" spans="1:19" s="257" customFormat="1" ht="19.149999999999999" customHeight="1" x14ac:dyDescent="0.25">
      <c r="A5" s="333" t="s">
        <v>182</v>
      </c>
      <c r="B5" s="334"/>
      <c r="C5" s="321"/>
      <c r="D5" s="323"/>
      <c r="E5" s="323"/>
      <c r="F5" s="325"/>
      <c r="G5" s="313"/>
      <c r="H5" s="315"/>
      <c r="I5" s="315"/>
      <c r="J5" s="317"/>
      <c r="K5" s="260" t="s">
        <v>129</v>
      </c>
      <c r="L5" s="259" t="s">
        <v>130</v>
      </c>
      <c r="M5" s="259" t="s">
        <v>181</v>
      </c>
      <c r="N5" s="258" t="s">
        <v>2</v>
      </c>
      <c r="O5" s="325"/>
      <c r="P5" s="328"/>
      <c r="Q5" s="328"/>
      <c r="R5" s="330"/>
      <c r="S5" s="332"/>
    </row>
    <row r="6" spans="1:19" ht="15.75" thickBot="1" x14ac:dyDescent="0.3">
      <c r="A6" s="310" t="s">
        <v>124</v>
      </c>
      <c r="B6" s="311"/>
      <c r="C6" s="256">
        <f ca="1">SUM(Tabulka[01 uv_sk])/2</f>
        <v>5</v>
      </c>
      <c r="D6" s="254"/>
      <c r="E6" s="254"/>
      <c r="F6" s="253"/>
      <c r="G6" s="255">
        <f ca="1">SUM(Tabulka[05 h_vram])/2</f>
        <v>7592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109554</v>
      </c>
      <c r="N6" s="254">
        <f ca="1">SUM(Tabulka[12 m_oc])/2</f>
        <v>109554</v>
      </c>
      <c r="O6" s="253">
        <f ca="1">SUM(Tabulka[13 m_sk])/2</f>
        <v>2584715</v>
      </c>
      <c r="P6" s="252">
        <f ca="1">SUM(Tabulka[14_vzsk])/2</f>
        <v>7800</v>
      </c>
      <c r="Q6" s="252">
        <f ca="1">SUM(Tabulka[15_vzpl])/2</f>
        <v>5397.553303675425</v>
      </c>
      <c r="R6" s="251">
        <f ca="1">IF(Q6=0,0,P6/Q6)</f>
        <v>1.4450992072072075</v>
      </c>
      <c r="S6" s="250">
        <f ca="1">Q6-P6</f>
        <v>-2402.446696324575</v>
      </c>
    </row>
    <row r="7" spans="1:19" hidden="1" x14ac:dyDescent="0.25">
      <c r="A7" s="249" t="s">
        <v>180</v>
      </c>
      <c r="B7" s="248" t="s">
        <v>179</v>
      </c>
      <c r="C7" s="247" t="s">
        <v>178</v>
      </c>
      <c r="D7" s="246" t="s">
        <v>177</v>
      </c>
      <c r="E7" s="245" t="s">
        <v>176</v>
      </c>
      <c r="F7" s="244" t="s">
        <v>175</v>
      </c>
      <c r="G7" s="243" t="s">
        <v>174</v>
      </c>
      <c r="H7" s="241" t="s">
        <v>173</v>
      </c>
      <c r="I7" s="241" t="s">
        <v>172</v>
      </c>
      <c r="J7" s="240" t="s">
        <v>171</v>
      </c>
      <c r="K7" s="242" t="s">
        <v>170</v>
      </c>
      <c r="L7" s="241" t="s">
        <v>169</v>
      </c>
      <c r="M7" s="241" t="s">
        <v>168</v>
      </c>
      <c r="N7" s="240" t="s">
        <v>167</v>
      </c>
      <c r="O7" s="239" t="s">
        <v>166</v>
      </c>
      <c r="P7" s="238" t="s">
        <v>165</v>
      </c>
      <c r="Q7" s="237" t="s">
        <v>164</v>
      </c>
      <c r="R7" s="236" t="s">
        <v>163</v>
      </c>
      <c r="S7" s="235" t="s">
        <v>162</v>
      </c>
    </row>
    <row r="8" spans="1:19" x14ac:dyDescent="0.25">
      <c r="A8" s="232" t="s">
        <v>396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7592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2545761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5397.553303675425</v>
      </c>
      <c r="R8" s="234">
        <f ca="1">IF(Tabulka[[#This Row],[15_vzpl]]=0,"",Tabulka[[#This Row],[14_vzsk]]/Tabulka[[#This Row],[15_vzpl]])</f>
        <v>1.4450992072072075</v>
      </c>
      <c r="S8" s="233">
        <f ca="1">IF(Tabulka[[#This Row],[15_vzpl]]-Tabulka[[#This Row],[14_vzsk]]=0,"",Tabulka[[#This Row],[15_vzpl]]-Tabulka[[#This Row],[14_vzsk]])</f>
        <v>-2402.446696324575</v>
      </c>
    </row>
    <row r="9" spans="1:19" x14ac:dyDescent="0.25">
      <c r="A9" s="232">
        <v>523</v>
      </c>
      <c r="B9" s="231" t="s">
        <v>410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7592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103554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2545761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25">
      <c r="A10" s="232">
        <v>526</v>
      </c>
      <c r="B10" s="231" t="s">
        <v>411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5397.553303675425</v>
      </c>
      <c r="R10" s="234">
        <f ca="1">IF(Tabulka[[#This Row],[15_vzpl]]=0,"",Tabulka[[#This Row],[14_vzsk]]/Tabulka[[#This Row],[15_vzpl]])</f>
        <v>1.4450992072072075</v>
      </c>
      <c r="S10" s="233">
        <f ca="1">IF(Tabulka[[#This Row],[15_vzpl]]-Tabulka[[#This Row],[14_vzsk]]=0,"",Tabulka[[#This Row],[15_vzpl]]-Tabulka[[#This Row],[14_vzsk]])</f>
        <v>-2402.446696324575</v>
      </c>
    </row>
    <row r="11" spans="1:19" x14ac:dyDescent="0.25">
      <c r="A11" s="232" t="s">
        <v>403</v>
      </c>
      <c r="B11" s="231"/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25">
      <c r="A12" s="232">
        <v>305</v>
      </c>
      <c r="B12" s="231" t="s">
        <v>412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 t="str">
        <f ca="1">IF(Tabulka[[#This Row],[15_vzpl]]-Tabulka[[#This Row],[14_vzsk]]=0,"",Tabulka[[#This Row],[15_vzpl]]-Tabulka[[#This Row],[14_vzsk]])</f>
        <v/>
      </c>
    </row>
    <row r="13" spans="1:19" x14ac:dyDescent="0.25">
      <c r="A13" s="232" t="s">
        <v>397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32954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25">
      <c r="A14" s="232">
        <v>30</v>
      </c>
      <c r="B14" s="231" t="s">
        <v>413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32954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190</v>
      </c>
    </row>
    <row r="16" spans="1:19" x14ac:dyDescent="0.25">
      <c r="A16" s="85" t="s">
        <v>108</v>
      </c>
    </row>
    <row r="17" spans="1:1" x14ac:dyDescent="0.25">
      <c r="A17" s="86" t="s">
        <v>161</v>
      </c>
    </row>
    <row r="18" spans="1:1" x14ac:dyDescent="0.25">
      <c r="A18" s="224" t="s">
        <v>160</v>
      </c>
    </row>
    <row r="19" spans="1:1" x14ac:dyDescent="0.25">
      <c r="A19" s="193" t="s">
        <v>134</v>
      </c>
    </row>
    <row r="20" spans="1:1" x14ac:dyDescent="0.25">
      <c r="A20" s="195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62A6673-5D03-4B2B-99BE-B60269428A8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409</v>
      </c>
    </row>
    <row r="2" spans="1:19" x14ac:dyDescent="0.25">
      <c r="A2" s="190" t="s">
        <v>213</v>
      </c>
    </row>
    <row r="3" spans="1:19" x14ac:dyDescent="0.25">
      <c r="A3" s="270" t="s">
        <v>111</v>
      </c>
      <c r="B3" s="269">
        <v>2019</v>
      </c>
      <c r="C3" t="s">
        <v>189</v>
      </c>
      <c r="D3" t="s">
        <v>180</v>
      </c>
      <c r="E3" t="s">
        <v>178</v>
      </c>
      <c r="F3" t="s">
        <v>177</v>
      </c>
      <c r="G3" t="s">
        <v>176</v>
      </c>
      <c r="H3" t="s">
        <v>175</v>
      </c>
      <c r="I3" t="s">
        <v>174</v>
      </c>
      <c r="J3" t="s">
        <v>173</v>
      </c>
      <c r="K3" t="s">
        <v>172</v>
      </c>
      <c r="L3" t="s">
        <v>171</v>
      </c>
      <c r="M3" t="s">
        <v>170</v>
      </c>
      <c r="N3" t="s">
        <v>169</v>
      </c>
      <c r="O3" t="s">
        <v>168</v>
      </c>
      <c r="P3" t="s">
        <v>167</v>
      </c>
      <c r="Q3" t="s">
        <v>166</v>
      </c>
      <c r="R3" t="s">
        <v>165</v>
      </c>
      <c r="S3" t="s">
        <v>164</v>
      </c>
    </row>
    <row r="4" spans="1:19" x14ac:dyDescent="0.25">
      <c r="A4" s="268" t="s">
        <v>112</v>
      </c>
      <c r="B4" s="267">
        <v>1</v>
      </c>
      <c r="C4" s="262">
        <v>1</v>
      </c>
      <c r="D4" s="262" t="s">
        <v>396</v>
      </c>
      <c r="E4" s="261">
        <v>5</v>
      </c>
      <c r="F4" s="261"/>
      <c r="G4" s="261"/>
      <c r="H4" s="261"/>
      <c r="I4" s="261">
        <v>896</v>
      </c>
      <c r="J4" s="261"/>
      <c r="K4" s="261"/>
      <c r="L4" s="261"/>
      <c r="M4" s="261"/>
      <c r="N4" s="261"/>
      <c r="O4" s="261"/>
      <c r="P4" s="261"/>
      <c r="Q4" s="261">
        <v>249666</v>
      </c>
      <c r="R4" s="261">
        <v>1500</v>
      </c>
      <c r="S4" s="261">
        <v>539.75533036754257</v>
      </c>
    </row>
    <row r="5" spans="1:19" x14ac:dyDescent="0.25">
      <c r="A5" s="266" t="s">
        <v>113</v>
      </c>
      <c r="B5" s="265">
        <v>2</v>
      </c>
      <c r="C5">
        <v>1</v>
      </c>
      <c r="D5">
        <v>523</v>
      </c>
      <c r="E5">
        <v>5</v>
      </c>
      <c r="I5">
        <v>896</v>
      </c>
      <c r="Q5">
        <v>249666</v>
      </c>
    </row>
    <row r="6" spans="1:19" x14ac:dyDescent="0.25">
      <c r="A6" s="268" t="s">
        <v>114</v>
      </c>
      <c r="B6" s="267">
        <v>3</v>
      </c>
      <c r="C6">
        <v>1</v>
      </c>
      <c r="D6">
        <v>526</v>
      </c>
      <c r="R6">
        <v>1500</v>
      </c>
      <c r="S6">
        <v>539.75533036754257</v>
      </c>
    </row>
    <row r="7" spans="1:19" x14ac:dyDescent="0.25">
      <c r="A7" s="266" t="s">
        <v>115</v>
      </c>
      <c r="B7" s="265">
        <v>4</v>
      </c>
      <c r="C7">
        <v>1</v>
      </c>
      <c r="D7" t="s">
        <v>397</v>
      </c>
      <c r="Q7">
        <v>3615</v>
      </c>
    </row>
    <row r="8" spans="1:19" x14ac:dyDescent="0.25">
      <c r="A8" s="268" t="s">
        <v>116</v>
      </c>
      <c r="B8" s="267">
        <v>5</v>
      </c>
      <c r="C8">
        <v>1</v>
      </c>
      <c r="D8">
        <v>30</v>
      </c>
      <c r="Q8">
        <v>3615</v>
      </c>
    </row>
    <row r="9" spans="1:19" x14ac:dyDescent="0.25">
      <c r="A9" s="266" t="s">
        <v>117</v>
      </c>
      <c r="B9" s="265">
        <v>6</v>
      </c>
      <c r="C9" t="s">
        <v>398</v>
      </c>
      <c r="E9">
        <v>5</v>
      </c>
      <c r="I9">
        <v>896</v>
      </c>
      <c r="Q9">
        <v>253281</v>
      </c>
      <c r="R9">
        <v>1500</v>
      </c>
      <c r="S9">
        <v>539.75533036754257</v>
      </c>
    </row>
    <row r="10" spans="1:19" x14ac:dyDescent="0.25">
      <c r="A10" s="268" t="s">
        <v>118</v>
      </c>
      <c r="B10" s="267">
        <v>7</v>
      </c>
      <c r="C10">
        <v>2</v>
      </c>
      <c r="D10" t="s">
        <v>396</v>
      </c>
      <c r="E10">
        <v>5</v>
      </c>
      <c r="I10">
        <v>752</v>
      </c>
      <c r="Q10">
        <v>243725</v>
      </c>
      <c r="R10">
        <v>1800</v>
      </c>
      <c r="S10">
        <v>539.75533036754257</v>
      </c>
    </row>
    <row r="11" spans="1:19" x14ac:dyDescent="0.25">
      <c r="A11" s="266" t="s">
        <v>119</v>
      </c>
      <c r="B11" s="265">
        <v>8</v>
      </c>
      <c r="C11">
        <v>2</v>
      </c>
      <c r="D11">
        <v>523</v>
      </c>
      <c r="E11">
        <v>5</v>
      </c>
      <c r="I11">
        <v>752</v>
      </c>
      <c r="Q11">
        <v>243725</v>
      </c>
    </row>
    <row r="12" spans="1:19" x14ac:dyDescent="0.25">
      <c r="A12" s="268" t="s">
        <v>120</v>
      </c>
      <c r="B12" s="267">
        <v>9</v>
      </c>
      <c r="C12">
        <v>2</v>
      </c>
      <c r="D12">
        <v>526</v>
      </c>
      <c r="R12">
        <v>1800</v>
      </c>
      <c r="S12">
        <v>539.75533036754257</v>
      </c>
    </row>
    <row r="13" spans="1:19" x14ac:dyDescent="0.25">
      <c r="A13" s="266" t="s">
        <v>121</v>
      </c>
      <c r="B13" s="265">
        <v>10</v>
      </c>
      <c r="C13">
        <v>2</v>
      </c>
      <c r="D13" t="s">
        <v>397</v>
      </c>
      <c r="Q13">
        <v>3696</v>
      </c>
    </row>
    <row r="14" spans="1:19" x14ac:dyDescent="0.25">
      <c r="A14" s="268" t="s">
        <v>122</v>
      </c>
      <c r="B14" s="267">
        <v>11</v>
      </c>
      <c r="C14">
        <v>2</v>
      </c>
      <c r="D14">
        <v>30</v>
      </c>
      <c r="Q14">
        <v>3696</v>
      </c>
    </row>
    <row r="15" spans="1:19" x14ac:dyDescent="0.25">
      <c r="A15" s="266" t="s">
        <v>123</v>
      </c>
      <c r="B15" s="265">
        <v>12</v>
      </c>
      <c r="C15" t="s">
        <v>399</v>
      </c>
      <c r="E15">
        <v>5</v>
      </c>
      <c r="I15">
        <v>752</v>
      </c>
      <c r="Q15">
        <v>247421</v>
      </c>
      <c r="R15">
        <v>1800</v>
      </c>
      <c r="S15">
        <v>539.75533036754257</v>
      </c>
    </row>
    <row r="16" spans="1:19" x14ac:dyDescent="0.25">
      <c r="A16" s="264" t="s">
        <v>111</v>
      </c>
      <c r="B16" s="263">
        <v>2019</v>
      </c>
      <c r="C16">
        <v>3</v>
      </c>
      <c r="D16" t="s">
        <v>396</v>
      </c>
      <c r="E16">
        <v>5</v>
      </c>
      <c r="I16">
        <v>752</v>
      </c>
      <c r="Q16">
        <v>245107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752</v>
      </c>
      <c r="Q17">
        <v>245107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397</v>
      </c>
      <c r="Q19">
        <v>3432</v>
      </c>
    </row>
    <row r="20" spans="3:19" x14ac:dyDescent="0.25">
      <c r="C20">
        <v>3</v>
      </c>
      <c r="D20">
        <v>30</v>
      </c>
      <c r="Q20">
        <v>3432</v>
      </c>
    </row>
    <row r="21" spans="3:19" x14ac:dyDescent="0.25">
      <c r="C21" t="s">
        <v>400</v>
      </c>
      <c r="E21">
        <v>5</v>
      </c>
      <c r="I21">
        <v>752</v>
      </c>
      <c r="Q21">
        <v>248539</v>
      </c>
      <c r="S21">
        <v>539.75533036754257</v>
      </c>
    </row>
    <row r="22" spans="3:19" x14ac:dyDescent="0.25">
      <c r="C22">
        <v>4</v>
      </c>
      <c r="D22" t="s">
        <v>396</v>
      </c>
      <c r="E22">
        <v>5</v>
      </c>
      <c r="I22">
        <v>824</v>
      </c>
      <c r="Q22">
        <v>245708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824</v>
      </c>
      <c r="Q23">
        <v>245708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397</v>
      </c>
      <c r="Q25">
        <v>3444</v>
      </c>
    </row>
    <row r="26" spans="3:19" x14ac:dyDescent="0.25">
      <c r="C26">
        <v>4</v>
      </c>
      <c r="D26">
        <v>30</v>
      </c>
      <c r="Q26">
        <v>3444</v>
      </c>
    </row>
    <row r="27" spans="3:19" x14ac:dyDescent="0.25">
      <c r="C27" t="s">
        <v>401</v>
      </c>
      <c r="E27">
        <v>5</v>
      </c>
      <c r="I27">
        <v>824</v>
      </c>
      <c r="Q27">
        <v>249152</v>
      </c>
      <c r="S27">
        <v>539.75533036754257</v>
      </c>
    </row>
    <row r="28" spans="3:19" x14ac:dyDescent="0.25">
      <c r="C28">
        <v>5</v>
      </c>
      <c r="D28" t="s">
        <v>396</v>
      </c>
      <c r="E28">
        <v>5</v>
      </c>
      <c r="I28">
        <v>872</v>
      </c>
      <c r="Q28">
        <v>246329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872</v>
      </c>
      <c r="Q29">
        <v>246329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397</v>
      </c>
      <c r="Q31">
        <v>3374</v>
      </c>
    </row>
    <row r="32" spans="3:19" x14ac:dyDescent="0.25">
      <c r="C32">
        <v>5</v>
      </c>
      <c r="D32">
        <v>30</v>
      </c>
      <c r="Q32">
        <v>3374</v>
      </c>
    </row>
    <row r="33" spans="3:19" x14ac:dyDescent="0.25">
      <c r="C33" t="s">
        <v>402</v>
      </c>
      <c r="E33">
        <v>5</v>
      </c>
      <c r="I33">
        <v>872</v>
      </c>
      <c r="Q33">
        <v>249703</v>
      </c>
      <c r="S33">
        <v>539.75533036754257</v>
      </c>
    </row>
    <row r="34" spans="3:19" x14ac:dyDescent="0.25">
      <c r="C34">
        <v>6</v>
      </c>
      <c r="D34" t="s">
        <v>396</v>
      </c>
      <c r="E34">
        <v>5</v>
      </c>
      <c r="I34">
        <v>656</v>
      </c>
      <c r="Q34">
        <v>244662</v>
      </c>
      <c r="R34">
        <v>4500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656</v>
      </c>
      <c r="Q35">
        <v>244662</v>
      </c>
    </row>
    <row r="36" spans="3:19" x14ac:dyDescent="0.25">
      <c r="C36">
        <v>6</v>
      </c>
      <c r="D36">
        <v>526</v>
      </c>
      <c r="R36">
        <v>4500</v>
      </c>
      <c r="S36">
        <v>539.75533036754257</v>
      </c>
    </row>
    <row r="37" spans="3:19" x14ac:dyDescent="0.25">
      <c r="C37">
        <v>6</v>
      </c>
      <c r="D37" t="s">
        <v>403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397</v>
      </c>
      <c r="Q39">
        <v>3512</v>
      </c>
    </row>
    <row r="40" spans="3:19" x14ac:dyDescent="0.25">
      <c r="C40">
        <v>6</v>
      </c>
      <c r="D40">
        <v>30</v>
      </c>
      <c r="Q40">
        <v>3512</v>
      </c>
    </row>
    <row r="41" spans="3:19" x14ac:dyDescent="0.25">
      <c r="C41" t="s">
        <v>404</v>
      </c>
      <c r="E41">
        <v>5</v>
      </c>
      <c r="I41">
        <v>656</v>
      </c>
      <c r="O41">
        <v>6000</v>
      </c>
      <c r="P41">
        <v>6000</v>
      </c>
      <c r="Q41">
        <v>254174</v>
      </c>
      <c r="R41">
        <v>4500</v>
      </c>
      <c r="S41">
        <v>539.75533036754257</v>
      </c>
    </row>
    <row r="42" spans="3:19" x14ac:dyDescent="0.25">
      <c r="C42">
        <v>7</v>
      </c>
      <c r="D42" t="s">
        <v>396</v>
      </c>
      <c r="E42">
        <v>5</v>
      </c>
      <c r="I42">
        <v>704</v>
      </c>
      <c r="O42">
        <v>88554</v>
      </c>
      <c r="P42">
        <v>88554</v>
      </c>
      <c r="Q42">
        <v>336573</v>
      </c>
      <c r="S42">
        <v>539.75533036754257</v>
      </c>
    </row>
    <row r="43" spans="3:19" x14ac:dyDescent="0.25">
      <c r="C43">
        <v>7</v>
      </c>
      <c r="D43">
        <v>523</v>
      </c>
      <c r="E43">
        <v>5</v>
      </c>
      <c r="I43">
        <v>704</v>
      </c>
      <c r="O43">
        <v>88554</v>
      </c>
      <c r="P43">
        <v>88554</v>
      </c>
      <c r="Q43">
        <v>336573</v>
      </c>
    </row>
    <row r="44" spans="3:19" x14ac:dyDescent="0.25">
      <c r="C44">
        <v>7</v>
      </c>
      <c r="D44">
        <v>526</v>
      </c>
      <c r="S44">
        <v>539.75533036754257</v>
      </c>
    </row>
    <row r="45" spans="3:19" x14ac:dyDescent="0.25">
      <c r="C45">
        <v>7</v>
      </c>
      <c r="D45" t="s">
        <v>397</v>
      </c>
      <c r="Q45">
        <v>2410</v>
      </c>
    </row>
    <row r="46" spans="3:19" x14ac:dyDescent="0.25">
      <c r="C46">
        <v>7</v>
      </c>
      <c r="D46">
        <v>30</v>
      </c>
      <c r="Q46">
        <v>2410</v>
      </c>
    </row>
    <row r="47" spans="3:19" x14ac:dyDescent="0.25">
      <c r="C47" t="s">
        <v>405</v>
      </c>
      <c r="E47">
        <v>5</v>
      </c>
      <c r="I47">
        <v>704</v>
      </c>
      <c r="O47">
        <v>88554</v>
      </c>
      <c r="P47">
        <v>88554</v>
      </c>
      <c r="Q47">
        <v>338983</v>
      </c>
      <c r="S47">
        <v>539.75533036754257</v>
      </c>
    </row>
    <row r="48" spans="3:19" x14ac:dyDescent="0.25">
      <c r="C48">
        <v>8</v>
      </c>
      <c r="D48" t="s">
        <v>396</v>
      </c>
      <c r="E48">
        <v>5</v>
      </c>
      <c r="I48">
        <v>560</v>
      </c>
      <c r="Q48">
        <v>249797</v>
      </c>
      <c r="S48">
        <v>539.75533036754257</v>
      </c>
    </row>
    <row r="49" spans="3:19" x14ac:dyDescent="0.25">
      <c r="C49">
        <v>8</v>
      </c>
      <c r="D49">
        <v>523</v>
      </c>
      <c r="E49">
        <v>5</v>
      </c>
      <c r="I49">
        <v>560</v>
      </c>
      <c r="Q49">
        <v>249797</v>
      </c>
    </row>
    <row r="50" spans="3:19" x14ac:dyDescent="0.25">
      <c r="C50">
        <v>8</v>
      </c>
      <c r="D50">
        <v>526</v>
      </c>
      <c r="S50">
        <v>539.75533036754257</v>
      </c>
    </row>
    <row r="51" spans="3:19" x14ac:dyDescent="0.25">
      <c r="C51">
        <v>8</v>
      </c>
      <c r="D51" t="s">
        <v>397</v>
      </c>
      <c r="Q51">
        <v>2688</v>
      </c>
    </row>
    <row r="52" spans="3:19" x14ac:dyDescent="0.25">
      <c r="C52">
        <v>8</v>
      </c>
      <c r="D52">
        <v>30</v>
      </c>
      <c r="Q52">
        <v>2688</v>
      </c>
    </row>
    <row r="53" spans="3:19" x14ac:dyDescent="0.25">
      <c r="C53" t="s">
        <v>406</v>
      </c>
      <c r="E53">
        <v>5</v>
      </c>
      <c r="I53">
        <v>560</v>
      </c>
      <c r="Q53">
        <v>252485</v>
      </c>
      <c r="S53">
        <v>539.75533036754257</v>
      </c>
    </row>
    <row r="54" spans="3:19" x14ac:dyDescent="0.25">
      <c r="C54">
        <v>9</v>
      </c>
      <c r="D54" t="s">
        <v>396</v>
      </c>
      <c r="E54">
        <v>5</v>
      </c>
      <c r="I54">
        <v>712</v>
      </c>
      <c r="O54">
        <v>15000</v>
      </c>
      <c r="P54">
        <v>15000</v>
      </c>
      <c r="Q54">
        <v>240594</v>
      </c>
      <c r="S54">
        <v>539.75533036754257</v>
      </c>
    </row>
    <row r="55" spans="3:19" x14ac:dyDescent="0.25">
      <c r="C55">
        <v>9</v>
      </c>
      <c r="D55">
        <v>523</v>
      </c>
      <c r="E55">
        <v>5</v>
      </c>
      <c r="I55">
        <v>712</v>
      </c>
      <c r="O55">
        <v>15000</v>
      </c>
      <c r="P55">
        <v>15000</v>
      </c>
      <c r="Q55">
        <v>240594</v>
      </c>
    </row>
    <row r="56" spans="3:19" x14ac:dyDescent="0.25">
      <c r="C56">
        <v>9</v>
      </c>
      <c r="D56">
        <v>526</v>
      </c>
      <c r="S56">
        <v>539.75533036754257</v>
      </c>
    </row>
    <row r="57" spans="3:19" x14ac:dyDescent="0.25">
      <c r="C57">
        <v>9</v>
      </c>
      <c r="D57" t="s">
        <v>397</v>
      </c>
      <c r="Q57">
        <v>3168</v>
      </c>
    </row>
    <row r="58" spans="3:19" x14ac:dyDescent="0.25">
      <c r="C58">
        <v>9</v>
      </c>
      <c r="D58">
        <v>30</v>
      </c>
      <c r="Q58">
        <v>3168</v>
      </c>
    </row>
    <row r="59" spans="3:19" x14ac:dyDescent="0.25">
      <c r="C59" t="s">
        <v>407</v>
      </c>
      <c r="E59">
        <v>5</v>
      </c>
      <c r="I59">
        <v>712</v>
      </c>
      <c r="O59">
        <v>15000</v>
      </c>
      <c r="P59">
        <v>15000</v>
      </c>
      <c r="Q59">
        <v>243762</v>
      </c>
      <c r="S59">
        <v>539.75533036754257</v>
      </c>
    </row>
    <row r="60" spans="3:19" x14ac:dyDescent="0.25">
      <c r="C60">
        <v>10</v>
      </c>
      <c r="D60" t="s">
        <v>396</v>
      </c>
      <c r="E60">
        <v>5</v>
      </c>
      <c r="I60">
        <v>864</v>
      </c>
      <c r="Q60">
        <v>243600</v>
      </c>
      <c r="S60">
        <v>539.75533036754257</v>
      </c>
    </row>
    <row r="61" spans="3:19" x14ac:dyDescent="0.25">
      <c r="C61">
        <v>10</v>
      </c>
      <c r="D61">
        <v>523</v>
      </c>
      <c r="E61">
        <v>5</v>
      </c>
      <c r="I61">
        <v>864</v>
      </c>
      <c r="Q61">
        <v>243600</v>
      </c>
    </row>
    <row r="62" spans="3:19" x14ac:dyDescent="0.25">
      <c r="C62">
        <v>10</v>
      </c>
      <c r="D62">
        <v>526</v>
      </c>
      <c r="S62">
        <v>539.75533036754257</v>
      </c>
    </row>
    <row r="63" spans="3:19" x14ac:dyDescent="0.25">
      <c r="C63">
        <v>10</v>
      </c>
      <c r="D63" t="s">
        <v>397</v>
      </c>
      <c r="Q63">
        <v>3615</v>
      </c>
    </row>
    <row r="64" spans="3:19" x14ac:dyDescent="0.25">
      <c r="C64">
        <v>10</v>
      </c>
      <c r="D64">
        <v>30</v>
      </c>
      <c r="Q64">
        <v>3615</v>
      </c>
    </row>
    <row r="65" spans="3:19" x14ac:dyDescent="0.25">
      <c r="C65" t="s">
        <v>408</v>
      </c>
      <c r="E65">
        <v>5</v>
      </c>
      <c r="I65">
        <v>864</v>
      </c>
      <c r="Q65">
        <v>247215</v>
      </c>
      <c r="S65">
        <v>539.75533036754257</v>
      </c>
    </row>
  </sheetData>
  <hyperlinks>
    <hyperlink ref="A2" location="Obsah!A1" display="Zpět na Obsah  KL 01  1.-4.měsíc" xr:uid="{45DC0F81-435A-43CC-8C4C-545894380C28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2019-11-25T13:19:30Z</dcterms:modified>
</cp:coreProperties>
</file>