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D12" i="431"/>
  <c r="F12" i="431"/>
  <c r="J12" i="431"/>
  <c r="M12" i="431"/>
  <c r="P12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E12" i="431"/>
  <c r="G12" i="431"/>
  <c r="I12" i="431"/>
  <c r="L12" i="431"/>
  <c r="O12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H12" i="431"/>
  <c r="K12" i="431"/>
  <c r="N12" i="431"/>
  <c r="Q12" i="431"/>
  <c r="O8" i="431"/>
  <c r="I8" i="431"/>
  <c r="M8" i="431"/>
  <c r="Q8" i="431"/>
  <c r="H8" i="431"/>
  <c r="P8" i="431"/>
  <c r="N8" i="431"/>
  <c r="J8" i="431"/>
  <c r="E8" i="431"/>
  <c r="K8" i="431"/>
  <c r="L8" i="431"/>
  <c r="G8" i="431"/>
  <c r="C8" i="431"/>
  <c r="F8" i="431"/>
  <c r="D8" i="431"/>
  <c r="S12" i="431" l="1"/>
  <c r="R12" i="431"/>
  <c r="R11" i="431"/>
  <c r="S11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D20" i="414"/>
  <c r="C20" i="414"/>
  <c r="R3" i="345" l="1"/>
  <c r="Q3" i="345"/>
  <c r="I12" i="339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<sst xmlns="http://schemas.openxmlformats.org/spreadsheetml/2006/main" count="787" uniqueCount="365">
  <si>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</si>
  <si>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</si>
  <si>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</si>
  <si>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</si>
  <si>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</si>
  <si>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</si>
  <si>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</si>
  <si>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</si>
  <si>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</si>
  <si>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</si>
  <si>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</si>
  <si>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</si>
  <si>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</si>
  <si>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</si>
  <si>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</si>
  <si>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</si>
  <si>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</si>
  <si>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</si>
  <si>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</si>
  <si>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</si>
  <si>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</si>
  <si>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</si>
  <si>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</si>
  <si>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</si>
  <si>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</si>
  <si>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</si>
  <si>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</si>
  <si>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</si>
  <si>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</si>
  <si>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</si>
  <si>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</si>
  <si>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</si>
  <si>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</si>
  <si>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</si>
  <si>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</si>
  <si>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</si>
  <si>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</si>
  <si>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</si>
  <si>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</si>
  <si>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</si>
  <si>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</si>
  <si>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</si>
  <si>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</si>
  <si>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</si>
  <si>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</si>
  <si>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</si>
  <si>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</si>
  <si>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</si>
  <si>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</si>
  <si>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</si>
  <si>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</si>
  <si>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</si>
  <si>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</si>
  <si>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</si>
  <si>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</si>
  <si>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</si>
  <si>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</si>
  <si>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</si>
  <si>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</si>
  <si>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</si>
  <si>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</si>
  <si>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</si>
  <si>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</si>
  <si>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</si>
  <si>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</si>
  <si>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</si>
  <si>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</si>
  <si>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</si>
  <si>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</si>
  <si>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</si>
  <si>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</si>
  <si>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</si>
  <si>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</si>
  <si>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</si>
  <si>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</si>
  <si>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</si>
  <si>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</si>
  <si>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</si>
  <si>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</si>
  <si>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</si>
  <si>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</si>
  <si>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</si>
  <si>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</si>
  <si>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</si>
  <si>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</si>
  <si>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</si>
  <si>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</si>
  <si>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</si>
  <si>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</si>
  <si>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</si>
  <si>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</si>
  <si>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</si>
  <si>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</si>
  <si>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</si>
  <si>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</si>
  <si>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</si>
  <si>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</si>
  <si>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</si>
  <si>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</si>
  <si>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</si>
  <si>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</si>
  <si>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</si>
  <si>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</si>
  <si>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</si>
  <si>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</si>
  <si>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</si>
  <si>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</si>
  <si>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</si>
  <si>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</si>
  <si>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</si>
  <si>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</si>
  <si>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</si>
  <si>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</si>
  <si>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</si>
  <si>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</si>
  <si>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</si>
  <si>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</si>
  <si>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</si>
  <si>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</si>
  <si>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</si>
  <si>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</si>
  <si>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</si>
  <si>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</si>
  <si>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</si>
  <si>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</si>
  <si>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</si>
  <si>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</si>
  <si>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</si>
  <si>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</si>
  <si>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</si>
  <si>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</si>
  <si>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</si>
  <si>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</si>
  <si>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</si>
  <si>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</si>
  <si>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</si>
  <si>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</si>
  <si>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</si>
  <si>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</si>
  <si>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</si>
  <si>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</si>
  <si>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</si>
  <si>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</si>
  <si>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</si>
  <si>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</si>
  <si>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</si>
  <si>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</si>
  <si>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</si>
  <si>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</si>
  <si>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</si>
  <si>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</si>
  <si>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</si>
  <si>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</si>
  <si>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</si>
  <si>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</si>
  <si>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</si>
  <si>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</si>
  <si>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</si>
  <si>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</si>
  <si>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</si>
  <si>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</si>
  <si>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</si>
  <si>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</si>
  <si>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</si>
  <si>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</si>
  <si>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</si>
  <si>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</si>
  <si>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</si>
  <si>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</si>
  <si>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</si>
  <si>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</si>
  <si>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</si>
  <si>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</si>
  <si>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</si>
  <si>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</si>
  <si>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</si>
  <si>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</si>
  <si>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</si>
  <si>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</si>
  <si>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</si>
  <si>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</si>
  <si>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</si>
  <si>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</si>
  <si>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</si>
  <si>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</si>
  <si>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</si>
  <si>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</si>
  <si>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</si>
  <si>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</si>
  <si>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</si>
  <si>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</si>
  <si>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</si>
  <si>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</si>
  <si>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</si>
  <si>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</si>
  <si>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</si>
  <si>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</si>
  <si>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</si>
  <si>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</si>
  <si>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</si>
  <si>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</si>
  <si>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</si>
  <si>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</si>
  <si>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</si>
  <si>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</si>
  <si>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</si>
  <si>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</si>
  <si>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</si>
  <si>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</si>
  <si>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</si>
  <si>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</si>
  <si>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</si>
  <si>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</si>
  <si>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50117023     všeob.mat. - kancel.tech. (V34) od 1tis do 2999,99</t>
  </si>
  <si>
    <t>--</t>
  </si>
  <si>
    <t>50117024     všeob.mat. - ostatní-vyjímky (V44) od 0,01 do 999,99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</si>
  <si>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</si>
  <si>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</si>
  <si>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</si>
  <si>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</si>
  <si>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</si>
  <si>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</si>
  <si>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</si>
  <si>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</si>
  <si>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</si>
  <si>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</si>
  <si>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</si>
  <si>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</si>
  <si>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</si>
  <si>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</si>
  <si>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</si>
  <si>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</si>
  <si>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</si>
  <si>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</si>
  <si>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</si>
  <si>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</si>
  <si>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</si>
  <si>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</si>
  <si>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</si>
  <si>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</si>
  <si>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</si>
  <si>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</si>
  <si>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OSBTK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</si>
  <si>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</si>
  <si>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</si>
  <si>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</si>
  <si>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</si>
  <si>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</si>
  <si>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</si>
  <si>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</si>
  <si>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</si>
  <si>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</si>
  <si>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</si>
  <si>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</si>
  <si>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</si>
  <si>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</si>
  <si>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</si>
  <si>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</si>
  <si>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</si>
  <si>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</si>
  <si>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</si>
  <si>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</si>
  <si>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</si>
  <si>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</si>
  <si>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</si>
  <si>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</si>
  <si>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</si>
  <si>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</si>
  <si>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</si>
  <si>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</si>
  <si>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</si>
  <si>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</si>
  <si>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</si>
  <si>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</si>
  <si>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</si>
  <si>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</si>
  <si>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</si>
  <si>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</si>
  <si>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</si>
  <si>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</si>
  <si>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</si>
  <si>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</si>
  <si>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60229     Zdr. výkony -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</si>
  <si>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</si>
  <si>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</si>
  <si>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</si>
  <si>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</si>
  <si>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</si>
  <si>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</si>
  <si>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</si>
  <si>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</si>
  <si>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</si>
  <si>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</si>
  <si>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</si>
  <si>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</si>
  <si>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</si>
  <si>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</si>
  <si>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</si>
  <si>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</si>
  <si>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</si>
  <si>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</si>
  <si>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</si>
  <si>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</si>
  <si>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</si>
  <si>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</si>
  <si>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</si>
  <si>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</si>
  <si>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</si>
  <si>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</si>
  <si>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</si>
  <si>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</si>
  <si>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</si>
  <si>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</si>
  <si>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ON Data</t>
  </si>
  <si>
    <t>kliničtí logopedové</t>
  </si>
  <si>
    <t>odborní pracovníci v lab. metodách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</si>
  <si>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</si>
  <si>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</si>
  <si>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</si>
  <si>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</si>
  <si>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</si>
  <si>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</si>
  <si>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</si>
  <si>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</si>
  <si>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</si>
  <si>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</si>
  <si>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</si>
  <si>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</si>
  <si>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</si>
  <si>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</si>
  <si>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</si>
  <si>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</si>
  <si>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</si>
  <si>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</si>
  <si>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</si>
  <si>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</si>
  <si>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</si>
  <si>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</si>
  <si>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</si>
  <si>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</si>
  <si>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</si>
  <si>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</si>
  <si>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</si>
  <si>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</si>
  <si>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</si>
  <si>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</si>
  <si>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</si>
  <si>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</si>
  <si>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</si>
  <si>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</si>
  <si>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</si>
  <si>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17 - Neurologická klinika</t>
  </si>
  <si>
    <t>26 - Oddělení rehabilitace</t>
  </si>
  <si>
    <t>30 - Oddělení geriatrie</t>
  </si>
  <si>
    <t>32 - Hemato-onkologická klinika</t>
  </si>
  <si>
    <t>01</t>
  </si>
  <si>
    <t>02</t>
  </si>
  <si>
    <t>03</t>
  </si>
  <si>
    <t>05</t>
  </si>
  <si>
    <t>07</t>
  </si>
  <si>
    <t>17</t>
  </si>
  <si>
    <t>26</t>
  </si>
  <si>
    <t>30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</si>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</sst>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0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0.33123895821809163</c:v>
                </c:pt>
                <c:pt idx="1">
                  <c:v>0.30498111070576839</c:v>
                </c:pt>
                <c:pt idx="2">
                  <c:v>0.30639165535553398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9.7209779736605287E-2</c:v>
                </c:pt>
                <c:pt idx="1">
                  <c:v>9.7209779736605287E-2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2" totalsRowShown="0" headerRowDxfId="39" tableBorderDxfId="38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" totalsRowShown="0">
  <autoFilter ref="C3:S2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3" t="s">
        <v>82</v>
      </c>
      <c r="B1" s="263"/>
    </row>
    <row r="2" spans="1:3" ht="14.4" customHeight="1" thickBot="1" x14ac:dyDescent="0.35">
      <c r="A2" s="189" t="s">
        <v>202</v>
      </c>
      <c r="B2" s="41"/>
    </row>
    <row r="3" spans="1:3" ht="14.4" customHeight="1" thickBot="1" x14ac:dyDescent="0.35">
      <c r="A3" s="259" t="s">
        <v>99</v>
      </c>
      <c r="B3" s="260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204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83</v>
      </c>
      <c r="B10" s="260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84</v>
      </c>
      <c r="B13" s="260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319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325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343</v>
      </c>
      <c r="C16" s="42" t="s">
        <v>92</v>
      </c>
    </row>
    <row r="17" spans="1:3" ht="14.4" customHeight="1" x14ac:dyDescent="0.3">
      <c r="A17" s="205" t="str">
        <f>HYPERLINK("#'"&amp;C17&amp;"'!A1",C17)</f>
        <v>ZV Vykáz.-A Det.Lék.</v>
      </c>
      <c r="B17" s="65" t="s">
        <v>344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364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3" t="s">
        <v>89</v>
      </c>
      <c r="B1" s="263"/>
      <c r="C1" s="264"/>
      <c r="D1" s="264"/>
      <c r="E1" s="264"/>
    </row>
    <row r="2" spans="1:5" ht="14.4" customHeight="1" thickBot="1" x14ac:dyDescent="0.35">
      <c r="A2" s="189" t="s">
        <v>202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1032.8795134816169</v>
      </c>
      <c r="D4" s="129">
        <f ca="1">IF(ISERROR(VLOOKUP("Náklady celkem",INDIRECT("HI!$A:$G"),5,0)),0,VLOOKUP("Náklady celkem",INDIRECT("HI!$A:$G"),5,0))</f>
        <v>1089.95129</v>
      </c>
      <c r="E4" s="130">
        <f ca="1">IF(C4=0,0,D4/C4)</f>
        <v>1.0552550183961016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972.427638671875</v>
      </c>
      <c r="D12" s="133">
        <f ca="1">IF(ISERROR(VLOOKUP("Osobní náklady (Kč) *",INDIRECT("HI!$A:$G"),5,0)),0,VLOOKUP("Osobní náklady (Kč) *",INDIRECT("HI!$A:$G"),5,0))</f>
        <v>1018.9697600000001</v>
      </c>
      <c r="E12" s="134">
        <f ca="1">IF(C12=0,0,D12/C12)</f>
        <v>1.0478617837227369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100.40599</v>
      </c>
      <c r="D14" s="152">
        <f ca="1">IF(ISERROR(VLOOKUP("Výnosy celkem",INDIRECT("HI!$A:$G"),5,0)),0,VLOOKUP("Výnosy celkem",INDIRECT("HI!$A:$G"),5,0))</f>
        <v>333.952</v>
      </c>
      <c r="E14" s="153">
        <f t="shared" ref="E14:E19" ca="1" si="1">IF(C14=0,0,D14/C14)</f>
        <v>3.3260167047802627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100.40599</v>
      </c>
      <c r="D15" s="133">
        <f ca="1">IF(ISERROR(VLOOKUP("Ambulance *",INDIRECT("HI!$A:$G"),5,0)),0,VLOOKUP("Ambulance *",INDIRECT("HI!$A:$G"),5,0))</f>
        <v>333.952</v>
      </c>
      <c r="E15" s="134">
        <f t="shared" ca="1" si="1"/>
        <v>3.3260167047802627</v>
      </c>
    </row>
    <row r="16" spans="1:5" ht="14.4" customHeight="1" x14ac:dyDescent="0.3">
      <c r="A16" s="202" t="str">
        <f>HYPERLINK("#'ZV Vykáz.-A'!A1","Zdravotní výkony vykázané u ambulantních pacientů (min. 100 % 2016)")</f>
        <v>Zdravotní výkony vykázané u ambulantních pacientů (min. 100 % 2016)</v>
      </c>
      <c r="B16" s="203" t="s">
        <v>91</v>
      </c>
      <c r="C16" s="138">
        <v>1</v>
      </c>
      <c r="D16" s="138">
        <f>IF(ISERROR(VLOOKUP("Celkem:",'ZV Vykáz.-A'!$A:$AB,10,0)),"",VLOOKUP("Celkem:",'ZV Vykáz.-A'!$A:$AB,10,0))</f>
        <v>3.3260167047802622</v>
      </c>
      <c r="E16" s="134">
        <f t="shared" si="1"/>
        <v>3.3260167047802622</v>
      </c>
    </row>
    <row r="17" spans="1:5" ht="14.4" customHeight="1" x14ac:dyDescent="0.3">
      <c r="A17" s="201" t="str">
        <f>HYPERLINK("#'ZV Vykáz.-A'!A1","Specializovaná ambulantní péče")</f>
        <v>Specializovaná ambulantní péče</v>
      </c>
      <c r="B17" s="203" t="s">
        <v>91</v>
      </c>
      <c r="C17" s="138">
        <v>1</v>
      </c>
      <c r="D17" s="195">
        <f>IF(ISERROR(VLOOKUP("Specializovaná ambulantní péče",'ZV Vykáz.-A'!$A:$AB,10,0)),"",VLOOKUP("Specializovaná ambulantní péče",'ZV Vykáz.-A'!$A:$AB,10,0))</f>
        <v>3.3260167047802622</v>
      </c>
      <c r="E17" s="134">
        <f t="shared" si="1"/>
        <v>3.3260167047802622</v>
      </c>
    </row>
    <row r="18" spans="1:5" ht="14.4" customHeight="1" x14ac:dyDescent="0.3">
      <c r="A18" s="201" t="str">
        <f>HYPERLINK("#'ZV Vykáz.-A'!A1","Ambulantní péče ve vyjmenovaných odbornostech (§9)")</f>
        <v>Ambulantní péče ve vyjmenovaných odbornostech (§9)</v>
      </c>
      <c r="B18" s="203" t="s">
        <v>91</v>
      </c>
      <c r="C18" s="138">
        <v>1</v>
      </c>
      <c r="D18" s="19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3" t="s">
        <v>93</v>
      </c>
      <c r="C19" s="138">
        <v>0.85</v>
      </c>
      <c r="D19" s="138">
        <f>IF(ISERROR(VLOOKUP("Celkem:",'ZV Vykáz.-H'!$A:$S,7,0)),"",VLOOKUP("Celkem:",'ZV Vykáz.-H'!$A:$S,7,0))</f>
        <v>1.3676046763784504</v>
      </c>
      <c r="E19" s="134">
        <f t="shared" si="1"/>
        <v>1.6089466780922945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" customHeight="1" thickBot="1" x14ac:dyDescent="0.35">
      <c r="A2" s="189" t="s">
        <v>202</v>
      </c>
      <c r="B2" s="83"/>
      <c r="C2" s="83"/>
      <c r="D2" s="83"/>
      <c r="E2" s="83"/>
      <c r="F2" s="83"/>
    </row>
    <row r="3" spans="1:10" ht="14.4" customHeight="1" x14ac:dyDescent="0.3">
      <c r="A3" s="265"/>
      <c r="B3" s="79">
        <v>2015</v>
      </c>
      <c r="C3" s="40">
        <v>2018</v>
      </c>
      <c r="D3" s="7"/>
      <c r="E3" s="269">
        <v>2019</v>
      </c>
      <c r="F3" s="270"/>
      <c r="G3" s="270"/>
      <c r="H3" s="271"/>
      <c r="I3" s="272">
        <v>2017</v>
      </c>
      <c r="J3" s="273"/>
    </row>
    <row r="4" spans="1:10" ht="14.4" customHeight="1" thickBot="1" x14ac:dyDescent="0.3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6" t="s">
        <v>147</v>
      </c>
      <c r="J4" s="207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889.79269000000011</v>
      </c>
      <c r="C7" s="31">
        <v>965.58627999999987</v>
      </c>
      <c r="D7" s="8"/>
      <c r="E7" s="90">
        <v>1018.9697600000001</v>
      </c>
      <c r="F7" s="30">
        <v>972.427638671875</v>
      </c>
      <c r="G7" s="91">
        <f>E7-F7</f>
        <v>46.542121328125063</v>
      </c>
      <c r="H7" s="95">
        <f>IF(F7&lt;0.00000001,"",E7/F7)</f>
        <v>1.0478617837227369</v>
      </c>
    </row>
    <row r="8" spans="1:10" ht="14.4" customHeight="1" thickBot="1" x14ac:dyDescent="0.35">
      <c r="A8" s="1" t="s">
        <v>50</v>
      </c>
      <c r="B8" s="11">
        <v>64.806789999999751</v>
      </c>
      <c r="C8" s="33">
        <v>77.162570000000301</v>
      </c>
      <c r="D8" s="8"/>
      <c r="E8" s="92">
        <v>70.981529999999907</v>
      </c>
      <c r="F8" s="32">
        <v>60.451874809741867</v>
      </c>
      <c r="G8" s="93">
        <f>E8-F8</f>
        <v>10.52965519025804</v>
      </c>
      <c r="H8" s="96">
        <f>IF(F8&lt;0.00000001,"",E8/F8)</f>
        <v>1.1741824422054348</v>
      </c>
    </row>
    <row r="9" spans="1:10" ht="14.4" customHeight="1" thickBot="1" x14ac:dyDescent="0.35">
      <c r="A9" s="2" t="s">
        <v>51</v>
      </c>
      <c r="B9" s="3">
        <v>954.59947999999986</v>
      </c>
      <c r="C9" s="35">
        <v>1042.7488500000002</v>
      </c>
      <c r="D9" s="8"/>
      <c r="E9" s="3">
        <v>1089.95129</v>
      </c>
      <c r="F9" s="34">
        <v>1032.8795134816169</v>
      </c>
      <c r="G9" s="34">
        <f>E9-F9</f>
        <v>57.071776518383103</v>
      </c>
      <c r="H9" s="97">
        <f>IF(F9&lt;0.00000001,"",E9/F9)</f>
        <v>1.0552550183961016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211.99332999999999</v>
      </c>
      <c r="C11" s="29">
        <f>IF(ISERROR(VLOOKUP("Celkem:",'ZV Vykáz.-A'!A:H,5,0)),0,VLOOKUP("Celkem:",'ZV Vykáz.-A'!A:H,5,0)/1000)</f>
        <v>100.40599</v>
      </c>
      <c r="D11" s="8"/>
      <c r="E11" s="89">
        <f>IF(ISERROR(VLOOKUP("Celkem:",'ZV Vykáz.-A'!A:H,8,0)),0,VLOOKUP("Celkem:",'ZV Vykáz.-A'!A:H,8,0)/1000)</f>
        <v>333.952</v>
      </c>
      <c r="F11" s="28">
        <f>C11</f>
        <v>100.40599</v>
      </c>
      <c r="G11" s="88">
        <f>E11-F11</f>
        <v>233.54601</v>
      </c>
      <c r="H11" s="94">
        <f>IF(F11&lt;0.00000001,"",E11/F11)</f>
        <v>3.3260167047802627</v>
      </c>
      <c r="I11" s="88">
        <f>E11-B11</f>
        <v>121.95867000000001</v>
      </c>
      <c r="J11" s="94">
        <f>IF(B11&lt;0.00000001,"",E11/B11)</f>
        <v>1.5752948453614084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211.99332999999999</v>
      </c>
      <c r="C13" s="37">
        <f>SUM(C11:C12)</f>
        <v>100.40599</v>
      </c>
      <c r="D13" s="8"/>
      <c r="E13" s="5">
        <f>SUM(E11:E12)</f>
        <v>333.952</v>
      </c>
      <c r="F13" s="36">
        <f>SUM(F11:F12)</f>
        <v>100.40599</v>
      </c>
      <c r="G13" s="36">
        <f>E13-F13</f>
        <v>233.54601</v>
      </c>
      <c r="H13" s="98">
        <f>IF(F13&lt;0.00000001,"",E13/F13)</f>
        <v>3.3260167047802627</v>
      </c>
      <c r="I13" s="36">
        <f>SUM(I11:I12)</f>
        <v>121.95867000000001</v>
      </c>
      <c r="J13" s="98">
        <f>IF(B13&lt;0.00000001,"",E13/B13)</f>
        <v>1.5752948453614084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0.22207568141562367</v>
      </c>
      <c r="C15" s="39">
        <f>IF(C9=0,"",C13/C9)</f>
        <v>9.6289715399829959E-2</v>
      </c>
      <c r="D15" s="8"/>
      <c r="E15" s="6">
        <f>IF(E9=0,"",E13/E9)</f>
        <v>0.30639167370497816</v>
      </c>
      <c r="F15" s="38">
        <f>IF(F9=0,"",F13/F9)</f>
        <v>9.7209779736605287E-2</v>
      </c>
      <c r="G15" s="38">
        <f>IF(ISERROR(F15-E15),"",E15-F15)</f>
        <v>0.20918189396837289</v>
      </c>
      <c r="H15" s="99">
        <f>IF(ISERROR(F15-E15),"",IF(F15&lt;0.00000001,"",E15/F15))</f>
        <v>3.1518605899032131</v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89" t="s">
        <v>202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0.33123895821809163</v>
      </c>
      <c r="C4" s="170">
        <f t="shared" ref="C4:M4" si="0">(C10+C8)/C6</f>
        <v>0.30498111070576839</v>
      </c>
      <c r="D4" s="170">
        <f t="shared" si="0"/>
        <v>0.30639165535553398</v>
      </c>
      <c r="E4" s="170">
        <f t="shared" si="0"/>
        <v>0.30639165535553398</v>
      </c>
      <c r="F4" s="170">
        <f t="shared" si="0"/>
        <v>0.30639165535553398</v>
      </c>
      <c r="G4" s="170">
        <f t="shared" si="0"/>
        <v>0.30639165535553398</v>
      </c>
      <c r="H4" s="170">
        <f t="shared" si="0"/>
        <v>0.30639165535553398</v>
      </c>
      <c r="I4" s="170">
        <f t="shared" si="0"/>
        <v>0.30639165535553398</v>
      </c>
      <c r="J4" s="170">
        <f t="shared" si="0"/>
        <v>0.30639165535553398</v>
      </c>
      <c r="K4" s="170">
        <f t="shared" si="0"/>
        <v>0.30639165535553398</v>
      </c>
      <c r="L4" s="170">
        <f t="shared" si="0"/>
        <v>0.30639165535553398</v>
      </c>
      <c r="M4" s="170">
        <f t="shared" si="0"/>
        <v>0.30639165535553398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373.81874000000101</v>
      </c>
      <c r="C5" s="170">
        <f>IF(ISERROR(VLOOKUP($A5,'Man Tab'!$A:$Q,COLUMN()+2,0)),0,VLOOKUP($A5,'Man Tab'!$A:$Q,COLUMN()+2,0))</f>
        <v>359.71846000000102</v>
      </c>
      <c r="D5" s="170">
        <f>IF(ISERROR(VLOOKUP($A5,'Man Tab'!$A:$Q,COLUMN()+2,0)),0,VLOOKUP($A5,'Man Tab'!$A:$Q,COLUMN()+2,0))</f>
        <v>356.41408999999902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373.81874000000101</v>
      </c>
      <c r="C6" s="172">
        <f t="shared" ref="C6:M6" si="1">C5+B6</f>
        <v>733.53720000000203</v>
      </c>
      <c r="D6" s="172">
        <f t="shared" si="1"/>
        <v>1089.9512900000011</v>
      </c>
      <c r="E6" s="172">
        <f t="shared" si="1"/>
        <v>1089.9512900000011</v>
      </c>
      <c r="F6" s="172">
        <f t="shared" si="1"/>
        <v>1089.9512900000011</v>
      </c>
      <c r="G6" s="172">
        <f t="shared" si="1"/>
        <v>1089.9512900000011</v>
      </c>
      <c r="H6" s="172">
        <f t="shared" si="1"/>
        <v>1089.9512900000011</v>
      </c>
      <c r="I6" s="172">
        <f t="shared" si="1"/>
        <v>1089.9512900000011</v>
      </c>
      <c r="J6" s="172">
        <f t="shared" si="1"/>
        <v>1089.9512900000011</v>
      </c>
      <c r="K6" s="172">
        <f t="shared" si="1"/>
        <v>1089.9512900000011</v>
      </c>
      <c r="L6" s="172">
        <f t="shared" si="1"/>
        <v>1089.9512900000011</v>
      </c>
      <c r="M6" s="172">
        <f t="shared" si="1"/>
        <v>1089.9512900000011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123823.33</v>
      </c>
      <c r="C9" s="171">
        <v>99891.66</v>
      </c>
      <c r="D9" s="171">
        <v>110236.99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123.82333</v>
      </c>
      <c r="C10" s="172">
        <f t="shared" ref="C10:M10" si="3">C9/1000+B10</f>
        <v>223.71499</v>
      </c>
      <c r="D10" s="172">
        <f t="shared" si="3"/>
        <v>333.95197999999999</v>
      </c>
      <c r="E10" s="172">
        <f t="shared" si="3"/>
        <v>333.95197999999999</v>
      </c>
      <c r="F10" s="172">
        <f t="shared" si="3"/>
        <v>333.95197999999999</v>
      </c>
      <c r="G10" s="172">
        <f t="shared" si="3"/>
        <v>333.95197999999999</v>
      </c>
      <c r="H10" s="172">
        <f t="shared" si="3"/>
        <v>333.95197999999999</v>
      </c>
      <c r="I10" s="172">
        <f t="shared" si="3"/>
        <v>333.95197999999999</v>
      </c>
      <c r="J10" s="172">
        <f t="shared" si="3"/>
        <v>333.95197999999999</v>
      </c>
      <c r="K10" s="172">
        <f t="shared" si="3"/>
        <v>333.95197999999999</v>
      </c>
      <c r="L10" s="172">
        <f t="shared" si="3"/>
        <v>333.95197999999999</v>
      </c>
      <c r="M10" s="172">
        <f t="shared" si="3"/>
        <v>333.95197999999999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9.7209779736605287E-2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9.7209779736605287E-2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5" t="s">
        <v>204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3" customFormat="1" ht="14.4" customHeight="1" thickBot="1" x14ac:dyDescent="0.3">
      <c r="A2" s="189" t="s">
        <v>202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" customHeight="1" x14ac:dyDescent="0.3">
      <c r="A4" s="60"/>
      <c r="B4" s="20">
        <v>2019</v>
      </c>
      <c r="C4" s="110" t="s">
        <v>5</v>
      </c>
      <c r="D4" s="200" t="s">
        <v>182</v>
      </c>
      <c r="E4" s="200" t="s">
        <v>183</v>
      </c>
      <c r="F4" s="200" t="s">
        <v>184</v>
      </c>
      <c r="G4" s="200" t="s">
        <v>185</v>
      </c>
      <c r="H4" s="200" t="s">
        <v>186</v>
      </c>
      <c r="I4" s="200" t="s">
        <v>187</v>
      </c>
      <c r="J4" s="200" t="s">
        <v>188</v>
      </c>
      <c r="K4" s="200" t="s">
        <v>189</v>
      </c>
      <c r="L4" s="200" t="s">
        <v>190</v>
      </c>
      <c r="M4" s="200" t="s">
        <v>191</v>
      </c>
      <c r="N4" s="200" t="s">
        <v>192</v>
      </c>
      <c r="O4" s="200" t="s">
        <v>193</v>
      </c>
      <c r="P4" s="278" t="s">
        <v>2</v>
      </c>
      <c r="Q4" s="279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203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203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203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203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203</v>
      </c>
    </row>
    <row r="11" spans="1:17" ht="14.4" customHeight="1" x14ac:dyDescent="0.3">
      <c r="A11" s="15" t="s">
        <v>14</v>
      </c>
      <c r="B11" s="46">
        <v>10.683012961743</v>
      </c>
      <c r="C11" s="47">
        <v>0.89025108014499998</v>
      </c>
      <c r="D11" s="47">
        <v>0.44700000000000001</v>
      </c>
      <c r="E11" s="47">
        <v>3.6787299999999998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4.1257299999999999</v>
      </c>
      <c r="Q11" s="70">
        <v>1.5447814262790001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203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203</v>
      </c>
    </row>
    <row r="14" spans="1:17" ht="14.4" customHeight="1" x14ac:dyDescent="0.3">
      <c r="A14" s="15" t="s">
        <v>17</v>
      </c>
      <c r="B14" s="46">
        <v>158.336532600064</v>
      </c>
      <c r="C14" s="47">
        <v>13.194711050005001</v>
      </c>
      <c r="D14" s="47">
        <v>19.123999999999999</v>
      </c>
      <c r="E14" s="47">
        <v>14.88</v>
      </c>
      <c r="F14" s="47">
        <v>14.238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48.241999999999997</v>
      </c>
      <c r="Q14" s="70">
        <v>1.218720637816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203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203</v>
      </c>
    </row>
    <row r="17" spans="1:17" ht="14.4" customHeight="1" x14ac:dyDescent="0.3">
      <c r="A17" s="15" t="s">
        <v>20</v>
      </c>
      <c r="B17" s="46">
        <v>18.935594709282999</v>
      </c>
      <c r="C17" s="47">
        <v>1.5779662257730001</v>
      </c>
      <c r="D17" s="47">
        <v>2.4929999999999999</v>
      </c>
      <c r="E17" s="47">
        <v>1.0955299999999999</v>
      </c>
      <c r="F17" s="47">
        <v>0.58342999999900003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4.1719600000000003</v>
      </c>
      <c r="Q17" s="70">
        <v>0.88129473915099998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1.03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1.03</v>
      </c>
      <c r="Q18" s="70" t="s">
        <v>203</v>
      </c>
    </row>
    <row r="19" spans="1:17" ht="14.4" customHeight="1" x14ac:dyDescent="0.3">
      <c r="A19" s="15" t="s">
        <v>22</v>
      </c>
      <c r="B19" s="46">
        <v>31.852353964178</v>
      </c>
      <c r="C19" s="47">
        <v>2.654362830348</v>
      </c>
      <c r="D19" s="47">
        <v>2.5553900000000001</v>
      </c>
      <c r="E19" s="47">
        <v>1.79721</v>
      </c>
      <c r="F19" s="47">
        <v>1.80671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6.1593099999999996</v>
      </c>
      <c r="Q19" s="70">
        <v>0.77348255101300001</v>
      </c>
    </row>
    <row r="20" spans="1:17" ht="14.4" customHeight="1" x14ac:dyDescent="0.3">
      <c r="A20" s="15" t="s">
        <v>23</v>
      </c>
      <c r="B20" s="46">
        <v>3889.7105539999998</v>
      </c>
      <c r="C20" s="47">
        <v>324.14254616666699</v>
      </c>
      <c r="D20" s="47">
        <v>344.46382000000102</v>
      </c>
      <c r="E20" s="47">
        <v>336.49349000000097</v>
      </c>
      <c r="F20" s="47">
        <v>338.01244999999898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1018.96976</v>
      </c>
      <c r="Q20" s="70">
        <v>1.0478617839069999</v>
      </c>
    </row>
    <row r="21" spans="1:17" ht="14.4" customHeight="1" x14ac:dyDescent="0.3">
      <c r="A21" s="16" t="s">
        <v>24</v>
      </c>
      <c r="B21" s="46">
        <v>21.999999999999002</v>
      </c>
      <c r="C21" s="47">
        <v>1.833333333333</v>
      </c>
      <c r="D21" s="47">
        <v>1.7735300000000001</v>
      </c>
      <c r="E21" s="47">
        <v>1.7735000000000001</v>
      </c>
      <c r="F21" s="47">
        <v>1.7735000000000001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5.3205299999999998</v>
      </c>
      <c r="Q21" s="70">
        <v>0.96736909090900003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203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203</v>
      </c>
    </row>
    <row r="24" spans="1:17" ht="14.4" customHeight="1" x14ac:dyDescent="0.3">
      <c r="A24" s="16" t="s">
        <v>27</v>
      </c>
      <c r="B24" s="46">
        <v>9.0949470177292804E-13</v>
      </c>
      <c r="C24" s="47">
        <v>5.6843418860808002E-14</v>
      </c>
      <c r="D24" s="47">
        <v>1.9319999999990001</v>
      </c>
      <c r="E24" s="47">
        <v>5.6843418860808002E-14</v>
      </c>
      <c r="F24" s="47">
        <v>-5.6843418860808002E-14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1.9319999999990001</v>
      </c>
      <c r="Q24" s="70"/>
    </row>
    <row r="25" spans="1:17" ht="14.4" customHeight="1" x14ac:dyDescent="0.3">
      <c r="A25" s="17" t="s">
        <v>28</v>
      </c>
      <c r="B25" s="49">
        <v>4131.5180482352698</v>
      </c>
      <c r="C25" s="50">
        <v>344.29317068627302</v>
      </c>
      <c r="D25" s="50">
        <v>373.81874000000101</v>
      </c>
      <c r="E25" s="50">
        <v>359.71846000000102</v>
      </c>
      <c r="F25" s="50">
        <v>356.41408999999902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1089.95129</v>
      </c>
      <c r="Q25" s="71">
        <v>1.0552550198490001</v>
      </c>
    </row>
    <row r="26" spans="1:17" ht="14.4" customHeight="1" x14ac:dyDescent="0.3">
      <c r="A26" s="15" t="s">
        <v>29</v>
      </c>
      <c r="B26" s="46">
        <v>543.83877935298096</v>
      </c>
      <c r="C26" s="47">
        <v>45.319898279415</v>
      </c>
      <c r="D26" s="47">
        <v>44.441189999999999</v>
      </c>
      <c r="E26" s="47">
        <v>49.175710000000002</v>
      </c>
      <c r="F26" s="47">
        <v>42.843249999999998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136.46015</v>
      </c>
      <c r="Q26" s="70">
        <v>1.003680908245</v>
      </c>
    </row>
    <row r="27" spans="1:17" ht="14.4" customHeight="1" x14ac:dyDescent="0.3">
      <c r="A27" s="18" t="s">
        <v>30</v>
      </c>
      <c r="B27" s="49">
        <v>4675.3568275882599</v>
      </c>
      <c r="C27" s="50">
        <v>389.613068965688</v>
      </c>
      <c r="D27" s="50">
        <v>418.25993000000102</v>
      </c>
      <c r="E27" s="50">
        <v>408.894170000001</v>
      </c>
      <c r="F27" s="50">
        <v>399.25733999999898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1226.4114400000001</v>
      </c>
      <c r="Q27" s="71">
        <v>1.0492559051429999</v>
      </c>
    </row>
    <row r="28" spans="1:17" ht="14.4" customHeight="1" x14ac:dyDescent="0.3">
      <c r="A28" s="16" t="s">
        <v>31</v>
      </c>
      <c r="B28" s="46">
        <v>0.18192918203799999</v>
      </c>
      <c r="C28" s="47">
        <v>1.5160765168999999E-2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203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203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180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1" s="55" customFormat="1" ht="14.4" customHeight="1" thickBot="1" x14ac:dyDescent="0.35">
      <c r="A2" s="18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1" ht="14.4" customHeight="1" x14ac:dyDescent="0.3">
      <c r="A4" s="60"/>
      <c r="B4" s="281"/>
      <c r="C4" s="282"/>
      <c r="D4" s="282"/>
      <c r="E4" s="282"/>
      <c r="F4" s="285" t="s">
        <v>198</v>
      </c>
      <c r="G4" s="287" t="s">
        <v>39</v>
      </c>
      <c r="H4" s="112" t="s">
        <v>100</v>
      </c>
      <c r="I4" s="285" t="s">
        <v>40</v>
      </c>
      <c r="J4" s="287" t="s">
        <v>200</v>
      </c>
      <c r="K4" s="288" t="s">
        <v>201</v>
      </c>
    </row>
    <row r="5" spans="1:11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6"/>
      <c r="G5" s="286"/>
      <c r="H5" s="25" t="s">
        <v>199</v>
      </c>
      <c r="I5" s="286"/>
      <c r="J5" s="286"/>
      <c r="K5" s="289"/>
    </row>
    <row r="6" spans="1:11" ht="14.4" customHeight="1" thickBot="1" x14ac:dyDescent="0.35">
      <c r="A6" s="369" t="s">
        <v>205</v>
      </c>
      <c r="B6" s="351">
        <v>3890.73705373233</v>
      </c>
      <c r="C6" s="351">
        <v>4280.3619800000097</v>
      </c>
      <c r="D6" s="352">
        <v>389.62492626767403</v>
      </c>
      <c r="E6" s="353">
        <v>1.1001416751849999</v>
      </c>
      <c r="F6" s="351">
        <v>4131.5180482352698</v>
      </c>
      <c r="G6" s="352">
        <v>1032.87951205882</v>
      </c>
      <c r="H6" s="354">
        <v>356.41408999999902</v>
      </c>
      <c r="I6" s="351">
        <v>1089.95129</v>
      </c>
      <c r="J6" s="352">
        <v>57.071777941181999</v>
      </c>
      <c r="K6" s="355">
        <v>0.26381375496199999</v>
      </c>
    </row>
    <row r="7" spans="1:11" ht="14.4" customHeight="1" thickBot="1" x14ac:dyDescent="0.35">
      <c r="A7" s="370" t="s">
        <v>206</v>
      </c>
      <c r="B7" s="351">
        <v>155.92580832235399</v>
      </c>
      <c r="C7" s="351">
        <v>156.29861</v>
      </c>
      <c r="D7" s="352">
        <v>0.37280167764599997</v>
      </c>
      <c r="E7" s="353">
        <v>1.0023908914220001</v>
      </c>
      <c r="F7" s="351">
        <v>169.01954556180701</v>
      </c>
      <c r="G7" s="352">
        <v>42.254886390450999</v>
      </c>
      <c r="H7" s="354">
        <v>14.238</v>
      </c>
      <c r="I7" s="351">
        <v>52.49973</v>
      </c>
      <c r="J7" s="352">
        <v>10.244843609548001</v>
      </c>
      <c r="K7" s="355">
        <v>0.310613366196</v>
      </c>
    </row>
    <row r="8" spans="1:11" ht="14.4" customHeight="1" thickBot="1" x14ac:dyDescent="0.35">
      <c r="A8" s="371" t="s">
        <v>207</v>
      </c>
      <c r="B8" s="351">
        <v>11.450097574803999</v>
      </c>
      <c r="C8" s="351">
        <v>10.854609999999999</v>
      </c>
      <c r="D8" s="352">
        <v>-0.59548757480400005</v>
      </c>
      <c r="E8" s="353">
        <v>0.94799279474099996</v>
      </c>
      <c r="F8" s="351">
        <v>10.683012961743</v>
      </c>
      <c r="G8" s="352">
        <v>2.6707532404349998</v>
      </c>
      <c r="H8" s="354">
        <v>0</v>
      </c>
      <c r="I8" s="351">
        <v>4.2577299999999996</v>
      </c>
      <c r="J8" s="352">
        <v>1.5869767595640001</v>
      </c>
      <c r="K8" s="355">
        <v>0.39855142132999999</v>
      </c>
    </row>
    <row r="9" spans="1:11" ht="14.4" customHeight="1" thickBot="1" x14ac:dyDescent="0.35">
      <c r="A9" s="372" t="s">
        <v>208</v>
      </c>
      <c r="B9" s="356">
        <v>9.1628049235080002</v>
      </c>
      <c r="C9" s="356">
        <v>9.6688100000000006</v>
      </c>
      <c r="D9" s="357">
        <v>0.50600507649100002</v>
      </c>
      <c r="E9" s="358">
        <v>1.0552238185480001</v>
      </c>
      <c r="F9" s="356">
        <v>10.683012961743</v>
      </c>
      <c r="G9" s="357">
        <v>2.6707532404349998</v>
      </c>
      <c r="H9" s="359">
        <v>0</v>
      </c>
      <c r="I9" s="356">
        <v>4.1257299999999999</v>
      </c>
      <c r="J9" s="357">
        <v>1.454976759564</v>
      </c>
      <c r="K9" s="360">
        <v>0.386195356569</v>
      </c>
    </row>
    <row r="10" spans="1:11" ht="14.4" customHeight="1" thickBot="1" x14ac:dyDescent="0.35">
      <c r="A10" s="373" t="s">
        <v>209</v>
      </c>
      <c r="B10" s="351">
        <v>1.7250610238649999</v>
      </c>
      <c r="C10" s="351">
        <v>1.37347</v>
      </c>
      <c r="D10" s="352">
        <v>-0.35159102386500002</v>
      </c>
      <c r="E10" s="353">
        <v>0.79618632674300005</v>
      </c>
      <c r="F10" s="351">
        <v>2</v>
      </c>
      <c r="G10" s="352">
        <v>0.5</v>
      </c>
      <c r="H10" s="354">
        <v>0</v>
      </c>
      <c r="I10" s="351">
        <v>0</v>
      </c>
      <c r="J10" s="352">
        <v>-0.5</v>
      </c>
      <c r="K10" s="355">
        <v>0</v>
      </c>
    </row>
    <row r="11" spans="1:11" ht="14.4" customHeight="1" thickBot="1" x14ac:dyDescent="0.35">
      <c r="A11" s="373" t="s">
        <v>210</v>
      </c>
      <c r="B11" s="351">
        <v>5</v>
      </c>
      <c r="C11" s="351">
        <v>4.2819599999999998</v>
      </c>
      <c r="D11" s="352">
        <v>-0.71803999999900003</v>
      </c>
      <c r="E11" s="353">
        <v>0.85639200000000004</v>
      </c>
      <c r="F11" s="351">
        <v>5</v>
      </c>
      <c r="G11" s="352">
        <v>1.25</v>
      </c>
      <c r="H11" s="354">
        <v>0</v>
      </c>
      <c r="I11" s="351">
        <v>2.5252500000000002</v>
      </c>
      <c r="J11" s="352">
        <v>1.27525</v>
      </c>
      <c r="K11" s="355">
        <v>0.50505</v>
      </c>
    </row>
    <row r="12" spans="1:11" ht="14.4" customHeight="1" thickBot="1" x14ac:dyDescent="0.35">
      <c r="A12" s="373" t="s">
        <v>211</v>
      </c>
      <c r="B12" s="351">
        <v>0.13108270061800001</v>
      </c>
      <c r="C12" s="351">
        <v>0.31369999999999998</v>
      </c>
      <c r="D12" s="352">
        <v>0.18261729938099999</v>
      </c>
      <c r="E12" s="353">
        <v>2.393145689862</v>
      </c>
      <c r="F12" s="351">
        <v>0.29589184963300003</v>
      </c>
      <c r="G12" s="352">
        <v>7.3972962407999998E-2</v>
      </c>
      <c r="H12" s="354">
        <v>0</v>
      </c>
      <c r="I12" s="351">
        <v>0</v>
      </c>
      <c r="J12" s="352">
        <v>-7.3972962407999998E-2</v>
      </c>
      <c r="K12" s="355">
        <v>0</v>
      </c>
    </row>
    <row r="13" spans="1:11" ht="14.4" customHeight="1" thickBot="1" x14ac:dyDescent="0.35">
      <c r="A13" s="373" t="s">
        <v>212</v>
      </c>
      <c r="B13" s="351">
        <v>0.30666119902400002</v>
      </c>
      <c r="C13" s="351">
        <v>1.23539</v>
      </c>
      <c r="D13" s="352">
        <v>0.92872880097499999</v>
      </c>
      <c r="E13" s="353">
        <v>4.0285174776849999</v>
      </c>
      <c r="F13" s="351">
        <v>1.38712111211</v>
      </c>
      <c r="G13" s="352">
        <v>0.34678027802700001</v>
      </c>
      <c r="H13" s="354">
        <v>0</v>
      </c>
      <c r="I13" s="351">
        <v>0.59824999999999995</v>
      </c>
      <c r="J13" s="352">
        <v>0.25146972197200002</v>
      </c>
      <c r="K13" s="355">
        <v>0.43128894425800002</v>
      </c>
    </row>
    <row r="14" spans="1:11" ht="14.4" customHeight="1" thickBot="1" x14ac:dyDescent="0.35">
      <c r="A14" s="373" t="s">
        <v>213</v>
      </c>
      <c r="B14" s="351">
        <v>0</v>
      </c>
      <c r="C14" s="351">
        <v>1.7490000000000001</v>
      </c>
      <c r="D14" s="352">
        <v>1.7490000000000001</v>
      </c>
      <c r="E14" s="361" t="s">
        <v>214</v>
      </c>
      <c r="F14" s="351">
        <v>0</v>
      </c>
      <c r="G14" s="352">
        <v>0</v>
      </c>
      <c r="H14" s="354">
        <v>0</v>
      </c>
      <c r="I14" s="351">
        <v>0</v>
      </c>
      <c r="J14" s="352">
        <v>0</v>
      </c>
      <c r="K14" s="355">
        <v>0</v>
      </c>
    </row>
    <row r="15" spans="1:11" ht="14.4" customHeight="1" thickBot="1" x14ac:dyDescent="0.35">
      <c r="A15" s="373" t="s">
        <v>215</v>
      </c>
      <c r="B15" s="351">
        <v>2</v>
      </c>
      <c r="C15" s="351">
        <v>0.71528999999999998</v>
      </c>
      <c r="D15" s="352">
        <v>-1.28471</v>
      </c>
      <c r="E15" s="353">
        <v>0.35764499999999999</v>
      </c>
      <c r="F15" s="351">
        <v>2</v>
      </c>
      <c r="G15" s="352">
        <v>0.5</v>
      </c>
      <c r="H15" s="354">
        <v>0</v>
      </c>
      <c r="I15" s="351">
        <v>1.00223</v>
      </c>
      <c r="J15" s="352">
        <v>0.50222999999999995</v>
      </c>
      <c r="K15" s="355">
        <v>0.50111499999999998</v>
      </c>
    </row>
    <row r="16" spans="1:11" ht="14.4" customHeight="1" thickBot="1" x14ac:dyDescent="0.35">
      <c r="A16" s="372" t="s">
        <v>216</v>
      </c>
      <c r="B16" s="356">
        <v>2.287292651295</v>
      </c>
      <c r="C16" s="356">
        <v>1.1858</v>
      </c>
      <c r="D16" s="357">
        <v>-1.1014926512950001</v>
      </c>
      <c r="E16" s="358">
        <v>0.51842950630999995</v>
      </c>
      <c r="F16" s="356">
        <v>0</v>
      </c>
      <c r="G16" s="357">
        <v>0</v>
      </c>
      <c r="H16" s="359">
        <v>0</v>
      </c>
      <c r="I16" s="356">
        <v>0</v>
      </c>
      <c r="J16" s="357">
        <v>0</v>
      </c>
      <c r="K16" s="362" t="s">
        <v>203</v>
      </c>
    </row>
    <row r="17" spans="1:11" ht="14.4" customHeight="1" thickBot="1" x14ac:dyDescent="0.35">
      <c r="A17" s="373" t="s">
        <v>217</v>
      </c>
      <c r="B17" s="351">
        <v>2.287292651295</v>
      </c>
      <c r="C17" s="351">
        <v>1.1858</v>
      </c>
      <c r="D17" s="352">
        <v>-1.1014926512950001</v>
      </c>
      <c r="E17" s="353">
        <v>0.51842950630999995</v>
      </c>
      <c r="F17" s="351">
        <v>0</v>
      </c>
      <c r="G17" s="352">
        <v>0</v>
      </c>
      <c r="H17" s="354">
        <v>0</v>
      </c>
      <c r="I17" s="351">
        <v>0</v>
      </c>
      <c r="J17" s="352">
        <v>0</v>
      </c>
      <c r="K17" s="363" t="s">
        <v>203</v>
      </c>
    </row>
    <row r="18" spans="1:11" ht="14.4" customHeight="1" thickBot="1" x14ac:dyDescent="0.35">
      <c r="A18" s="372" t="s">
        <v>218</v>
      </c>
      <c r="B18" s="356">
        <v>0</v>
      </c>
      <c r="C18" s="356">
        <v>0</v>
      </c>
      <c r="D18" s="357">
        <v>0</v>
      </c>
      <c r="E18" s="358">
        <v>1</v>
      </c>
      <c r="F18" s="356">
        <v>0</v>
      </c>
      <c r="G18" s="357">
        <v>0</v>
      </c>
      <c r="H18" s="359">
        <v>0</v>
      </c>
      <c r="I18" s="356">
        <v>0.13200000000000001</v>
      </c>
      <c r="J18" s="357">
        <v>0.13200000000000001</v>
      </c>
      <c r="K18" s="362" t="s">
        <v>214</v>
      </c>
    </row>
    <row r="19" spans="1:11" ht="14.4" customHeight="1" thickBot="1" x14ac:dyDescent="0.35">
      <c r="A19" s="373" t="s">
        <v>219</v>
      </c>
      <c r="B19" s="351">
        <v>0</v>
      </c>
      <c r="C19" s="351">
        <v>0</v>
      </c>
      <c r="D19" s="352">
        <v>0</v>
      </c>
      <c r="E19" s="353">
        <v>1</v>
      </c>
      <c r="F19" s="351">
        <v>0</v>
      </c>
      <c r="G19" s="352">
        <v>0</v>
      </c>
      <c r="H19" s="354">
        <v>0</v>
      </c>
      <c r="I19" s="351">
        <v>0.13200000000000001</v>
      </c>
      <c r="J19" s="352">
        <v>0.13200000000000001</v>
      </c>
      <c r="K19" s="363" t="s">
        <v>214</v>
      </c>
    </row>
    <row r="20" spans="1:11" ht="14.4" customHeight="1" thickBot="1" x14ac:dyDescent="0.35">
      <c r="A20" s="371" t="s">
        <v>17</v>
      </c>
      <c r="B20" s="351">
        <v>144.47571074754899</v>
      </c>
      <c r="C20" s="351">
        <v>145.44399999999999</v>
      </c>
      <c r="D20" s="352">
        <v>0.96828925245099995</v>
      </c>
      <c r="E20" s="353">
        <v>1.0067020902499999</v>
      </c>
      <c r="F20" s="351">
        <v>158.336532600064</v>
      </c>
      <c r="G20" s="352">
        <v>39.584133150014999</v>
      </c>
      <c r="H20" s="354">
        <v>14.238</v>
      </c>
      <c r="I20" s="351">
        <v>48.241999999999997</v>
      </c>
      <c r="J20" s="352">
        <v>8.6578668499839999</v>
      </c>
      <c r="K20" s="355">
        <v>0.30468015945400001</v>
      </c>
    </row>
    <row r="21" spans="1:11" ht="14.4" customHeight="1" thickBot="1" x14ac:dyDescent="0.35">
      <c r="A21" s="372" t="s">
        <v>220</v>
      </c>
      <c r="B21" s="356">
        <v>144.47571074754899</v>
      </c>
      <c r="C21" s="356">
        <v>145.44399999999999</v>
      </c>
      <c r="D21" s="357">
        <v>0.96828925245099995</v>
      </c>
      <c r="E21" s="358">
        <v>1.0067020902499999</v>
      </c>
      <c r="F21" s="356">
        <v>158.336532600064</v>
      </c>
      <c r="G21" s="357">
        <v>39.584133150014999</v>
      </c>
      <c r="H21" s="359">
        <v>14.238</v>
      </c>
      <c r="I21" s="356">
        <v>48.241999999999997</v>
      </c>
      <c r="J21" s="357">
        <v>8.6578668499839999</v>
      </c>
      <c r="K21" s="360">
        <v>0.30468015945400001</v>
      </c>
    </row>
    <row r="22" spans="1:11" ht="14.4" customHeight="1" thickBot="1" x14ac:dyDescent="0.35">
      <c r="A22" s="373" t="s">
        <v>221</v>
      </c>
      <c r="B22" s="351">
        <v>24.936078608548002</v>
      </c>
      <c r="C22" s="351">
        <v>25.984999999999999</v>
      </c>
      <c r="D22" s="352">
        <v>1.0489213914510001</v>
      </c>
      <c r="E22" s="353">
        <v>1.042064408278</v>
      </c>
      <c r="F22" s="351">
        <v>34.022358086064997</v>
      </c>
      <c r="G22" s="352">
        <v>8.5055895215160007</v>
      </c>
      <c r="H22" s="354">
        <v>2.9799999999989999</v>
      </c>
      <c r="I22" s="351">
        <v>8.8819999999999997</v>
      </c>
      <c r="J22" s="352">
        <v>0.37641047848300002</v>
      </c>
      <c r="K22" s="355">
        <v>0.26106362108999998</v>
      </c>
    </row>
    <row r="23" spans="1:11" ht="14.4" customHeight="1" thickBot="1" x14ac:dyDescent="0.35">
      <c r="A23" s="373" t="s">
        <v>222</v>
      </c>
      <c r="B23" s="351">
        <v>56.554263551082002</v>
      </c>
      <c r="C23" s="351">
        <v>60.140999999999998</v>
      </c>
      <c r="D23" s="352">
        <v>3.5867364489170002</v>
      </c>
      <c r="E23" s="353">
        <v>1.0634211503019999</v>
      </c>
      <c r="F23" s="351">
        <v>59.333844447289998</v>
      </c>
      <c r="G23" s="352">
        <v>14.833461111822</v>
      </c>
      <c r="H23" s="354">
        <v>4.6699999999989998</v>
      </c>
      <c r="I23" s="351">
        <v>15.478</v>
      </c>
      <c r="J23" s="352">
        <v>0.644538888177</v>
      </c>
      <c r="K23" s="355">
        <v>0.26086292139299999</v>
      </c>
    </row>
    <row r="24" spans="1:11" ht="14.4" customHeight="1" thickBot="1" x14ac:dyDescent="0.35">
      <c r="A24" s="373" t="s">
        <v>223</v>
      </c>
      <c r="B24" s="351">
        <v>62.985368587918003</v>
      </c>
      <c r="C24" s="351">
        <v>59.317999999999998</v>
      </c>
      <c r="D24" s="352">
        <v>-3.6673685879170002</v>
      </c>
      <c r="E24" s="353">
        <v>0.94177427757999999</v>
      </c>
      <c r="F24" s="351">
        <v>64.980330066708007</v>
      </c>
      <c r="G24" s="352">
        <v>16.245082516677002</v>
      </c>
      <c r="H24" s="354">
        <v>6.587999999999</v>
      </c>
      <c r="I24" s="351">
        <v>23.882000000000001</v>
      </c>
      <c r="J24" s="352">
        <v>7.6369174833219997</v>
      </c>
      <c r="K24" s="355">
        <v>0.367526603442</v>
      </c>
    </row>
    <row r="25" spans="1:11" ht="14.4" customHeight="1" thickBot="1" x14ac:dyDescent="0.35">
      <c r="A25" s="374" t="s">
        <v>224</v>
      </c>
      <c r="B25" s="356">
        <v>30.380042663491999</v>
      </c>
      <c r="C25" s="356">
        <v>53.566659999999999</v>
      </c>
      <c r="D25" s="357">
        <v>23.186617336506998</v>
      </c>
      <c r="E25" s="358">
        <v>1.763218722018</v>
      </c>
      <c r="F25" s="356">
        <v>50.787948673461003</v>
      </c>
      <c r="G25" s="357">
        <v>12.696987168365</v>
      </c>
      <c r="H25" s="359">
        <v>2.3901399999990001</v>
      </c>
      <c r="I25" s="356">
        <v>11.361269999999999</v>
      </c>
      <c r="J25" s="357">
        <v>-1.335717168365</v>
      </c>
      <c r="K25" s="360">
        <v>0.22370011580900001</v>
      </c>
    </row>
    <row r="26" spans="1:11" ht="14.4" customHeight="1" thickBot="1" x14ac:dyDescent="0.35">
      <c r="A26" s="371" t="s">
        <v>20</v>
      </c>
      <c r="B26" s="351">
        <v>1.190799967524</v>
      </c>
      <c r="C26" s="351">
        <v>15.113</v>
      </c>
      <c r="D26" s="352">
        <v>13.922200032475001</v>
      </c>
      <c r="E26" s="353">
        <v>12.691468266846</v>
      </c>
      <c r="F26" s="351">
        <v>18.935594709282999</v>
      </c>
      <c r="G26" s="352">
        <v>4.73389867732</v>
      </c>
      <c r="H26" s="354">
        <v>0.58342999999900003</v>
      </c>
      <c r="I26" s="351">
        <v>4.1719600000000003</v>
      </c>
      <c r="J26" s="352">
        <v>-0.56193867732000002</v>
      </c>
      <c r="K26" s="355">
        <v>0.22032368478700001</v>
      </c>
    </row>
    <row r="27" spans="1:11" ht="14.4" customHeight="1" thickBot="1" x14ac:dyDescent="0.35">
      <c r="A27" s="375" t="s">
        <v>225</v>
      </c>
      <c r="B27" s="351">
        <v>1.190799967524</v>
      </c>
      <c r="C27" s="351">
        <v>15.113</v>
      </c>
      <c r="D27" s="352">
        <v>13.922200032475001</v>
      </c>
      <c r="E27" s="353">
        <v>12.691468266846</v>
      </c>
      <c r="F27" s="351">
        <v>18.935594709282999</v>
      </c>
      <c r="G27" s="352">
        <v>4.73389867732</v>
      </c>
      <c r="H27" s="354">
        <v>0.58342999999900003</v>
      </c>
      <c r="I27" s="351">
        <v>4.1719600000000003</v>
      </c>
      <c r="J27" s="352">
        <v>-0.56193867732000002</v>
      </c>
      <c r="K27" s="355">
        <v>0.22032368478700001</v>
      </c>
    </row>
    <row r="28" spans="1:11" ht="14.4" customHeight="1" thickBot="1" x14ac:dyDescent="0.35">
      <c r="A28" s="373" t="s">
        <v>226</v>
      </c>
      <c r="B28" s="351">
        <v>0.11328915218299999</v>
      </c>
      <c r="C28" s="351">
        <v>0.23530000000000001</v>
      </c>
      <c r="D28" s="352">
        <v>0.122010847816</v>
      </c>
      <c r="E28" s="353">
        <v>2.0769861497390001</v>
      </c>
      <c r="F28" s="351">
        <v>1.2035123946999999E-2</v>
      </c>
      <c r="G28" s="352">
        <v>3.0087809859999999E-3</v>
      </c>
      <c r="H28" s="354">
        <v>0</v>
      </c>
      <c r="I28" s="351">
        <v>0</v>
      </c>
      <c r="J28" s="352">
        <v>-3.0087809859999999E-3</v>
      </c>
      <c r="K28" s="355">
        <v>0</v>
      </c>
    </row>
    <row r="29" spans="1:11" ht="14.4" customHeight="1" thickBot="1" x14ac:dyDescent="0.35">
      <c r="A29" s="373" t="s">
        <v>227</v>
      </c>
      <c r="B29" s="351">
        <v>0</v>
      </c>
      <c r="C29" s="351">
        <v>8.7193699999999996</v>
      </c>
      <c r="D29" s="352">
        <v>8.7193699999999996</v>
      </c>
      <c r="E29" s="361" t="s">
        <v>214</v>
      </c>
      <c r="F29" s="351">
        <v>14.116164084423</v>
      </c>
      <c r="G29" s="352">
        <v>3.5290410211049998</v>
      </c>
      <c r="H29" s="354">
        <v>0</v>
      </c>
      <c r="I29" s="351">
        <v>2.4929999999999999</v>
      </c>
      <c r="J29" s="352">
        <v>-1.036041021105</v>
      </c>
      <c r="K29" s="355">
        <v>0.17660605140899999</v>
      </c>
    </row>
    <row r="30" spans="1:11" ht="14.4" customHeight="1" thickBot="1" x14ac:dyDescent="0.35">
      <c r="A30" s="373" t="s">
        <v>228</v>
      </c>
      <c r="B30" s="351">
        <v>1.077510815341</v>
      </c>
      <c r="C30" s="351">
        <v>6.1583300000000003</v>
      </c>
      <c r="D30" s="352">
        <v>5.080819184658</v>
      </c>
      <c r="E30" s="353">
        <v>5.7153301037149999</v>
      </c>
      <c r="F30" s="351">
        <v>4.5704134365850004</v>
      </c>
      <c r="G30" s="352">
        <v>1.1426033591460001</v>
      </c>
      <c r="H30" s="354">
        <v>0.58342999999900003</v>
      </c>
      <c r="I30" s="351">
        <v>1.67896</v>
      </c>
      <c r="J30" s="352">
        <v>0.53635664085300006</v>
      </c>
      <c r="K30" s="355">
        <v>0.36735407492</v>
      </c>
    </row>
    <row r="31" spans="1:11" ht="14.4" customHeight="1" thickBot="1" x14ac:dyDescent="0.35">
      <c r="A31" s="373" t="s">
        <v>229</v>
      </c>
      <c r="B31" s="351">
        <v>0</v>
      </c>
      <c r="C31" s="351">
        <v>0</v>
      </c>
      <c r="D31" s="352">
        <v>0</v>
      </c>
      <c r="E31" s="353">
        <v>1</v>
      </c>
      <c r="F31" s="351">
        <v>0.17894564041</v>
      </c>
      <c r="G31" s="352">
        <v>4.4736410102000003E-2</v>
      </c>
      <c r="H31" s="354">
        <v>0</v>
      </c>
      <c r="I31" s="351">
        <v>0</v>
      </c>
      <c r="J31" s="352">
        <v>-4.4736410102000003E-2</v>
      </c>
      <c r="K31" s="355">
        <v>0</v>
      </c>
    </row>
    <row r="32" spans="1:11" ht="14.4" customHeight="1" thickBot="1" x14ac:dyDescent="0.35">
      <c r="A32" s="373" t="s">
        <v>230</v>
      </c>
      <c r="B32" s="351">
        <v>0</v>
      </c>
      <c r="C32" s="351">
        <v>0</v>
      </c>
      <c r="D32" s="352">
        <v>0</v>
      </c>
      <c r="E32" s="353">
        <v>1</v>
      </c>
      <c r="F32" s="351">
        <v>5.8036423916000002E-2</v>
      </c>
      <c r="G32" s="352">
        <v>1.4509105979E-2</v>
      </c>
      <c r="H32" s="354">
        <v>0</v>
      </c>
      <c r="I32" s="351">
        <v>0</v>
      </c>
      <c r="J32" s="352">
        <v>-1.4509105979E-2</v>
      </c>
      <c r="K32" s="355">
        <v>0</v>
      </c>
    </row>
    <row r="33" spans="1:11" ht="14.4" customHeight="1" thickBot="1" x14ac:dyDescent="0.35">
      <c r="A33" s="376" t="s">
        <v>21</v>
      </c>
      <c r="B33" s="356">
        <v>0</v>
      </c>
      <c r="C33" s="356">
        <v>3.3740000000000001</v>
      </c>
      <c r="D33" s="357">
        <v>3.3740000000000001</v>
      </c>
      <c r="E33" s="364" t="s">
        <v>203</v>
      </c>
      <c r="F33" s="356">
        <v>0</v>
      </c>
      <c r="G33" s="357">
        <v>0</v>
      </c>
      <c r="H33" s="359">
        <v>0</v>
      </c>
      <c r="I33" s="356">
        <v>1.03</v>
      </c>
      <c r="J33" s="357">
        <v>1.03</v>
      </c>
      <c r="K33" s="362" t="s">
        <v>203</v>
      </c>
    </row>
    <row r="34" spans="1:11" ht="14.4" customHeight="1" thickBot="1" x14ac:dyDescent="0.35">
      <c r="A34" s="372" t="s">
        <v>231</v>
      </c>
      <c r="B34" s="356">
        <v>0</v>
      </c>
      <c r="C34" s="356">
        <v>3.3740000000000001</v>
      </c>
      <c r="D34" s="357">
        <v>3.3740000000000001</v>
      </c>
      <c r="E34" s="364" t="s">
        <v>203</v>
      </c>
      <c r="F34" s="356">
        <v>0</v>
      </c>
      <c r="G34" s="357">
        <v>0</v>
      </c>
      <c r="H34" s="359">
        <v>0</v>
      </c>
      <c r="I34" s="356">
        <v>1.03</v>
      </c>
      <c r="J34" s="357">
        <v>1.03</v>
      </c>
      <c r="K34" s="362" t="s">
        <v>203</v>
      </c>
    </row>
    <row r="35" spans="1:11" ht="14.4" customHeight="1" thickBot="1" x14ac:dyDescent="0.35">
      <c r="A35" s="373" t="s">
        <v>232</v>
      </c>
      <c r="B35" s="351">
        <v>0</v>
      </c>
      <c r="C35" s="351">
        <v>3.3740000000000001</v>
      </c>
      <c r="D35" s="352">
        <v>3.3740000000000001</v>
      </c>
      <c r="E35" s="361" t="s">
        <v>203</v>
      </c>
      <c r="F35" s="351">
        <v>0</v>
      </c>
      <c r="G35" s="352">
        <v>0</v>
      </c>
      <c r="H35" s="354">
        <v>0</v>
      </c>
      <c r="I35" s="351">
        <v>1.03</v>
      </c>
      <c r="J35" s="352">
        <v>1.03</v>
      </c>
      <c r="K35" s="363" t="s">
        <v>203</v>
      </c>
    </row>
    <row r="36" spans="1:11" ht="14.4" customHeight="1" thickBot="1" x14ac:dyDescent="0.35">
      <c r="A36" s="371" t="s">
        <v>22</v>
      </c>
      <c r="B36" s="351">
        <v>29.189242695968002</v>
      </c>
      <c r="C36" s="351">
        <v>35.079659999999997</v>
      </c>
      <c r="D36" s="352">
        <v>5.8904173040309997</v>
      </c>
      <c r="E36" s="353">
        <v>1.201800963642</v>
      </c>
      <c r="F36" s="351">
        <v>31.852353964178</v>
      </c>
      <c r="G36" s="352">
        <v>7.9630884910440001</v>
      </c>
      <c r="H36" s="354">
        <v>1.80671</v>
      </c>
      <c r="I36" s="351">
        <v>6.1593099999999996</v>
      </c>
      <c r="J36" s="352">
        <v>-1.803778491044</v>
      </c>
      <c r="K36" s="355">
        <v>0.19337063775300001</v>
      </c>
    </row>
    <row r="37" spans="1:11" ht="14.4" customHeight="1" thickBot="1" x14ac:dyDescent="0.35">
      <c r="A37" s="372" t="s">
        <v>233</v>
      </c>
      <c r="B37" s="356">
        <v>4.9705299658640003</v>
      </c>
      <c r="C37" s="356">
        <v>2.29392</v>
      </c>
      <c r="D37" s="357">
        <v>-2.6766099658639999</v>
      </c>
      <c r="E37" s="358">
        <v>0.461504108365</v>
      </c>
      <c r="F37" s="356">
        <v>2.3047557493749999</v>
      </c>
      <c r="G37" s="357">
        <v>0.57618893734300003</v>
      </c>
      <c r="H37" s="359">
        <v>0.24043999999900001</v>
      </c>
      <c r="I37" s="356">
        <v>0.92049999999999998</v>
      </c>
      <c r="J37" s="357">
        <v>0.34431106265599998</v>
      </c>
      <c r="K37" s="360">
        <v>0.39939156253300001</v>
      </c>
    </row>
    <row r="38" spans="1:11" ht="14.4" customHeight="1" thickBot="1" x14ac:dyDescent="0.35">
      <c r="A38" s="373" t="s">
        <v>234</v>
      </c>
      <c r="B38" s="351">
        <v>5.5946743638999999E-2</v>
      </c>
      <c r="C38" s="351">
        <v>0.10639999999999999</v>
      </c>
      <c r="D38" s="352">
        <v>5.0453256359999997E-2</v>
      </c>
      <c r="E38" s="353">
        <v>1.9018086322579999</v>
      </c>
      <c r="F38" s="351">
        <v>0.10560607165700001</v>
      </c>
      <c r="G38" s="352">
        <v>2.6401517914E-2</v>
      </c>
      <c r="H38" s="354">
        <v>9.4999999989999993E-3</v>
      </c>
      <c r="I38" s="351">
        <v>9.4999999989999993E-3</v>
      </c>
      <c r="J38" s="352">
        <v>-1.6901517913999999E-2</v>
      </c>
      <c r="K38" s="355">
        <v>8.9956948979000001E-2</v>
      </c>
    </row>
    <row r="39" spans="1:11" ht="14.4" customHeight="1" thickBot="1" x14ac:dyDescent="0.35">
      <c r="A39" s="373" t="s">
        <v>235</v>
      </c>
      <c r="B39" s="351">
        <v>4.9145832222239996</v>
      </c>
      <c r="C39" s="351">
        <v>2.1875200000000001</v>
      </c>
      <c r="D39" s="352">
        <v>-2.7270632222239999</v>
      </c>
      <c r="E39" s="353">
        <v>0.44510793715000002</v>
      </c>
      <c r="F39" s="351">
        <v>2.1991496777180002</v>
      </c>
      <c r="G39" s="352">
        <v>0.549787419429</v>
      </c>
      <c r="H39" s="354">
        <v>0.230939999999</v>
      </c>
      <c r="I39" s="351">
        <v>0.91100000000000003</v>
      </c>
      <c r="J39" s="352">
        <v>0.36121258057</v>
      </c>
      <c r="K39" s="355">
        <v>0.414251021306</v>
      </c>
    </row>
    <row r="40" spans="1:11" ht="14.4" customHeight="1" thickBot="1" x14ac:dyDescent="0.35">
      <c r="A40" s="372" t="s">
        <v>236</v>
      </c>
      <c r="B40" s="356">
        <v>3.9752112676050002</v>
      </c>
      <c r="C40" s="356">
        <v>3.375</v>
      </c>
      <c r="D40" s="357">
        <v>-0.60021126760499999</v>
      </c>
      <c r="E40" s="358">
        <v>0.84901147959099998</v>
      </c>
      <c r="F40" s="356">
        <v>1.9999999999989999</v>
      </c>
      <c r="G40" s="357">
        <v>0.49999999999900002</v>
      </c>
      <c r="H40" s="359">
        <v>0</v>
      </c>
      <c r="I40" s="356">
        <v>0.54</v>
      </c>
      <c r="J40" s="357">
        <v>0.04</v>
      </c>
      <c r="K40" s="360">
        <v>0.27</v>
      </c>
    </row>
    <row r="41" spans="1:11" ht="14.4" customHeight="1" thickBot="1" x14ac:dyDescent="0.35">
      <c r="A41" s="373" t="s">
        <v>237</v>
      </c>
      <c r="B41" s="351">
        <v>3.9752112676050002</v>
      </c>
      <c r="C41" s="351">
        <v>3.375</v>
      </c>
      <c r="D41" s="352">
        <v>-0.60021126760499999</v>
      </c>
      <c r="E41" s="353">
        <v>0.84901147959099998</v>
      </c>
      <c r="F41" s="351">
        <v>1.9999999999989999</v>
      </c>
      <c r="G41" s="352">
        <v>0.49999999999900002</v>
      </c>
      <c r="H41" s="354">
        <v>0</v>
      </c>
      <c r="I41" s="351">
        <v>0.54</v>
      </c>
      <c r="J41" s="352">
        <v>0.04</v>
      </c>
      <c r="K41" s="355">
        <v>0.27</v>
      </c>
    </row>
    <row r="42" spans="1:11" ht="14.4" customHeight="1" thickBot="1" x14ac:dyDescent="0.35">
      <c r="A42" s="372" t="s">
        <v>238</v>
      </c>
      <c r="B42" s="356">
        <v>19.569821208876</v>
      </c>
      <c r="C42" s="356">
        <v>17.80904</v>
      </c>
      <c r="D42" s="357">
        <v>-1.760781208876</v>
      </c>
      <c r="E42" s="358">
        <v>0.91002568750699997</v>
      </c>
      <c r="F42" s="356">
        <v>19.132620810790002</v>
      </c>
      <c r="G42" s="357">
        <v>4.7831552026970003</v>
      </c>
      <c r="H42" s="359">
        <v>1.5662700000000001</v>
      </c>
      <c r="I42" s="356">
        <v>4.6988099999999999</v>
      </c>
      <c r="J42" s="357">
        <v>-8.4345202696999994E-2</v>
      </c>
      <c r="K42" s="360">
        <v>0.24559154997400001</v>
      </c>
    </row>
    <row r="43" spans="1:11" ht="14.4" customHeight="1" thickBot="1" x14ac:dyDescent="0.35">
      <c r="A43" s="373" t="s">
        <v>239</v>
      </c>
      <c r="B43" s="351">
        <v>19.569821208876</v>
      </c>
      <c r="C43" s="351">
        <v>17.80904</v>
      </c>
      <c r="D43" s="352">
        <v>-1.760781208876</v>
      </c>
      <c r="E43" s="353">
        <v>0.91002568750699997</v>
      </c>
      <c r="F43" s="351">
        <v>19.132620810790002</v>
      </c>
      <c r="G43" s="352">
        <v>4.7831552026970003</v>
      </c>
      <c r="H43" s="354">
        <v>1.5662700000000001</v>
      </c>
      <c r="I43" s="351">
        <v>4.6988099999999999</v>
      </c>
      <c r="J43" s="352">
        <v>-8.4345202696999994E-2</v>
      </c>
      <c r="K43" s="355">
        <v>0.24559154997400001</v>
      </c>
    </row>
    <row r="44" spans="1:11" ht="14.4" customHeight="1" thickBot="1" x14ac:dyDescent="0.35">
      <c r="A44" s="372" t="s">
        <v>240</v>
      </c>
      <c r="B44" s="356">
        <v>0.67368025362200001</v>
      </c>
      <c r="C44" s="356">
        <v>7.524</v>
      </c>
      <c r="D44" s="357">
        <v>6.850319746377</v>
      </c>
      <c r="E44" s="358">
        <v>11.168503098531</v>
      </c>
      <c r="F44" s="356">
        <v>8.4149774040119993</v>
      </c>
      <c r="G44" s="357">
        <v>2.1037443510029998</v>
      </c>
      <c r="H44" s="359">
        <v>0</v>
      </c>
      <c r="I44" s="356">
        <v>0</v>
      </c>
      <c r="J44" s="357">
        <v>-2.1037443510029998</v>
      </c>
      <c r="K44" s="360">
        <v>0</v>
      </c>
    </row>
    <row r="45" spans="1:11" ht="14.4" customHeight="1" thickBot="1" x14ac:dyDescent="0.35">
      <c r="A45" s="373" t="s">
        <v>241</v>
      </c>
      <c r="B45" s="351">
        <v>0</v>
      </c>
      <c r="C45" s="351">
        <v>7.1239999999999997</v>
      </c>
      <c r="D45" s="352">
        <v>7.1239999999999997</v>
      </c>
      <c r="E45" s="361" t="s">
        <v>214</v>
      </c>
      <c r="F45" s="351">
        <v>8.215950047023</v>
      </c>
      <c r="G45" s="352">
        <v>2.0539875117549999</v>
      </c>
      <c r="H45" s="354">
        <v>0</v>
      </c>
      <c r="I45" s="351">
        <v>0</v>
      </c>
      <c r="J45" s="352">
        <v>-2.0539875117549999</v>
      </c>
      <c r="K45" s="355">
        <v>0</v>
      </c>
    </row>
    <row r="46" spans="1:11" ht="14.4" customHeight="1" thickBot="1" x14ac:dyDescent="0.35">
      <c r="A46" s="373" t="s">
        <v>242</v>
      </c>
      <c r="B46" s="351">
        <v>0.67368025362200001</v>
      </c>
      <c r="C46" s="351">
        <v>0.4</v>
      </c>
      <c r="D46" s="352">
        <v>-0.27368025362199999</v>
      </c>
      <c r="E46" s="353">
        <v>0.59375348742800005</v>
      </c>
      <c r="F46" s="351">
        <v>0.199027356988</v>
      </c>
      <c r="G46" s="352">
        <v>4.9756839247000001E-2</v>
      </c>
      <c r="H46" s="354">
        <v>0</v>
      </c>
      <c r="I46" s="351">
        <v>0</v>
      </c>
      <c r="J46" s="352">
        <v>-4.9756839247000001E-2</v>
      </c>
      <c r="K46" s="355">
        <v>0</v>
      </c>
    </row>
    <row r="47" spans="1:11" ht="14.4" customHeight="1" thickBot="1" x14ac:dyDescent="0.35">
      <c r="A47" s="372" t="s">
        <v>243</v>
      </c>
      <c r="B47" s="356">
        <v>0</v>
      </c>
      <c r="C47" s="356">
        <v>4.0777000000000001</v>
      </c>
      <c r="D47" s="357">
        <v>4.0777000000000001</v>
      </c>
      <c r="E47" s="364" t="s">
        <v>203</v>
      </c>
      <c r="F47" s="356">
        <v>0</v>
      </c>
      <c r="G47" s="357">
        <v>0</v>
      </c>
      <c r="H47" s="359">
        <v>0</v>
      </c>
      <c r="I47" s="356">
        <v>0</v>
      </c>
      <c r="J47" s="357">
        <v>0</v>
      </c>
      <c r="K47" s="362" t="s">
        <v>203</v>
      </c>
    </row>
    <row r="48" spans="1:11" ht="14.4" customHeight="1" thickBot="1" x14ac:dyDescent="0.35">
      <c r="A48" s="373" t="s">
        <v>244</v>
      </c>
      <c r="B48" s="351">
        <v>0</v>
      </c>
      <c r="C48" s="351">
        <v>4.0777000000000001</v>
      </c>
      <c r="D48" s="352">
        <v>4.0777000000000001</v>
      </c>
      <c r="E48" s="361" t="s">
        <v>214</v>
      </c>
      <c r="F48" s="351">
        <v>0</v>
      </c>
      <c r="G48" s="352">
        <v>0</v>
      </c>
      <c r="H48" s="354">
        <v>0</v>
      </c>
      <c r="I48" s="351">
        <v>0</v>
      </c>
      <c r="J48" s="352">
        <v>0</v>
      </c>
      <c r="K48" s="363" t="s">
        <v>203</v>
      </c>
    </row>
    <row r="49" spans="1:11" ht="14.4" customHeight="1" thickBot="1" x14ac:dyDescent="0.35">
      <c r="A49" s="370" t="s">
        <v>23</v>
      </c>
      <c r="B49" s="351">
        <v>3681.1589999999901</v>
      </c>
      <c r="C49" s="351">
        <v>4034.4044600000102</v>
      </c>
      <c r="D49" s="352">
        <v>353.24546000001402</v>
      </c>
      <c r="E49" s="353">
        <v>1.095960391822</v>
      </c>
      <c r="F49" s="351">
        <v>3889.7105539999998</v>
      </c>
      <c r="G49" s="352">
        <v>972.42763850000097</v>
      </c>
      <c r="H49" s="354">
        <v>338.01244999999898</v>
      </c>
      <c r="I49" s="351">
        <v>1018.96976</v>
      </c>
      <c r="J49" s="352">
        <v>46.542121499998999</v>
      </c>
      <c r="K49" s="355">
        <v>0.26196544597600002</v>
      </c>
    </row>
    <row r="50" spans="1:11" ht="14.4" customHeight="1" thickBot="1" x14ac:dyDescent="0.35">
      <c r="A50" s="376" t="s">
        <v>245</v>
      </c>
      <c r="B50" s="356">
        <v>2708.4389999999898</v>
      </c>
      <c r="C50" s="356">
        <v>2968.5039999999999</v>
      </c>
      <c r="D50" s="357">
        <v>260.06500000001199</v>
      </c>
      <c r="E50" s="358">
        <v>1.0960202537320001</v>
      </c>
      <c r="F50" s="356">
        <v>2795.8700000000099</v>
      </c>
      <c r="G50" s="357">
        <v>698.967500000001</v>
      </c>
      <c r="H50" s="359">
        <v>248.53899999999899</v>
      </c>
      <c r="I50" s="356">
        <v>749.24099999999999</v>
      </c>
      <c r="J50" s="357">
        <v>50.273499999998997</v>
      </c>
      <c r="K50" s="360">
        <v>0.26798134391</v>
      </c>
    </row>
    <row r="51" spans="1:11" ht="14.4" customHeight="1" thickBot="1" x14ac:dyDescent="0.35">
      <c r="A51" s="372" t="s">
        <v>246</v>
      </c>
      <c r="B51" s="356">
        <v>2701.99999999999</v>
      </c>
      <c r="C51" s="356">
        <v>2960.3910000000001</v>
      </c>
      <c r="D51" s="357">
        <v>258.39100000001201</v>
      </c>
      <c r="E51" s="358">
        <v>1.095629533678</v>
      </c>
      <c r="F51" s="356">
        <v>2787.7400000000098</v>
      </c>
      <c r="G51" s="357">
        <v>696.93500000000097</v>
      </c>
      <c r="H51" s="359">
        <v>248.53899999999899</v>
      </c>
      <c r="I51" s="356">
        <v>749.24099999999999</v>
      </c>
      <c r="J51" s="357">
        <v>52.305999999999003</v>
      </c>
      <c r="K51" s="360">
        <v>0.26876286884700001</v>
      </c>
    </row>
    <row r="52" spans="1:11" ht="14.4" customHeight="1" thickBot="1" x14ac:dyDescent="0.35">
      <c r="A52" s="373" t="s">
        <v>247</v>
      </c>
      <c r="B52" s="351">
        <v>2701.99999999999</v>
      </c>
      <c r="C52" s="351">
        <v>2960.3910000000001</v>
      </c>
      <c r="D52" s="352">
        <v>258.39100000001201</v>
      </c>
      <c r="E52" s="353">
        <v>1.095629533678</v>
      </c>
      <c r="F52" s="351">
        <v>2787.7400000000098</v>
      </c>
      <c r="G52" s="352">
        <v>696.93500000000097</v>
      </c>
      <c r="H52" s="354">
        <v>248.53899999999899</v>
      </c>
      <c r="I52" s="351">
        <v>749.24099999999999</v>
      </c>
      <c r="J52" s="352">
        <v>52.305999999999003</v>
      </c>
      <c r="K52" s="355">
        <v>0.26876286884700001</v>
      </c>
    </row>
    <row r="53" spans="1:11" ht="14.4" customHeight="1" thickBot="1" x14ac:dyDescent="0.35">
      <c r="A53" s="372" t="s">
        <v>248</v>
      </c>
      <c r="B53" s="356">
        <v>6.4390000000000001</v>
      </c>
      <c r="C53" s="356">
        <v>8.1129999999999995</v>
      </c>
      <c r="D53" s="357">
        <v>1.6739999999999999</v>
      </c>
      <c r="E53" s="358">
        <v>1.2599782574930001</v>
      </c>
      <c r="F53" s="356">
        <v>8.1300000000000008</v>
      </c>
      <c r="G53" s="357">
        <v>2.0325000000000002</v>
      </c>
      <c r="H53" s="359">
        <v>0</v>
      </c>
      <c r="I53" s="356">
        <v>0</v>
      </c>
      <c r="J53" s="357">
        <v>-2.0325000000000002</v>
      </c>
      <c r="K53" s="360">
        <v>0</v>
      </c>
    </row>
    <row r="54" spans="1:11" ht="14.4" customHeight="1" thickBot="1" x14ac:dyDescent="0.35">
      <c r="A54" s="373" t="s">
        <v>249</v>
      </c>
      <c r="B54" s="351">
        <v>6.4390000000000001</v>
      </c>
      <c r="C54" s="351">
        <v>8.1129999999999995</v>
      </c>
      <c r="D54" s="352">
        <v>1.6739999999999999</v>
      </c>
      <c r="E54" s="353">
        <v>1.2599782574930001</v>
      </c>
      <c r="F54" s="351">
        <v>8.1300000000000008</v>
      </c>
      <c r="G54" s="352">
        <v>2.0325000000000002</v>
      </c>
      <c r="H54" s="354">
        <v>0</v>
      </c>
      <c r="I54" s="351">
        <v>0</v>
      </c>
      <c r="J54" s="352">
        <v>-2.0325000000000002</v>
      </c>
      <c r="K54" s="355">
        <v>0</v>
      </c>
    </row>
    <row r="55" spans="1:11" ht="14.4" customHeight="1" thickBot="1" x14ac:dyDescent="0.35">
      <c r="A55" s="371" t="s">
        <v>250</v>
      </c>
      <c r="B55" s="351">
        <v>918.68</v>
      </c>
      <c r="C55" s="351">
        <v>1006.53122</v>
      </c>
      <c r="D55" s="352">
        <v>87.851220000002002</v>
      </c>
      <c r="E55" s="353">
        <v>1.095627661427</v>
      </c>
      <c r="F55" s="351">
        <v>1021.18</v>
      </c>
      <c r="G55" s="352">
        <v>255.29499999999999</v>
      </c>
      <c r="H55" s="354">
        <v>84.502589999999003</v>
      </c>
      <c r="I55" s="351">
        <v>254.74099000000001</v>
      </c>
      <c r="J55" s="352">
        <v>-0.55400999999900002</v>
      </c>
      <c r="K55" s="355">
        <v>0.24945748056100001</v>
      </c>
    </row>
    <row r="56" spans="1:11" ht="14.4" customHeight="1" thickBot="1" x14ac:dyDescent="0.35">
      <c r="A56" s="372" t="s">
        <v>251</v>
      </c>
      <c r="B56" s="356">
        <v>243.180000000001</v>
      </c>
      <c r="C56" s="356">
        <v>266.43347</v>
      </c>
      <c r="D56" s="357">
        <v>23.253469999999002</v>
      </c>
      <c r="E56" s="358">
        <v>1.0956224607280001</v>
      </c>
      <c r="F56" s="356">
        <v>270.30999999999898</v>
      </c>
      <c r="G56" s="357">
        <v>67.577499999999006</v>
      </c>
      <c r="H56" s="359">
        <v>22.367839999998999</v>
      </c>
      <c r="I56" s="356">
        <v>67.43074</v>
      </c>
      <c r="J56" s="357">
        <v>-0.146759999999</v>
      </c>
      <c r="K56" s="360">
        <v>0.24945706781099999</v>
      </c>
    </row>
    <row r="57" spans="1:11" ht="14.4" customHeight="1" thickBot="1" x14ac:dyDescent="0.35">
      <c r="A57" s="373" t="s">
        <v>252</v>
      </c>
      <c r="B57" s="351">
        <v>243.180000000001</v>
      </c>
      <c r="C57" s="351">
        <v>266.43347</v>
      </c>
      <c r="D57" s="352">
        <v>23.253469999999002</v>
      </c>
      <c r="E57" s="353">
        <v>1.0956224607280001</v>
      </c>
      <c r="F57" s="351">
        <v>270.30999999999898</v>
      </c>
      <c r="G57" s="352">
        <v>67.577499999999006</v>
      </c>
      <c r="H57" s="354">
        <v>22.367839999998999</v>
      </c>
      <c r="I57" s="351">
        <v>67.43074</v>
      </c>
      <c r="J57" s="352">
        <v>-0.146759999999</v>
      </c>
      <c r="K57" s="355">
        <v>0.24945706781099999</v>
      </c>
    </row>
    <row r="58" spans="1:11" ht="14.4" customHeight="1" thickBot="1" x14ac:dyDescent="0.35">
      <c r="A58" s="372" t="s">
        <v>253</v>
      </c>
      <c r="B58" s="356">
        <v>675.49999999999898</v>
      </c>
      <c r="C58" s="356">
        <v>740.09775000000104</v>
      </c>
      <c r="D58" s="357">
        <v>64.597750000001994</v>
      </c>
      <c r="E58" s="358">
        <v>1.095629533678</v>
      </c>
      <c r="F58" s="356">
        <v>750.87</v>
      </c>
      <c r="G58" s="357">
        <v>187.7175</v>
      </c>
      <c r="H58" s="359">
        <v>62.134749999999002</v>
      </c>
      <c r="I58" s="356">
        <v>187.31025</v>
      </c>
      <c r="J58" s="357">
        <v>-0.40724999999900002</v>
      </c>
      <c r="K58" s="360">
        <v>0.24945762915</v>
      </c>
    </row>
    <row r="59" spans="1:11" ht="14.4" customHeight="1" thickBot="1" x14ac:dyDescent="0.35">
      <c r="A59" s="373" t="s">
        <v>254</v>
      </c>
      <c r="B59" s="351">
        <v>675.49999999999898</v>
      </c>
      <c r="C59" s="351">
        <v>740.09775000000104</v>
      </c>
      <c r="D59" s="352">
        <v>64.597750000001994</v>
      </c>
      <c r="E59" s="353">
        <v>1.095629533678</v>
      </c>
      <c r="F59" s="351">
        <v>750.87</v>
      </c>
      <c r="G59" s="352">
        <v>187.7175</v>
      </c>
      <c r="H59" s="354">
        <v>62.134749999999002</v>
      </c>
      <c r="I59" s="351">
        <v>187.31025</v>
      </c>
      <c r="J59" s="352">
        <v>-0.40724999999900002</v>
      </c>
      <c r="K59" s="355">
        <v>0.24945762915</v>
      </c>
    </row>
    <row r="60" spans="1:11" ht="14.4" customHeight="1" thickBot="1" x14ac:dyDescent="0.35">
      <c r="A60" s="371" t="s">
        <v>255</v>
      </c>
      <c r="B60" s="351">
        <v>0</v>
      </c>
      <c r="C60" s="351">
        <v>0</v>
      </c>
      <c r="D60" s="352">
        <v>0</v>
      </c>
      <c r="E60" s="353">
        <v>1</v>
      </c>
      <c r="F60" s="351">
        <v>12.580553999999999</v>
      </c>
      <c r="G60" s="352">
        <v>3.1451384999999998</v>
      </c>
      <c r="H60" s="354">
        <v>0</v>
      </c>
      <c r="I60" s="351">
        <v>0</v>
      </c>
      <c r="J60" s="352">
        <v>-3.1451384999999998</v>
      </c>
      <c r="K60" s="355">
        <v>0</v>
      </c>
    </row>
    <row r="61" spans="1:11" ht="14.4" customHeight="1" thickBot="1" x14ac:dyDescent="0.35">
      <c r="A61" s="372" t="s">
        <v>256</v>
      </c>
      <c r="B61" s="356">
        <v>0</v>
      </c>
      <c r="C61" s="356">
        <v>0</v>
      </c>
      <c r="D61" s="357">
        <v>0</v>
      </c>
      <c r="E61" s="358">
        <v>1</v>
      </c>
      <c r="F61" s="356">
        <v>12.580553999999999</v>
      </c>
      <c r="G61" s="357">
        <v>3.1451384999999998</v>
      </c>
      <c r="H61" s="359">
        <v>0</v>
      </c>
      <c r="I61" s="356">
        <v>0</v>
      </c>
      <c r="J61" s="357">
        <v>-3.1451384999999998</v>
      </c>
      <c r="K61" s="360">
        <v>0</v>
      </c>
    </row>
    <row r="62" spans="1:11" ht="14.4" customHeight="1" thickBot="1" x14ac:dyDescent="0.35">
      <c r="A62" s="373" t="s">
        <v>257</v>
      </c>
      <c r="B62" s="351">
        <v>0</v>
      </c>
      <c r="C62" s="351">
        <v>0</v>
      </c>
      <c r="D62" s="352">
        <v>0</v>
      </c>
      <c r="E62" s="353">
        <v>1</v>
      </c>
      <c r="F62" s="351">
        <v>12.580553999999999</v>
      </c>
      <c r="G62" s="352">
        <v>3.1451384999999998</v>
      </c>
      <c r="H62" s="354">
        <v>0</v>
      </c>
      <c r="I62" s="351">
        <v>0</v>
      </c>
      <c r="J62" s="352">
        <v>-3.1451384999999998</v>
      </c>
      <c r="K62" s="355">
        <v>0</v>
      </c>
    </row>
    <row r="63" spans="1:11" ht="14.4" customHeight="1" thickBot="1" x14ac:dyDescent="0.35">
      <c r="A63" s="371" t="s">
        <v>258</v>
      </c>
      <c r="B63" s="351">
        <v>54.04</v>
      </c>
      <c r="C63" s="351">
        <v>59.369239999999998</v>
      </c>
      <c r="D63" s="352">
        <v>5.3292399999990003</v>
      </c>
      <c r="E63" s="353">
        <v>1.0986165803100001</v>
      </c>
      <c r="F63" s="351">
        <v>60.079999999999004</v>
      </c>
      <c r="G63" s="352">
        <v>15.02</v>
      </c>
      <c r="H63" s="354">
        <v>4.970859999999</v>
      </c>
      <c r="I63" s="351">
        <v>14.987769999999999</v>
      </c>
      <c r="J63" s="352">
        <v>-3.2229999999000003E-2</v>
      </c>
      <c r="K63" s="355">
        <v>0.24946354860100001</v>
      </c>
    </row>
    <row r="64" spans="1:11" ht="14.4" customHeight="1" thickBot="1" x14ac:dyDescent="0.35">
      <c r="A64" s="372" t="s">
        <v>259</v>
      </c>
      <c r="B64" s="356">
        <v>54.04</v>
      </c>
      <c r="C64" s="356">
        <v>59.369239999999998</v>
      </c>
      <c r="D64" s="357">
        <v>5.3292399999990003</v>
      </c>
      <c r="E64" s="358">
        <v>1.0986165803100001</v>
      </c>
      <c r="F64" s="356">
        <v>60.079999999999004</v>
      </c>
      <c r="G64" s="357">
        <v>15.02</v>
      </c>
      <c r="H64" s="359">
        <v>4.970859999999</v>
      </c>
      <c r="I64" s="356">
        <v>14.987769999999999</v>
      </c>
      <c r="J64" s="357">
        <v>-3.2229999999000003E-2</v>
      </c>
      <c r="K64" s="360">
        <v>0.24946354860100001</v>
      </c>
    </row>
    <row r="65" spans="1:11" ht="14.4" customHeight="1" thickBot="1" x14ac:dyDescent="0.35">
      <c r="A65" s="373" t="s">
        <v>260</v>
      </c>
      <c r="B65" s="351">
        <v>54.04</v>
      </c>
      <c r="C65" s="351">
        <v>59.369239999999998</v>
      </c>
      <c r="D65" s="352">
        <v>5.3292399999990003</v>
      </c>
      <c r="E65" s="353">
        <v>1.0986165803100001</v>
      </c>
      <c r="F65" s="351">
        <v>60.079999999999004</v>
      </c>
      <c r="G65" s="352">
        <v>15.02</v>
      </c>
      <c r="H65" s="354">
        <v>4.970859999999</v>
      </c>
      <c r="I65" s="351">
        <v>14.987769999999999</v>
      </c>
      <c r="J65" s="352">
        <v>-3.2229999999000003E-2</v>
      </c>
      <c r="K65" s="355">
        <v>0.24946354860100001</v>
      </c>
    </row>
    <row r="66" spans="1:11" ht="14.4" customHeight="1" thickBot="1" x14ac:dyDescent="0.35">
      <c r="A66" s="370" t="s">
        <v>261</v>
      </c>
      <c r="B66" s="351">
        <v>1.247647293674</v>
      </c>
      <c r="C66" s="351">
        <v>8.7852499999999996</v>
      </c>
      <c r="D66" s="352">
        <v>7.537602706325</v>
      </c>
      <c r="E66" s="353">
        <v>7.0414531771420004</v>
      </c>
      <c r="F66" s="351">
        <v>0</v>
      </c>
      <c r="G66" s="352">
        <v>0</v>
      </c>
      <c r="H66" s="354">
        <v>0</v>
      </c>
      <c r="I66" s="351">
        <v>1.8</v>
      </c>
      <c r="J66" s="352">
        <v>1.8</v>
      </c>
      <c r="K66" s="363" t="s">
        <v>203</v>
      </c>
    </row>
    <row r="67" spans="1:11" ht="14.4" customHeight="1" thickBot="1" x14ac:dyDescent="0.35">
      <c r="A67" s="371" t="s">
        <v>262</v>
      </c>
      <c r="B67" s="351">
        <v>1.247647293674</v>
      </c>
      <c r="C67" s="351">
        <v>8.7852499999999996</v>
      </c>
      <c r="D67" s="352">
        <v>7.537602706325</v>
      </c>
      <c r="E67" s="353">
        <v>7.0414531771420004</v>
      </c>
      <c r="F67" s="351">
        <v>0</v>
      </c>
      <c r="G67" s="352">
        <v>0</v>
      </c>
      <c r="H67" s="354">
        <v>0</v>
      </c>
      <c r="I67" s="351">
        <v>1.8</v>
      </c>
      <c r="J67" s="352">
        <v>1.8</v>
      </c>
      <c r="K67" s="363" t="s">
        <v>203</v>
      </c>
    </row>
    <row r="68" spans="1:11" ht="14.4" customHeight="1" thickBot="1" x14ac:dyDescent="0.35">
      <c r="A68" s="372" t="s">
        <v>263</v>
      </c>
      <c r="B68" s="356">
        <v>0</v>
      </c>
      <c r="C68" s="356">
        <v>8.5250000000000006E-2</v>
      </c>
      <c r="D68" s="357">
        <v>8.5250000000000006E-2</v>
      </c>
      <c r="E68" s="364" t="s">
        <v>214</v>
      </c>
      <c r="F68" s="356">
        <v>0</v>
      </c>
      <c r="G68" s="357">
        <v>0</v>
      </c>
      <c r="H68" s="359">
        <v>0</v>
      </c>
      <c r="I68" s="356">
        <v>0</v>
      </c>
      <c r="J68" s="357">
        <v>0</v>
      </c>
      <c r="K68" s="362" t="s">
        <v>203</v>
      </c>
    </row>
    <row r="69" spans="1:11" ht="14.4" customHeight="1" thickBot="1" x14ac:dyDescent="0.35">
      <c r="A69" s="373" t="s">
        <v>264</v>
      </c>
      <c r="B69" s="351">
        <v>0</v>
      </c>
      <c r="C69" s="351">
        <v>8.5250000000000006E-2</v>
      </c>
      <c r="D69" s="352">
        <v>8.5250000000000006E-2</v>
      </c>
      <c r="E69" s="361" t="s">
        <v>214</v>
      </c>
      <c r="F69" s="351">
        <v>0</v>
      </c>
      <c r="G69" s="352">
        <v>0</v>
      </c>
      <c r="H69" s="354">
        <v>0</v>
      </c>
      <c r="I69" s="351">
        <v>0</v>
      </c>
      <c r="J69" s="352">
        <v>0</v>
      </c>
      <c r="K69" s="363" t="s">
        <v>203</v>
      </c>
    </row>
    <row r="70" spans="1:11" ht="14.4" customHeight="1" thickBot="1" x14ac:dyDescent="0.35">
      <c r="A70" s="375" t="s">
        <v>265</v>
      </c>
      <c r="B70" s="351">
        <v>1.247647293674</v>
      </c>
      <c r="C70" s="351">
        <v>1.6</v>
      </c>
      <c r="D70" s="352">
        <v>0.35235270632499999</v>
      </c>
      <c r="E70" s="353">
        <v>1.2824137142850001</v>
      </c>
      <c r="F70" s="351">
        <v>0</v>
      </c>
      <c r="G70" s="352">
        <v>0</v>
      </c>
      <c r="H70" s="354">
        <v>0</v>
      </c>
      <c r="I70" s="351">
        <v>0</v>
      </c>
      <c r="J70" s="352">
        <v>0</v>
      </c>
      <c r="K70" s="363" t="s">
        <v>203</v>
      </c>
    </row>
    <row r="71" spans="1:11" ht="14.4" customHeight="1" thickBot="1" x14ac:dyDescent="0.35">
      <c r="A71" s="373" t="s">
        <v>266</v>
      </c>
      <c r="B71" s="351">
        <v>1.247647293674</v>
      </c>
      <c r="C71" s="351">
        <v>1.6</v>
      </c>
      <c r="D71" s="352">
        <v>0.35235270632499999</v>
      </c>
      <c r="E71" s="353">
        <v>1.2824137142850001</v>
      </c>
      <c r="F71" s="351">
        <v>0</v>
      </c>
      <c r="G71" s="352">
        <v>0</v>
      </c>
      <c r="H71" s="354">
        <v>0</v>
      </c>
      <c r="I71" s="351">
        <v>0</v>
      </c>
      <c r="J71" s="352">
        <v>0</v>
      </c>
      <c r="K71" s="363" t="s">
        <v>203</v>
      </c>
    </row>
    <row r="72" spans="1:11" ht="14.4" customHeight="1" thickBot="1" x14ac:dyDescent="0.35">
      <c r="A72" s="375" t="s">
        <v>267</v>
      </c>
      <c r="B72" s="351">
        <v>0</v>
      </c>
      <c r="C72" s="351">
        <v>7.1</v>
      </c>
      <c r="D72" s="352">
        <v>7.1</v>
      </c>
      <c r="E72" s="361" t="s">
        <v>203</v>
      </c>
      <c r="F72" s="351">
        <v>0</v>
      </c>
      <c r="G72" s="352">
        <v>0</v>
      </c>
      <c r="H72" s="354">
        <v>0</v>
      </c>
      <c r="I72" s="351">
        <v>1.8</v>
      </c>
      <c r="J72" s="352">
        <v>1.8</v>
      </c>
      <c r="K72" s="363" t="s">
        <v>203</v>
      </c>
    </row>
    <row r="73" spans="1:11" ht="14.4" customHeight="1" thickBot="1" x14ac:dyDescent="0.35">
      <c r="A73" s="373" t="s">
        <v>268</v>
      </c>
      <c r="B73" s="351">
        <v>0</v>
      </c>
      <c r="C73" s="351">
        <v>7.1</v>
      </c>
      <c r="D73" s="352">
        <v>7.1</v>
      </c>
      <c r="E73" s="361" t="s">
        <v>203</v>
      </c>
      <c r="F73" s="351">
        <v>0</v>
      </c>
      <c r="G73" s="352">
        <v>0</v>
      </c>
      <c r="H73" s="354">
        <v>0</v>
      </c>
      <c r="I73" s="351">
        <v>1.8</v>
      </c>
      <c r="J73" s="352">
        <v>1.8</v>
      </c>
      <c r="K73" s="363" t="s">
        <v>203</v>
      </c>
    </row>
    <row r="74" spans="1:11" ht="14.4" customHeight="1" thickBot="1" x14ac:dyDescent="0.35">
      <c r="A74" s="370" t="s">
        <v>269</v>
      </c>
      <c r="B74" s="351">
        <v>22.024555452819001</v>
      </c>
      <c r="C74" s="351">
        <v>27.306999999999999</v>
      </c>
      <c r="D74" s="352">
        <v>5.2824445471799999</v>
      </c>
      <c r="E74" s="353">
        <v>1.2398434128889999</v>
      </c>
      <c r="F74" s="351">
        <v>21.999999999999002</v>
      </c>
      <c r="G74" s="352">
        <v>5.4999999999989999</v>
      </c>
      <c r="H74" s="354">
        <v>1.7735000000000001</v>
      </c>
      <c r="I74" s="351">
        <v>5.3205299999999998</v>
      </c>
      <c r="J74" s="352">
        <v>-0.17946999999900001</v>
      </c>
      <c r="K74" s="355">
        <v>0.24184227272700001</v>
      </c>
    </row>
    <row r="75" spans="1:11" ht="14.4" customHeight="1" thickBot="1" x14ac:dyDescent="0.35">
      <c r="A75" s="371" t="s">
        <v>270</v>
      </c>
      <c r="B75" s="351">
        <v>22.024555452819001</v>
      </c>
      <c r="C75" s="351">
        <v>21.741</v>
      </c>
      <c r="D75" s="352">
        <v>-0.28355545281900002</v>
      </c>
      <c r="E75" s="353">
        <v>0.98712548575900005</v>
      </c>
      <c r="F75" s="351">
        <v>21.999999999999002</v>
      </c>
      <c r="G75" s="352">
        <v>5.4999999999989999</v>
      </c>
      <c r="H75" s="354">
        <v>1.7735000000000001</v>
      </c>
      <c r="I75" s="351">
        <v>5.3205299999999998</v>
      </c>
      <c r="J75" s="352">
        <v>-0.17946999999900001</v>
      </c>
      <c r="K75" s="355">
        <v>0.24184227272700001</v>
      </c>
    </row>
    <row r="76" spans="1:11" ht="14.4" customHeight="1" thickBot="1" x14ac:dyDescent="0.35">
      <c r="A76" s="372" t="s">
        <v>271</v>
      </c>
      <c r="B76" s="356">
        <v>22.024555452819001</v>
      </c>
      <c r="C76" s="356">
        <v>21.741</v>
      </c>
      <c r="D76" s="357">
        <v>-0.28355545281900002</v>
      </c>
      <c r="E76" s="358">
        <v>0.98712548575900005</v>
      </c>
      <c r="F76" s="356">
        <v>21.999999999999002</v>
      </c>
      <c r="G76" s="357">
        <v>5.4999999999989999</v>
      </c>
      <c r="H76" s="359">
        <v>1.7735000000000001</v>
      </c>
      <c r="I76" s="356">
        <v>5.3205299999999998</v>
      </c>
      <c r="J76" s="357">
        <v>-0.17946999999900001</v>
      </c>
      <c r="K76" s="360">
        <v>0.24184227272700001</v>
      </c>
    </row>
    <row r="77" spans="1:11" ht="14.4" customHeight="1" thickBot="1" x14ac:dyDescent="0.35">
      <c r="A77" s="373" t="s">
        <v>272</v>
      </c>
      <c r="B77" s="351">
        <v>19.257138815145002</v>
      </c>
      <c r="C77" s="351">
        <v>18.908000000000001</v>
      </c>
      <c r="D77" s="352">
        <v>-0.349138815145</v>
      </c>
      <c r="E77" s="353">
        <v>0.98186964229200002</v>
      </c>
      <c r="F77" s="351">
        <v>18.999999999999002</v>
      </c>
      <c r="G77" s="352">
        <v>4.7499999999989999</v>
      </c>
      <c r="H77" s="354">
        <v>1.5444199999999999</v>
      </c>
      <c r="I77" s="351">
        <v>4.6332700000000004</v>
      </c>
      <c r="J77" s="352">
        <v>-0.11672999999899999</v>
      </c>
      <c r="K77" s="355">
        <v>0.24385631578899999</v>
      </c>
    </row>
    <row r="78" spans="1:11" ht="14.4" customHeight="1" thickBot="1" x14ac:dyDescent="0.35">
      <c r="A78" s="373" t="s">
        <v>273</v>
      </c>
      <c r="B78" s="351">
        <v>2.7674166376730001</v>
      </c>
      <c r="C78" s="351">
        <v>2.8330000000000002</v>
      </c>
      <c r="D78" s="352">
        <v>6.5583362325999997E-2</v>
      </c>
      <c r="E78" s="353">
        <v>1.0236984057380001</v>
      </c>
      <c r="F78" s="351">
        <v>2.9999999999989999</v>
      </c>
      <c r="G78" s="352">
        <v>0.74999999999900002</v>
      </c>
      <c r="H78" s="354">
        <v>0.229079999999</v>
      </c>
      <c r="I78" s="351">
        <v>0.68725999999999998</v>
      </c>
      <c r="J78" s="352">
        <v>-6.2739999998999998E-2</v>
      </c>
      <c r="K78" s="355">
        <v>0.229086666666</v>
      </c>
    </row>
    <row r="79" spans="1:11" ht="14.4" customHeight="1" thickBot="1" x14ac:dyDescent="0.35">
      <c r="A79" s="371" t="s">
        <v>274</v>
      </c>
      <c r="B79" s="351">
        <v>0</v>
      </c>
      <c r="C79" s="351">
        <v>5.5659999999999998</v>
      </c>
      <c r="D79" s="352">
        <v>5.5659999999999998</v>
      </c>
      <c r="E79" s="361" t="s">
        <v>203</v>
      </c>
      <c r="F79" s="351">
        <v>0</v>
      </c>
      <c r="G79" s="352">
        <v>0</v>
      </c>
      <c r="H79" s="354">
        <v>0</v>
      </c>
      <c r="I79" s="351">
        <v>0</v>
      </c>
      <c r="J79" s="352">
        <v>0</v>
      </c>
      <c r="K79" s="363" t="s">
        <v>203</v>
      </c>
    </row>
    <row r="80" spans="1:11" ht="14.4" customHeight="1" thickBot="1" x14ac:dyDescent="0.35">
      <c r="A80" s="372" t="s">
        <v>275</v>
      </c>
      <c r="B80" s="356">
        <v>0</v>
      </c>
      <c r="C80" s="356">
        <v>5.5659999999999998</v>
      </c>
      <c r="D80" s="357">
        <v>5.5659999999999998</v>
      </c>
      <c r="E80" s="364" t="s">
        <v>214</v>
      </c>
      <c r="F80" s="356">
        <v>0</v>
      </c>
      <c r="G80" s="357">
        <v>0</v>
      </c>
      <c r="H80" s="359">
        <v>0</v>
      </c>
      <c r="I80" s="356">
        <v>0</v>
      </c>
      <c r="J80" s="357">
        <v>0</v>
      </c>
      <c r="K80" s="360">
        <v>0</v>
      </c>
    </row>
    <row r="81" spans="1:11" ht="14.4" customHeight="1" thickBot="1" x14ac:dyDescent="0.35">
      <c r="A81" s="373" t="s">
        <v>276</v>
      </c>
      <c r="B81" s="351">
        <v>0</v>
      </c>
      <c r="C81" s="351">
        <v>5.5659999999999998</v>
      </c>
      <c r="D81" s="352">
        <v>5.5659999999999998</v>
      </c>
      <c r="E81" s="361" t="s">
        <v>214</v>
      </c>
      <c r="F81" s="351">
        <v>0</v>
      </c>
      <c r="G81" s="352">
        <v>0</v>
      </c>
      <c r="H81" s="354">
        <v>0</v>
      </c>
      <c r="I81" s="351">
        <v>0</v>
      </c>
      <c r="J81" s="352">
        <v>0</v>
      </c>
      <c r="K81" s="355">
        <v>0</v>
      </c>
    </row>
    <row r="82" spans="1:11" ht="14.4" customHeight="1" thickBot="1" x14ac:dyDescent="0.35">
      <c r="A82" s="369" t="s">
        <v>277</v>
      </c>
      <c r="B82" s="351">
        <v>1926.7649449140499</v>
      </c>
      <c r="C82" s="351">
        <v>3173.5175199999999</v>
      </c>
      <c r="D82" s="352">
        <v>1246.75257508595</v>
      </c>
      <c r="E82" s="353">
        <v>1.6470704059550001</v>
      </c>
      <c r="F82" s="351">
        <v>3735.8314578213299</v>
      </c>
      <c r="G82" s="352">
        <v>933.95786445533304</v>
      </c>
      <c r="H82" s="354">
        <v>223.00002000000001</v>
      </c>
      <c r="I82" s="351">
        <v>891.17457999999999</v>
      </c>
      <c r="J82" s="352">
        <v>-42.783284455332002</v>
      </c>
      <c r="K82" s="355">
        <v>0.23854785475699999</v>
      </c>
    </row>
    <row r="83" spans="1:11" ht="14.4" customHeight="1" thickBot="1" x14ac:dyDescent="0.35">
      <c r="A83" s="370" t="s">
        <v>278</v>
      </c>
      <c r="B83" s="351">
        <v>1926.7649449140499</v>
      </c>
      <c r="C83" s="351">
        <v>3167.7324199999998</v>
      </c>
      <c r="D83" s="352">
        <v>1240.9674750859499</v>
      </c>
      <c r="E83" s="353">
        <v>1.6440679120520001</v>
      </c>
      <c r="F83" s="351">
        <v>3735.8315620824201</v>
      </c>
      <c r="G83" s="352">
        <v>933.95789052060502</v>
      </c>
      <c r="H83" s="354">
        <v>223.00002000000001</v>
      </c>
      <c r="I83" s="351">
        <v>891.17457999999999</v>
      </c>
      <c r="J83" s="352">
        <v>-42.783310520604999</v>
      </c>
      <c r="K83" s="355">
        <v>0.23854784809999999</v>
      </c>
    </row>
    <row r="84" spans="1:11" ht="14.4" customHeight="1" thickBot="1" x14ac:dyDescent="0.35">
      <c r="A84" s="371" t="s">
        <v>279</v>
      </c>
      <c r="B84" s="351">
        <v>1926.7649449140499</v>
      </c>
      <c r="C84" s="351">
        <v>3167.7324199999998</v>
      </c>
      <c r="D84" s="352">
        <v>1240.9674750859499</v>
      </c>
      <c r="E84" s="353">
        <v>1.6440679120520001</v>
      </c>
      <c r="F84" s="351">
        <v>3735.8315620824201</v>
      </c>
      <c r="G84" s="352">
        <v>933.95789052060502</v>
      </c>
      <c r="H84" s="354">
        <v>223.00002000000001</v>
      </c>
      <c r="I84" s="351">
        <v>891.17457999999999</v>
      </c>
      <c r="J84" s="352">
        <v>-42.783310520604999</v>
      </c>
      <c r="K84" s="355">
        <v>0.23854784809999999</v>
      </c>
    </row>
    <row r="85" spans="1:11" ht="14.4" customHeight="1" thickBot="1" x14ac:dyDescent="0.35">
      <c r="A85" s="372" t="s">
        <v>280</v>
      </c>
      <c r="B85" s="356">
        <v>0</v>
      </c>
      <c r="C85" s="356">
        <v>0.1913</v>
      </c>
      <c r="D85" s="357">
        <v>0.1913</v>
      </c>
      <c r="E85" s="364" t="s">
        <v>214</v>
      </c>
      <c r="F85" s="356">
        <v>0.18192918203799999</v>
      </c>
      <c r="G85" s="357">
        <v>4.5482295509000001E-2</v>
      </c>
      <c r="H85" s="359">
        <v>0</v>
      </c>
      <c r="I85" s="356">
        <v>0</v>
      </c>
      <c r="J85" s="357">
        <v>-4.5482295509000001E-2</v>
      </c>
      <c r="K85" s="360">
        <v>0</v>
      </c>
    </row>
    <row r="86" spans="1:11" ht="14.4" customHeight="1" thickBot="1" x14ac:dyDescent="0.35">
      <c r="A86" s="373" t="s">
        <v>281</v>
      </c>
      <c r="B86" s="351">
        <v>0</v>
      </c>
      <c r="C86" s="351">
        <v>0.1913</v>
      </c>
      <c r="D86" s="352">
        <v>0.1913</v>
      </c>
      <c r="E86" s="361" t="s">
        <v>214</v>
      </c>
      <c r="F86" s="351">
        <v>0.18192918203799999</v>
      </c>
      <c r="G86" s="352">
        <v>4.5482295509000001E-2</v>
      </c>
      <c r="H86" s="354">
        <v>0</v>
      </c>
      <c r="I86" s="351">
        <v>0</v>
      </c>
      <c r="J86" s="352">
        <v>-4.5482295509000001E-2</v>
      </c>
      <c r="K86" s="355">
        <v>0</v>
      </c>
    </row>
    <row r="87" spans="1:11" ht="14.4" customHeight="1" thickBot="1" x14ac:dyDescent="0.35">
      <c r="A87" s="375" t="s">
        <v>282</v>
      </c>
      <c r="B87" s="351">
        <v>0.76415386440300004</v>
      </c>
      <c r="C87" s="351">
        <v>0</v>
      </c>
      <c r="D87" s="352">
        <v>-0.76415386440300004</v>
      </c>
      <c r="E87" s="353">
        <v>0</v>
      </c>
      <c r="F87" s="351">
        <v>0</v>
      </c>
      <c r="G87" s="352">
        <v>0</v>
      </c>
      <c r="H87" s="354">
        <v>0</v>
      </c>
      <c r="I87" s="351">
        <v>0</v>
      </c>
      <c r="J87" s="352">
        <v>0</v>
      </c>
      <c r="K87" s="355">
        <v>0</v>
      </c>
    </row>
    <row r="88" spans="1:11" ht="14.4" customHeight="1" thickBot="1" x14ac:dyDescent="0.35">
      <c r="A88" s="373" t="s">
        <v>283</v>
      </c>
      <c r="B88" s="351">
        <v>0.76415386440300004</v>
      </c>
      <c r="C88" s="351">
        <v>0</v>
      </c>
      <c r="D88" s="352">
        <v>-0.76415386440300004</v>
      </c>
      <c r="E88" s="353">
        <v>0</v>
      </c>
      <c r="F88" s="351">
        <v>0</v>
      </c>
      <c r="G88" s="352">
        <v>0</v>
      </c>
      <c r="H88" s="354">
        <v>0</v>
      </c>
      <c r="I88" s="351">
        <v>0</v>
      </c>
      <c r="J88" s="352">
        <v>0</v>
      </c>
      <c r="K88" s="355">
        <v>0</v>
      </c>
    </row>
    <row r="89" spans="1:11" ht="14.4" customHeight="1" thickBot="1" x14ac:dyDescent="0.35">
      <c r="A89" s="372" t="s">
        <v>284</v>
      </c>
      <c r="B89" s="356">
        <v>1926.0007910496399</v>
      </c>
      <c r="C89" s="356">
        <v>3021.2627600000001</v>
      </c>
      <c r="D89" s="357">
        <v>1095.2619689503599</v>
      </c>
      <c r="E89" s="358">
        <v>1.5686716090870001</v>
      </c>
      <c r="F89" s="356">
        <v>3735.6496329003799</v>
      </c>
      <c r="G89" s="357">
        <v>933.91240822509599</v>
      </c>
      <c r="H89" s="359">
        <v>215.97782000000001</v>
      </c>
      <c r="I89" s="356">
        <v>833.20042999999998</v>
      </c>
      <c r="J89" s="357">
        <v>-100.711978225096</v>
      </c>
      <c r="K89" s="360">
        <v>0.22304030406399999</v>
      </c>
    </row>
    <row r="90" spans="1:11" ht="14.4" customHeight="1" thickBot="1" x14ac:dyDescent="0.35">
      <c r="A90" s="373" t="s">
        <v>285</v>
      </c>
      <c r="B90" s="351">
        <v>678.51229149528001</v>
      </c>
      <c r="C90" s="351">
        <v>1119.8043299999999</v>
      </c>
      <c r="D90" s="352">
        <v>441.29203850471998</v>
      </c>
      <c r="E90" s="353">
        <v>1.6503817897419999</v>
      </c>
      <c r="F90" s="351">
        <v>0</v>
      </c>
      <c r="G90" s="352">
        <v>0</v>
      </c>
      <c r="H90" s="354">
        <v>0</v>
      </c>
      <c r="I90" s="351">
        <v>0</v>
      </c>
      <c r="J90" s="352">
        <v>0</v>
      </c>
      <c r="K90" s="363" t="s">
        <v>203</v>
      </c>
    </row>
    <row r="91" spans="1:11" ht="14.4" customHeight="1" thickBot="1" x14ac:dyDescent="0.35">
      <c r="A91" s="373" t="s">
        <v>286</v>
      </c>
      <c r="B91" s="351">
        <v>1247.48849955436</v>
      </c>
      <c r="C91" s="351">
        <v>1901.4584299999999</v>
      </c>
      <c r="D91" s="352">
        <v>653.96993044563601</v>
      </c>
      <c r="E91" s="353">
        <v>1.524229225904</v>
      </c>
      <c r="F91" s="351">
        <v>3735.6496329003799</v>
      </c>
      <c r="G91" s="352">
        <v>933.91240822509599</v>
      </c>
      <c r="H91" s="354">
        <v>215.97782000000001</v>
      </c>
      <c r="I91" s="351">
        <v>833.20042999999998</v>
      </c>
      <c r="J91" s="352">
        <v>-100.711978225096</v>
      </c>
      <c r="K91" s="355">
        <v>0.22304030406399999</v>
      </c>
    </row>
    <row r="92" spans="1:11" ht="14.4" customHeight="1" thickBot="1" x14ac:dyDescent="0.35">
      <c r="A92" s="372" t="s">
        <v>287</v>
      </c>
      <c r="B92" s="356">
        <v>0</v>
      </c>
      <c r="C92" s="356">
        <v>146.27835999999999</v>
      </c>
      <c r="D92" s="357">
        <v>146.27835999999999</v>
      </c>
      <c r="E92" s="364" t="s">
        <v>203</v>
      </c>
      <c r="F92" s="356">
        <v>0</v>
      </c>
      <c r="G92" s="357">
        <v>0</v>
      </c>
      <c r="H92" s="359">
        <v>7.0221999999999998</v>
      </c>
      <c r="I92" s="356">
        <v>57.974149999999</v>
      </c>
      <c r="J92" s="357">
        <v>57.974149999999</v>
      </c>
      <c r="K92" s="362" t="s">
        <v>203</v>
      </c>
    </row>
    <row r="93" spans="1:11" ht="14.4" customHeight="1" thickBot="1" x14ac:dyDescent="0.35">
      <c r="A93" s="373" t="s">
        <v>288</v>
      </c>
      <c r="B93" s="351">
        <v>0</v>
      </c>
      <c r="C93" s="351">
        <v>40.838740000000001</v>
      </c>
      <c r="D93" s="352">
        <v>40.838740000000001</v>
      </c>
      <c r="E93" s="361" t="s">
        <v>203</v>
      </c>
      <c r="F93" s="351">
        <v>0</v>
      </c>
      <c r="G93" s="352">
        <v>0</v>
      </c>
      <c r="H93" s="354">
        <v>0</v>
      </c>
      <c r="I93" s="351">
        <v>0</v>
      </c>
      <c r="J93" s="352">
        <v>0</v>
      </c>
      <c r="K93" s="363" t="s">
        <v>203</v>
      </c>
    </row>
    <row r="94" spans="1:11" ht="14.4" customHeight="1" thickBot="1" x14ac:dyDescent="0.35">
      <c r="A94" s="373" t="s">
        <v>289</v>
      </c>
      <c r="B94" s="351">
        <v>0</v>
      </c>
      <c r="C94" s="351">
        <v>105.43962000000001</v>
      </c>
      <c r="D94" s="352">
        <v>105.43962000000001</v>
      </c>
      <c r="E94" s="361" t="s">
        <v>203</v>
      </c>
      <c r="F94" s="351">
        <v>0</v>
      </c>
      <c r="G94" s="352">
        <v>0</v>
      </c>
      <c r="H94" s="354">
        <v>7.0221999999999998</v>
      </c>
      <c r="I94" s="351">
        <v>57.974149999999</v>
      </c>
      <c r="J94" s="352">
        <v>57.974149999999</v>
      </c>
      <c r="K94" s="363" t="s">
        <v>203</v>
      </c>
    </row>
    <row r="95" spans="1:11" ht="14.4" customHeight="1" thickBot="1" x14ac:dyDescent="0.35">
      <c r="A95" s="370" t="s">
        <v>290</v>
      </c>
      <c r="B95" s="351">
        <v>0</v>
      </c>
      <c r="C95" s="351">
        <v>5.7850999999999999</v>
      </c>
      <c r="D95" s="352">
        <v>5.7850999999999999</v>
      </c>
      <c r="E95" s="361" t="s">
        <v>203</v>
      </c>
      <c r="F95" s="351">
        <v>-1.04261091E-4</v>
      </c>
      <c r="G95" s="352">
        <v>-2.6065272817490799E-5</v>
      </c>
      <c r="H95" s="354">
        <v>0</v>
      </c>
      <c r="I95" s="351">
        <v>0</v>
      </c>
      <c r="J95" s="352">
        <v>2.6065272817490799E-5</v>
      </c>
      <c r="K95" s="355">
        <v>0</v>
      </c>
    </row>
    <row r="96" spans="1:11" ht="14.4" customHeight="1" thickBot="1" x14ac:dyDescent="0.35">
      <c r="A96" s="376" t="s">
        <v>291</v>
      </c>
      <c r="B96" s="356">
        <v>0</v>
      </c>
      <c r="C96" s="356">
        <v>5.7850999999999999</v>
      </c>
      <c r="D96" s="357">
        <v>5.7850999999999999</v>
      </c>
      <c r="E96" s="364" t="s">
        <v>203</v>
      </c>
      <c r="F96" s="356">
        <v>-1.04261091E-4</v>
      </c>
      <c r="G96" s="357">
        <v>-2.6065272817490799E-5</v>
      </c>
      <c r="H96" s="359">
        <v>0</v>
      </c>
      <c r="I96" s="356">
        <v>0</v>
      </c>
      <c r="J96" s="357">
        <v>2.6065272817490799E-5</v>
      </c>
      <c r="K96" s="360">
        <v>0</v>
      </c>
    </row>
    <row r="97" spans="1:11" ht="14.4" customHeight="1" thickBot="1" x14ac:dyDescent="0.35">
      <c r="A97" s="372" t="s">
        <v>292</v>
      </c>
      <c r="B97" s="356">
        <v>0</v>
      </c>
      <c r="C97" s="356">
        <v>-1E-4</v>
      </c>
      <c r="D97" s="357">
        <v>-1E-4</v>
      </c>
      <c r="E97" s="364" t="s">
        <v>203</v>
      </c>
      <c r="F97" s="356">
        <v>-1.04261091E-4</v>
      </c>
      <c r="G97" s="357">
        <v>-2.6065272817490799E-5</v>
      </c>
      <c r="H97" s="359">
        <v>0</v>
      </c>
      <c r="I97" s="356">
        <v>0</v>
      </c>
      <c r="J97" s="357">
        <v>2.6065272817490799E-5</v>
      </c>
      <c r="K97" s="360">
        <v>0</v>
      </c>
    </row>
    <row r="98" spans="1:11" ht="14.4" customHeight="1" thickBot="1" x14ac:dyDescent="0.35">
      <c r="A98" s="373" t="s">
        <v>293</v>
      </c>
      <c r="B98" s="351">
        <v>0</v>
      </c>
      <c r="C98" s="351">
        <v>-1E-4</v>
      </c>
      <c r="D98" s="352">
        <v>-1E-4</v>
      </c>
      <c r="E98" s="361" t="s">
        <v>214</v>
      </c>
      <c r="F98" s="351">
        <v>-1.04261091E-4</v>
      </c>
      <c r="G98" s="352">
        <v>-2.6065272817490799E-5</v>
      </c>
      <c r="H98" s="354">
        <v>0</v>
      </c>
      <c r="I98" s="351">
        <v>0</v>
      </c>
      <c r="J98" s="352">
        <v>2.6065272817490799E-5</v>
      </c>
      <c r="K98" s="355">
        <v>0</v>
      </c>
    </row>
    <row r="99" spans="1:11" ht="14.4" customHeight="1" thickBot="1" x14ac:dyDescent="0.35">
      <c r="A99" s="372" t="s">
        <v>294</v>
      </c>
      <c r="B99" s="356">
        <v>0</v>
      </c>
      <c r="C99" s="356">
        <v>5.7851999999999997</v>
      </c>
      <c r="D99" s="357">
        <v>5.7851999999999997</v>
      </c>
      <c r="E99" s="364" t="s">
        <v>214</v>
      </c>
      <c r="F99" s="356">
        <v>0</v>
      </c>
      <c r="G99" s="357">
        <v>0</v>
      </c>
      <c r="H99" s="359">
        <v>0</v>
      </c>
      <c r="I99" s="356">
        <v>0</v>
      </c>
      <c r="J99" s="357">
        <v>0</v>
      </c>
      <c r="K99" s="362" t="s">
        <v>203</v>
      </c>
    </row>
    <row r="100" spans="1:11" ht="14.4" customHeight="1" thickBot="1" x14ac:dyDescent="0.35">
      <c r="A100" s="373" t="s">
        <v>295</v>
      </c>
      <c r="B100" s="351">
        <v>0</v>
      </c>
      <c r="C100" s="351">
        <v>5.7851999999999997</v>
      </c>
      <c r="D100" s="352">
        <v>5.7851999999999997</v>
      </c>
      <c r="E100" s="361" t="s">
        <v>214</v>
      </c>
      <c r="F100" s="351">
        <v>0</v>
      </c>
      <c r="G100" s="352">
        <v>0</v>
      </c>
      <c r="H100" s="354">
        <v>0</v>
      </c>
      <c r="I100" s="351">
        <v>0</v>
      </c>
      <c r="J100" s="352">
        <v>0</v>
      </c>
      <c r="K100" s="363" t="s">
        <v>203</v>
      </c>
    </row>
    <row r="101" spans="1:11" ht="14.4" customHeight="1" thickBot="1" x14ac:dyDescent="0.35">
      <c r="A101" s="369" t="s">
        <v>296</v>
      </c>
      <c r="B101" s="351">
        <v>531.26276105456304</v>
      </c>
      <c r="C101" s="351">
        <v>534.01505999999995</v>
      </c>
      <c r="D101" s="352">
        <v>2.7522989454369999</v>
      </c>
      <c r="E101" s="353">
        <v>1.00518067357</v>
      </c>
      <c r="F101" s="351">
        <v>543.83877935298096</v>
      </c>
      <c r="G101" s="352">
        <v>135.95969483824501</v>
      </c>
      <c r="H101" s="354">
        <v>42.843249999999998</v>
      </c>
      <c r="I101" s="351">
        <v>136.46015</v>
      </c>
      <c r="J101" s="352">
        <v>0.50045516175399996</v>
      </c>
      <c r="K101" s="355">
        <v>0.25092022706099998</v>
      </c>
    </row>
    <row r="102" spans="1:11" ht="14.4" customHeight="1" thickBot="1" x14ac:dyDescent="0.35">
      <c r="A102" s="374" t="s">
        <v>297</v>
      </c>
      <c r="B102" s="356">
        <v>531.26276105456304</v>
      </c>
      <c r="C102" s="356">
        <v>534.01505999999995</v>
      </c>
      <c r="D102" s="357">
        <v>2.7522989454369999</v>
      </c>
      <c r="E102" s="358">
        <v>1.00518067357</v>
      </c>
      <c r="F102" s="356">
        <v>543.83877935298096</v>
      </c>
      <c r="G102" s="357">
        <v>135.95969483824501</v>
      </c>
      <c r="H102" s="359">
        <v>42.843249999999998</v>
      </c>
      <c r="I102" s="356">
        <v>136.46015</v>
      </c>
      <c r="J102" s="357">
        <v>0.50045516175399996</v>
      </c>
      <c r="K102" s="360">
        <v>0.25092022706099998</v>
      </c>
    </row>
    <row r="103" spans="1:11" ht="14.4" customHeight="1" thickBot="1" x14ac:dyDescent="0.35">
      <c r="A103" s="376" t="s">
        <v>29</v>
      </c>
      <c r="B103" s="356">
        <v>531.26276105456304</v>
      </c>
      <c r="C103" s="356">
        <v>534.01505999999995</v>
      </c>
      <c r="D103" s="357">
        <v>2.7522989454369999</v>
      </c>
      <c r="E103" s="358">
        <v>1.00518067357</v>
      </c>
      <c r="F103" s="356">
        <v>543.83877935298096</v>
      </c>
      <c r="G103" s="357">
        <v>135.95969483824501</v>
      </c>
      <c r="H103" s="359">
        <v>42.843249999999998</v>
      </c>
      <c r="I103" s="356">
        <v>136.46015</v>
      </c>
      <c r="J103" s="357">
        <v>0.50045516175399996</v>
      </c>
      <c r="K103" s="360">
        <v>0.25092022706099998</v>
      </c>
    </row>
    <row r="104" spans="1:11" ht="14.4" customHeight="1" thickBot="1" x14ac:dyDescent="0.35">
      <c r="A104" s="372" t="s">
        <v>298</v>
      </c>
      <c r="B104" s="356">
        <v>4.3126787440239998</v>
      </c>
      <c r="C104" s="356">
        <v>2.7989999999999999</v>
      </c>
      <c r="D104" s="357">
        <v>-1.513678744024</v>
      </c>
      <c r="E104" s="358">
        <v>0.64901657789300005</v>
      </c>
      <c r="F104" s="356">
        <v>2.9247054621949999</v>
      </c>
      <c r="G104" s="357">
        <v>0.73117636554800003</v>
      </c>
      <c r="H104" s="359">
        <v>0.35799999999999998</v>
      </c>
      <c r="I104" s="356">
        <v>0.35799999999999998</v>
      </c>
      <c r="J104" s="357">
        <v>-0.37317636554799999</v>
      </c>
      <c r="K104" s="360">
        <v>0.12240548822</v>
      </c>
    </row>
    <row r="105" spans="1:11" ht="14.4" customHeight="1" thickBot="1" x14ac:dyDescent="0.35">
      <c r="A105" s="373" t="s">
        <v>299</v>
      </c>
      <c r="B105" s="351">
        <v>4.3126787440239998</v>
      </c>
      <c r="C105" s="351">
        <v>2.7989999999999999</v>
      </c>
      <c r="D105" s="352">
        <v>-1.513678744024</v>
      </c>
      <c r="E105" s="353">
        <v>0.64901657789300005</v>
      </c>
      <c r="F105" s="351">
        <v>2.9247054621949999</v>
      </c>
      <c r="G105" s="352">
        <v>0.73117636554800003</v>
      </c>
      <c r="H105" s="354">
        <v>0.35799999999999998</v>
      </c>
      <c r="I105" s="351">
        <v>0.35799999999999998</v>
      </c>
      <c r="J105" s="352">
        <v>-0.37317636554799999</v>
      </c>
      <c r="K105" s="355">
        <v>0.12240548822</v>
      </c>
    </row>
    <row r="106" spans="1:11" ht="14.4" customHeight="1" thickBot="1" x14ac:dyDescent="0.35">
      <c r="A106" s="372" t="s">
        <v>300</v>
      </c>
      <c r="B106" s="356">
        <v>0</v>
      </c>
      <c r="C106" s="356">
        <v>0.14699999999999999</v>
      </c>
      <c r="D106" s="357">
        <v>0.14699999999999999</v>
      </c>
      <c r="E106" s="364" t="s">
        <v>214</v>
      </c>
      <c r="F106" s="356">
        <v>0</v>
      </c>
      <c r="G106" s="357">
        <v>0</v>
      </c>
      <c r="H106" s="359">
        <v>0</v>
      </c>
      <c r="I106" s="356">
        <v>0</v>
      </c>
      <c r="J106" s="357">
        <v>0</v>
      </c>
      <c r="K106" s="360">
        <v>0</v>
      </c>
    </row>
    <row r="107" spans="1:11" ht="14.4" customHeight="1" thickBot="1" x14ac:dyDescent="0.35">
      <c r="A107" s="373" t="s">
        <v>301</v>
      </c>
      <c r="B107" s="351">
        <v>0</v>
      </c>
      <c r="C107" s="351">
        <v>0.14699999999999999</v>
      </c>
      <c r="D107" s="352">
        <v>0.14699999999999999</v>
      </c>
      <c r="E107" s="361" t="s">
        <v>214</v>
      </c>
      <c r="F107" s="351">
        <v>0</v>
      </c>
      <c r="G107" s="352">
        <v>0</v>
      </c>
      <c r="H107" s="354">
        <v>0</v>
      </c>
      <c r="I107" s="351">
        <v>0</v>
      </c>
      <c r="J107" s="352">
        <v>0</v>
      </c>
      <c r="K107" s="355">
        <v>0</v>
      </c>
    </row>
    <row r="108" spans="1:11" ht="14.4" customHeight="1" thickBot="1" x14ac:dyDescent="0.35">
      <c r="A108" s="372" t="s">
        <v>302</v>
      </c>
      <c r="B108" s="356">
        <v>2.2260016179640001</v>
      </c>
      <c r="C108" s="356">
        <v>2.0602999999999998</v>
      </c>
      <c r="D108" s="357">
        <v>-0.16570161796399999</v>
      </c>
      <c r="E108" s="358">
        <v>0.92556087262999998</v>
      </c>
      <c r="F108" s="356">
        <v>2.0400074853030001</v>
      </c>
      <c r="G108" s="357">
        <v>0.51000187132499997</v>
      </c>
      <c r="H108" s="359">
        <v>0.21529999999999999</v>
      </c>
      <c r="I108" s="356">
        <v>0.52059999999999995</v>
      </c>
      <c r="J108" s="357">
        <v>1.0598128674E-2</v>
      </c>
      <c r="K108" s="360">
        <v>0.255195142052</v>
      </c>
    </row>
    <row r="109" spans="1:11" ht="14.4" customHeight="1" thickBot="1" x14ac:dyDescent="0.35">
      <c r="A109" s="373" t="s">
        <v>303</v>
      </c>
      <c r="B109" s="351">
        <v>2.2260016179640001</v>
      </c>
      <c r="C109" s="351">
        <v>2.0602999999999998</v>
      </c>
      <c r="D109" s="352">
        <v>-0.16570161796399999</v>
      </c>
      <c r="E109" s="353">
        <v>0.92556087262999998</v>
      </c>
      <c r="F109" s="351">
        <v>2.0400074853030001</v>
      </c>
      <c r="G109" s="352">
        <v>0.51000187132499997</v>
      </c>
      <c r="H109" s="354">
        <v>0.21529999999999999</v>
      </c>
      <c r="I109" s="351">
        <v>0.52059999999999995</v>
      </c>
      <c r="J109" s="352">
        <v>1.0598128674E-2</v>
      </c>
      <c r="K109" s="355">
        <v>0.255195142052</v>
      </c>
    </row>
    <row r="110" spans="1:11" ht="14.4" customHeight="1" thickBot="1" x14ac:dyDescent="0.35">
      <c r="A110" s="372" t="s">
        <v>304</v>
      </c>
      <c r="B110" s="356">
        <v>133.88959628331199</v>
      </c>
      <c r="C110" s="356">
        <v>112.13939000000001</v>
      </c>
      <c r="D110" s="357">
        <v>-21.750206283312</v>
      </c>
      <c r="E110" s="358">
        <v>0.83755118480299995</v>
      </c>
      <c r="F110" s="356">
        <v>150.56957828616299</v>
      </c>
      <c r="G110" s="357">
        <v>37.642394571540002</v>
      </c>
      <c r="H110" s="359">
        <v>8.5531400000000009</v>
      </c>
      <c r="I110" s="356">
        <v>32.628920000000001</v>
      </c>
      <c r="J110" s="357">
        <v>-5.0134745715399998</v>
      </c>
      <c r="K110" s="360">
        <v>0.21670327015099999</v>
      </c>
    </row>
    <row r="111" spans="1:11" ht="14.4" customHeight="1" thickBot="1" x14ac:dyDescent="0.35">
      <c r="A111" s="373" t="s">
        <v>305</v>
      </c>
      <c r="B111" s="351">
        <v>133.88959628331199</v>
      </c>
      <c r="C111" s="351">
        <v>112.13939000000001</v>
      </c>
      <c r="D111" s="352">
        <v>-21.750206283312</v>
      </c>
      <c r="E111" s="353">
        <v>0.83755118480299995</v>
      </c>
      <c r="F111" s="351">
        <v>150.56957828616299</v>
      </c>
      <c r="G111" s="352">
        <v>37.642394571540002</v>
      </c>
      <c r="H111" s="354">
        <v>8.5531400000000009</v>
      </c>
      <c r="I111" s="351">
        <v>32.628920000000001</v>
      </c>
      <c r="J111" s="352">
        <v>-5.0134745715399998</v>
      </c>
      <c r="K111" s="355">
        <v>0.21670327015099999</v>
      </c>
    </row>
    <row r="112" spans="1:11" ht="14.4" customHeight="1" thickBot="1" x14ac:dyDescent="0.35">
      <c r="A112" s="372" t="s">
        <v>306</v>
      </c>
      <c r="B112" s="356">
        <v>390.83448440926202</v>
      </c>
      <c r="C112" s="356">
        <v>416.86937</v>
      </c>
      <c r="D112" s="357">
        <v>26.034885590738</v>
      </c>
      <c r="E112" s="358">
        <v>1.066613583573</v>
      </c>
      <c r="F112" s="356">
        <v>388.30448811931899</v>
      </c>
      <c r="G112" s="357">
        <v>97.076122029828994</v>
      </c>
      <c r="H112" s="359">
        <v>33.716810000000002</v>
      </c>
      <c r="I112" s="356">
        <v>102.95263</v>
      </c>
      <c r="J112" s="357">
        <v>5.8765079701699996</v>
      </c>
      <c r="K112" s="360">
        <v>0.26513376267799998</v>
      </c>
    </row>
    <row r="113" spans="1:11" ht="14.4" customHeight="1" thickBot="1" x14ac:dyDescent="0.35">
      <c r="A113" s="373" t="s">
        <v>307</v>
      </c>
      <c r="B113" s="351">
        <v>390.83448440926202</v>
      </c>
      <c r="C113" s="351">
        <v>416.86937</v>
      </c>
      <c r="D113" s="352">
        <v>26.034885590738</v>
      </c>
      <c r="E113" s="353">
        <v>1.066613583573</v>
      </c>
      <c r="F113" s="351">
        <v>388.30448811931899</v>
      </c>
      <c r="G113" s="352">
        <v>97.076122029828994</v>
      </c>
      <c r="H113" s="354">
        <v>33.716810000000002</v>
      </c>
      <c r="I113" s="351">
        <v>102.95263</v>
      </c>
      <c r="J113" s="352">
        <v>5.8765079701699996</v>
      </c>
      <c r="K113" s="355">
        <v>0.26513376267799998</v>
      </c>
    </row>
    <row r="114" spans="1:11" ht="14.4" customHeight="1" thickBot="1" x14ac:dyDescent="0.35">
      <c r="A114" s="377"/>
      <c r="B114" s="351">
        <v>-2495.2348698728501</v>
      </c>
      <c r="C114" s="351">
        <v>-1640.85952000001</v>
      </c>
      <c r="D114" s="352">
        <v>854.37534987284096</v>
      </c>
      <c r="E114" s="353">
        <v>0.65759722253399999</v>
      </c>
      <c r="F114" s="351">
        <v>-939.525369766925</v>
      </c>
      <c r="G114" s="352">
        <v>-234.88134244173099</v>
      </c>
      <c r="H114" s="354">
        <v>-176.257319999999</v>
      </c>
      <c r="I114" s="351">
        <v>-335.236860000001</v>
      </c>
      <c r="J114" s="352">
        <v>-100.35551755826999</v>
      </c>
      <c r="K114" s="355">
        <v>0.35681512259999998</v>
      </c>
    </row>
    <row r="115" spans="1:11" ht="14.4" customHeight="1" thickBot="1" x14ac:dyDescent="0.35">
      <c r="A115" s="378" t="s">
        <v>41</v>
      </c>
      <c r="B115" s="365">
        <v>-2495.2348698728501</v>
      </c>
      <c r="C115" s="365">
        <v>-1640.85952000001</v>
      </c>
      <c r="D115" s="366">
        <v>854.37534987284005</v>
      </c>
      <c r="E115" s="367">
        <v>-0.45825194280100001</v>
      </c>
      <c r="F115" s="365">
        <v>-939.525369766925</v>
      </c>
      <c r="G115" s="366">
        <v>-234.88134244173099</v>
      </c>
      <c r="H115" s="365">
        <v>-176.257319999999</v>
      </c>
      <c r="I115" s="365">
        <v>-335.236860000001</v>
      </c>
      <c r="J115" s="366">
        <v>-100.35551755826999</v>
      </c>
      <c r="K115" s="368">
        <v>0.35681512259999998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0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307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" thickBot="1" x14ac:dyDescent="0.35">
      <c r="A2" s="189" t="s">
        <v>202</v>
      </c>
      <c r="B2" s="190"/>
    </row>
    <row r="3" spans="1:19" x14ac:dyDescent="0.3">
      <c r="A3" s="319" t="s">
        <v>136</v>
      </c>
      <c r="B3" s="320"/>
      <c r="C3" s="321" t="s">
        <v>125</v>
      </c>
      <c r="D3" s="322"/>
      <c r="E3" s="322"/>
      <c r="F3" s="323"/>
      <c r="G3" s="324" t="s">
        <v>126</v>
      </c>
      <c r="H3" s="325"/>
      <c r="I3" s="325"/>
      <c r="J3" s="326"/>
      <c r="K3" s="327" t="s">
        <v>135</v>
      </c>
      <c r="L3" s="328"/>
      <c r="M3" s="328"/>
      <c r="N3" s="328"/>
      <c r="O3" s="329"/>
      <c r="P3" s="325" t="s">
        <v>177</v>
      </c>
      <c r="Q3" s="325"/>
      <c r="R3" s="325"/>
      <c r="S3" s="326"/>
    </row>
    <row r="4" spans="1:19" ht="15" thickBot="1" x14ac:dyDescent="0.35">
      <c r="A4" s="299">
        <v>2019</v>
      </c>
      <c r="B4" s="300"/>
      <c r="C4" s="301" t="s">
        <v>176</v>
      </c>
      <c r="D4" s="303" t="s">
        <v>81</v>
      </c>
      <c r="E4" s="303" t="s">
        <v>49</v>
      </c>
      <c r="F4" s="305" t="s">
        <v>42</v>
      </c>
      <c r="G4" s="293" t="s">
        <v>127</v>
      </c>
      <c r="H4" s="295" t="s">
        <v>131</v>
      </c>
      <c r="I4" s="295" t="s">
        <v>175</v>
      </c>
      <c r="J4" s="297" t="s">
        <v>128</v>
      </c>
      <c r="K4" s="316" t="s">
        <v>174</v>
      </c>
      <c r="L4" s="317"/>
      <c r="M4" s="317"/>
      <c r="N4" s="318"/>
      <c r="O4" s="305" t="s">
        <v>173</v>
      </c>
      <c r="P4" s="308" t="s">
        <v>172</v>
      </c>
      <c r="Q4" s="308" t="s">
        <v>138</v>
      </c>
      <c r="R4" s="310" t="s">
        <v>49</v>
      </c>
      <c r="S4" s="312" t="s">
        <v>137</v>
      </c>
    </row>
    <row r="5" spans="1:19" s="245" customFormat="1" ht="19.2" customHeight="1" x14ac:dyDescent="0.3">
      <c r="A5" s="314" t="s">
        <v>171</v>
      </c>
      <c r="B5" s="315"/>
      <c r="C5" s="302"/>
      <c r="D5" s="304"/>
      <c r="E5" s="304"/>
      <c r="F5" s="306"/>
      <c r="G5" s="294"/>
      <c r="H5" s="296"/>
      <c r="I5" s="296"/>
      <c r="J5" s="298"/>
      <c r="K5" s="248" t="s">
        <v>129</v>
      </c>
      <c r="L5" s="247" t="s">
        <v>130</v>
      </c>
      <c r="M5" s="247" t="s">
        <v>170</v>
      </c>
      <c r="N5" s="246" t="s">
        <v>2</v>
      </c>
      <c r="O5" s="306"/>
      <c r="P5" s="309"/>
      <c r="Q5" s="309"/>
      <c r="R5" s="311"/>
      <c r="S5" s="313"/>
    </row>
    <row r="6" spans="1:19" ht="15" thickBot="1" x14ac:dyDescent="0.35">
      <c r="A6" s="291" t="s">
        <v>124</v>
      </c>
      <c r="B6" s="292"/>
      <c r="C6" s="244">
        <f ca="1">SUM(Tabulka[01 uv_sk])/2</f>
        <v>5</v>
      </c>
      <c r="D6" s="242"/>
      <c r="E6" s="242"/>
      <c r="F6" s="241"/>
      <c r="G6" s="243">
        <f ca="1">SUM(Tabulka[05 h_vram])/2</f>
        <v>2400</v>
      </c>
      <c r="H6" s="242">
        <f ca="1">SUM(Tabulka[06 h_naduv])/2</f>
        <v>0</v>
      </c>
      <c r="I6" s="242">
        <f ca="1">SUM(Tabulka[07 h_nadzk])/2</f>
        <v>0</v>
      </c>
      <c r="J6" s="241">
        <f ca="1">SUM(Tabulka[08 h_oon])/2</f>
        <v>0</v>
      </c>
      <c r="K6" s="243">
        <f ca="1">SUM(Tabulka[09 m_kl])/2</f>
        <v>0</v>
      </c>
      <c r="L6" s="242">
        <f ca="1">SUM(Tabulka[10 m_gr])/2</f>
        <v>0</v>
      </c>
      <c r="M6" s="242">
        <f ca="1">SUM(Tabulka[11 m_jo])/2</f>
        <v>0</v>
      </c>
      <c r="N6" s="242">
        <f ca="1">SUM(Tabulka[12 m_oc])/2</f>
        <v>0</v>
      </c>
      <c r="O6" s="241">
        <f ca="1">SUM(Tabulka[13 m_sk])/2</f>
        <v>749241</v>
      </c>
      <c r="P6" s="240">
        <f ca="1">SUM(Tabulka[14_vzsk])/2</f>
        <v>3300</v>
      </c>
      <c r="Q6" s="240">
        <f ca="1">SUM(Tabulka[15_vzpl])/2</f>
        <v>1619.2659911026276</v>
      </c>
      <c r="R6" s="239">
        <f ca="1">IF(Q6=0,0,P6/Q6)</f>
        <v>2.0379604204204207</v>
      </c>
      <c r="S6" s="238">
        <f ca="1">Q6-P6</f>
        <v>-1680.7340088973724</v>
      </c>
    </row>
    <row r="7" spans="1:19" hidden="1" x14ac:dyDescent="0.3">
      <c r="A7" s="237" t="s">
        <v>169</v>
      </c>
      <c r="B7" s="236" t="s">
        <v>168</v>
      </c>
      <c r="C7" s="235" t="s">
        <v>167</v>
      </c>
      <c r="D7" s="234" t="s">
        <v>166</v>
      </c>
      <c r="E7" s="233" t="s">
        <v>165</v>
      </c>
      <c r="F7" s="232" t="s">
        <v>164</v>
      </c>
      <c r="G7" s="231" t="s">
        <v>163</v>
      </c>
      <c r="H7" s="229" t="s">
        <v>162</v>
      </c>
      <c r="I7" s="229" t="s">
        <v>161</v>
      </c>
      <c r="J7" s="228" t="s">
        <v>160</v>
      </c>
      <c r="K7" s="230" t="s">
        <v>159</v>
      </c>
      <c r="L7" s="229" t="s">
        <v>158</v>
      </c>
      <c r="M7" s="229" t="s">
        <v>157</v>
      </c>
      <c r="N7" s="228" t="s">
        <v>156</v>
      </c>
      <c r="O7" s="227" t="s">
        <v>155</v>
      </c>
      <c r="P7" s="226" t="s">
        <v>154</v>
      </c>
      <c r="Q7" s="225" t="s">
        <v>153</v>
      </c>
      <c r="R7" s="224" t="s">
        <v>152</v>
      </c>
      <c r="S7" s="223" t="s">
        <v>151</v>
      </c>
    </row>
    <row r="8" spans="1:19" x14ac:dyDescent="0.3">
      <c r="A8" s="220" t="s">
        <v>308</v>
      </c>
      <c r="B8" s="219"/>
      <c r="C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H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738498</v>
      </c>
      <c r="P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</v>
      </c>
      <c r="Q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1619.2659911026276</v>
      </c>
      <c r="R8" s="222">
        <f ca="1">IF(Tabulka[[#This Row],[15_vzpl]]=0,"",Tabulka[[#This Row],[14_vzsk]]/Tabulka[[#This Row],[15_vzpl]])</f>
        <v>2.0379604204204207</v>
      </c>
      <c r="S8" s="221">
        <f ca="1">IF(Tabulka[[#This Row],[15_vzpl]]-Tabulka[[#This Row],[14_vzsk]]=0,"",Tabulka[[#This Row],[15_vzpl]]-Tabulka[[#This Row],[14_vzsk]])</f>
        <v>-1680.7340088973724</v>
      </c>
    </row>
    <row r="9" spans="1:19" x14ac:dyDescent="0.3">
      <c r="A9" s="220">
        <v>523</v>
      </c>
      <c r="B9" s="219" t="s">
        <v>314</v>
      </c>
      <c r="C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H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738498</v>
      </c>
      <c r="P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2" t="str">
        <f ca="1">IF(Tabulka[[#This Row],[15_vzpl]]=0,"",Tabulka[[#This Row],[14_vzsk]]/Tabulka[[#This Row],[15_vzpl]])</f>
        <v/>
      </c>
      <c r="S9" s="221" t="str">
        <f ca="1">IF(Tabulka[[#This Row],[15_vzpl]]-Tabulka[[#This Row],[14_vzsk]]=0,"",Tabulka[[#This Row],[15_vzpl]]-Tabulka[[#This Row],[14_vzsk]])</f>
        <v/>
      </c>
    </row>
    <row r="10" spans="1:19" x14ac:dyDescent="0.3">
      <c r="A10" s="220">
        <v>526</v>
      </c>
      <c r="B10" s="219" t="s">
        <v>315</v>
      </c>
      <c r="C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</v>
      </c>
      <c r="Q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1619.2659911026276</v>
      </c>
      <c r="R10" s="222">
        <f ca="1">IF(Tabulka[[#This Row],[15_vzpl]]=0,"",Tabulka[[#This Row],[14_vzsk]]/Tabulka[[#This Row],[15_vzpl]])</f>
        <v>2.0379604204204207</v>
      </c>
      <c r="S10" s="221">
        <f ca="1">IF(Tabulka[[#This Row],[15_vzpl]]-Tabulka[[#This Row],[14_vzsk]]=0,"",Tabulka[[#This Row],[15_vzpl]]-Tabulka[[#This Row],[14_vzsk]])</f>
        <v>-1680.7340088973724</v>
      </c>
    </row>
    <row r="11" spans="1:19" x14ac:dyDescent="0.3">
      <c r="A11" s="220" t="s">
        <v>309</v>
      </c>
      <c r="B11" s="219"/>
      <c r="C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10743</v>
      </c>
      <c r="P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2" t="str">
        <f ca="1">IF(Tabulka[[#This Row],[15_vzpl]]=0,"",Tabulka[[#This Row],[14_vzsk]]/Tabulka[[#This Row],[15_vzpl]])</f>
        <v/>
      </c>
      <c r="S11" s="221" t="str">
        <f ca="1">IF(Tabulka[[#This Row],[15_vzpl]]-Tabulka[[#This Row],[14_vzsk]]=0,"",Tabulka[[#This Row],[15_vzpl]]-Tabulka[[#This Row],[14_vzsk]])</f>
        <v/>
      </c>
    </row>
    <row r="12" spans="1:19" x14ac:dyDescent="0.3">
      <c r="A12" s="220">
        <v>30</v>
      </c>
      <c r="B12" s="219" t="s">
        <v>316</v>
      </c>
      <c r="C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10743</v>
      </c>
      <c r="P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2" t="str">
        <f ca="1">IF(Tabulka[[#This Row],[15_vzpl]]=0,"",Tabulka[[#This Row],[14_vzsk]]/Tabulka[[#This Row],[15_vzpl]])</f>
        <v/>
      </c>
      <c r="S12" s="221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179</v>
      </c>
    </row>
    <row r="14" spans="1:19" x14ac:dyDescent="0.3">
      <c r="A14" s="85" t="s">
        <v>108</v>
      </c>
    </row>
    <row r="15" spans="1:19" x14ac:dyDescent="0.3">
      <c r="A15" s="86" t="s">
        <v>150</v>
      </c>
    </row>
    <row r="16" spans="1:19" x14ac:dyDescent="0.3">
      <c r="A16" s="212" t="s">
        <v>149</v>
      </c>
    </row>
    <row r="17" spans="1:1" x14ac:dyDescent="0.3">
      <c r="A17" s="192" t="s">
        <v>134</v>
      </c>
    </row>
    <row r="18" spans="1:1" x14ac:dyDescent="0.3">
      <c r="A18" s="194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4" priority="3" operator="lessThan">
      <formula>0</formula>
    </cfRule>
  </conditionalFormatting>
  <conditionalFormatting sqref="R6:R12">
    <cfRule type="cellIs" dxfId="3" priority="4" operator="greaterThan">
      <formula>1</formula>
    </cfRule>
  </conditionalFormatting>
  <conditionalFormatting sqref="A8:S12">
    <cfRule type="expression" dxfId="2" priority="2">
      <formula>$B8=""</formula>
    </cfRule>
  </conditionalFormatting>
  <conditionalFormatting sqref="P8:S1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313</v>
      </c>
    </row>
    <row r="2" spans="1:19" x14ac:dyDescent="0.3">
      <c r="A2" s="189" t="s">
        <v>202</v>
      </c>
    </row>
    <row r="3" spans="1:19" x14ac:dyDescent="0.3">
      <c r="A3" s="258" t="s">
        <v>111</v>
      </c>
      <c r="B3" s="257">
        <v>2019</v>
      </c>
      <c r="C3" t="s">
        <v>178</v>
      </c>
      <c r="D3" t="s">
        <v>169</v>
      </c>
      <c r="E3" t="s">
        <v>167</v>
      </c>
      <c r="F3" t="s">
        <v>166</v>
      </c>
      <c r="G3" t="s">
        <v>165</v>
      </c>
      <c r="H3" t="s">
        <v>164</v>
      </c>
      <c r="I3" t="s">
        <v>163</v>
      </c>
      <c r="J3" t="s">
        <v>162</v>
      </c>
      <c r="K3" t="s">
        <v>161</v>
      </c>
      <c r="L3" t="s">
        <v>160</v>
      </c>
      <c r="M3" t="s">
        <v>159</v>
      </c>
      <c r="N3" t="s">
        <v>158</v>
      </c>
      <c r="O3" t="s">
        <v>157</v>
      </c>
      <c r="P3" t="s">
        <v>156</v>
      </c>
      <c r="Q3" t="s">
        <v>155</v>
      </c>
      <c r="R3" t="s">
        <v>154</v>
      </c>
      <c r="S3" t="s">
        <v>153</v>
      </c>
    </row>
    <row r="4" spans="1:19" x14ac:dyDescent="0.3">
      <c r="A4" s="256" t="s">
        <v>112</v>
      </c>
      <c r="B4" s="255">
        <v>1</v>
      </c>
      <c r="C4" s="250">
        <v>1</v>
      </c>
      <c r="D4" s="250" t="s">
        <v>308</v>
      </c>
      <c r="E4" s="249">
        <v>5</v>
      </c>
      <c r="F4" s="249"/>
      <c r="G4" s="249"/>
      <c r="H4" s="249"/>
      <c r="I4" s="249">
        <v>896</v>
      </c>
      <c r="J4" s="249"/>
      <c r="K4" s="249"/>
      <c r="L4" s="249"/>
      <c r="M4" s="249"/>
      <c r="N4" s="249"/>
      <c r="O4" s="249"/>
      <c r="P4" s="249"/>
      <c r="Q4" s="249">
        <v>249666</v>
      </c>
      <c r="R4" s="249">
        <v>1500</v>
      </c>
      <c r="S4" s="249">
        <v>539.75533036754257</v>
      </c>
    </row>
    <row r="5" spans="1:19" x14ac:dyDescent="0.3">
      <c r="A5" s="254" t="s">
        <v>113</v>
      </c>
      <c r="B5" s="253">
        <v>2</v>
      </c>
      <c r="C5">
        <v>1</v>
      </c>
      <c r="D5">
        <v>523</v>
      </c>
      <c r="E5">
        <v>5</v>
      </c>
      <c r="I5">
        <v>896</v>
      </c>
      <c r="Q5">
        <v>249666</v>
      </c>
    </row>
    <row r="6" spans="1:19" x14ac:dyDescent="0.3">
      <c r="A6" s="256" t="s">
        <v>114</v>
      </c>
      <c r="B6" s="255">
        <v>3</v>
      </c>
      <c r="C6">
        <v>1</v>
      </c>
      <c r="D6">
        <v>526</v>
      </c>
      <c r="R6">
        <v>1500</v>
      </c>
      <c r="S6">
        <v>539.75533036754257</v>
      </c>
    </row>
    <row r="7" spans="1:19" x14ac:dyDescent="0.3">
      <c r="A7" s="254" t="s">
        <v>115</v>
      </c>
      <c r="B7" s="253">
        <v>4</v>
      </c>
      <c r="C7">
        <v>1</v>
      </c>
      <c r="D7" t="s">
        <v>309</v>
      </c>
      <c r="Q7">
        <v>3615</v>
      </c>
    </row>
    <row r="8" spans="1:19" x14ac:dyDescent="0.3">
      <c r="A8" s="256" t="s">
        <v>116</v>
      </c>
      <c r="B8" s="255">
        <v>5</v>
      </c>
      <c r="C8">
        <v>1</v>
      </c>
      <c r="D8">
        <v>30</v>
      </c>
      <c r="Q8">
        <v>3615</v>
      </c>
    </row>
    <row r="9" spans="1:19" x14ac:dyDescent="0.3">
      <c r="A9" s="254" t="s">
        <v>117</v>
      </c>
      <c r="B9" s="253">
        <v>6</v>
      </c>
      <c r="C9" t="s">
        <v>310</v>
      </c>
      <c r="E9">
        <v>5</v>
      </c>
      <c r="I9">
        <v>896</v>
      </c>
      <c r="Q9">
        <v>253281</v>
      </c>
      <c r="R9">
        <v>1500</v>
      </c>
      <c r="S9">
        <v>539.75533036754257</v>
      </c>
    </row>
    <row r="10" spans="1:19" x14ac:dyDescent="0.3">
      <c r="A10" s="256" t="s">
        <v>118</v>
      </c>
      <c r="B10" s="255">
        <v>7</v>
      </c>
      <c r="C10">
        <v>2</v>
      </c>
      <c r="D10" t="s">
        <v>308</v>
      </c>
      <c r="E10">
        <v>5</v>
      </c>
      <c r="I10">
        <v>752</v>
      </c>
      <c r="Q10">
        <v>243725</v>
      </c>
      <c r="R10">
        <v>1800</v>
      </c>
      <c r="S10">
        <v>539.75533036754257</v>
      </c>
    </row>
    <row r="11" spans="1:19" x14ac:dyDescent="0.3">
      <c r="A11" s="254" t="s">
        <v>119</v>
      </c>
      <c r="B11" s="253">
        <v>8</v>
      </c>
      <c r="C11">
        <v>2</v>
      </c>
      <c r="D11">
        <v>523</v>
      </c>
      <c r="E11">
        <v>5</v>
      </c>
      <c r="I11">
        <v>752</v>
      </c>
      <c r="Q11">
        <v>243725</v>
      </c>
    </row>
    <row r="12" spans="1:19" x14ac:dyDescent="0.3">
      <c r="A12" s="256" t="s">
        <v>120</v>
      </c>
      <c r="B12" s="255">
        <v>9</v>
      </c>
      <c r="C12">
        <v>2</v>
      </c>
      <c r="D12">
        <v>526</v>
      </c>
      <c r="R12">
        <v>1800</v>
      </c>
      <c r="S12">
        <v>539.75533036754257</v>
      </c>
    </row>
    <row r="13" spans="1:19" x14ac:dyDescent="0.3">
      <c r="A13" s="254" t="s">
        <v>121</v>
      </c>
      <c r="B13" s="253">
        <v>10</v>
      </c>
      <c r="C13">
        <v>2</v>
      </c>
      <c r="D13" t="s">
        <v>309</v>
      </c>
      <c r="Q13">
        <v>3696</v>
      </c>
    </row>
    <row r="14" spans="1:19" x14ac:dyDescent="0.3">
      <c r="A14" s="256" t="s">
        <v>122</v>
      </c>
      <c r="B14" s="255">
        <v>11</v>
      </c>
      <c r="C14">
        <v>2</v>
      </c>
      <c r="D14">
        <v>30</v>
      </c>
      <c r="Q14">
        <v>3696</v>
      </c>
    </row>
    <row r="15" spans="1:19" x14ac:dyDescent="0.3">
      <c r="A15" s="254" t="s">
        <v>123</v>
      </c>
      <c r="B15" s="253">
        <v>12</v>
      </c>
      <c r="C15" t="s">
        <v>311</v>
      </c>
      <c r="E15">
        <v>5</v>
      </c>
      <c r="I15">
        <v>752</v>
      </c>
      <c r="Q15">
        <v>247421</v>
      </c>
      <c r="R15">
        <v>1800</v>
      </c>
      <c r="S15">
        <v>539.75533036754257</v>
      </c>
    </row>
    <row r="16" spans="1:19" x14ac:dyDescent="0.3">
      <c r="A16" s="252" t="s">
        <v>111</v>
      </c>
      <c r="B16" s="251">
        <v>2019</v>
      </c>
      <c r="C16">
        <v>3</v>
      </c>
      <c r="D16" t="s">
        <v>308</v>
      </c>
      <c r="E16">
        <v>5</v>
      </c>
      <c r="I16">
        <v>752</v>
      </c>
      <c r="Q16">
        <v>245107</v>
      </c>
      <c r="S16">
        <v>539.75533036754257</v>
      </c>
    </row>
    <row r="17" spans="3:19" x14ac:dyDescent="0.3">
      <c r="C17">
        <v>3</v>
      </c>
      <c r="D17">
        <v>523</v>
      </c>
      <c r="E17">
        <v>5</v>
      </c>
      <c r="I17">
        <v>752</v>
      </c>
      <c r="Q17">
        <v>245107</v>
      </c>
    </row>
    <row r="18" spans="3:19" x14ac:dyDescent="0.3">
      <c r="C18">
        <v>3</v>
      </c>
      <c r="D18">
        <v>526</v>
      </c>
      <c r="S18">
        <v>539.75533036754257</v>
      </c>
    </row>
    <row r="19" spans="3:19" x14ac:dyDescent="0.3">
      <c r="C19">
        <v>3</v>
      </c>
      <c r="D19" t="s">
        <v>309</v>
      </c>
      <c r="Q19">
        <v>3432</v>
      </c>
    </row>
    <row r="20" spans="3:19" x14ac:dyDescent="0.3">
      <c r="C20">
        <v>3</v>
      </c>
      <c r="D20">
        <v>30</v>
      </c>
      <c r="Q20">
        <v>3432</v>
      </c>
    </row>
    <row r="21" spans="3:19" x14ac:dyDescent="0.3">
      <c r="C21" t="s">
        <v>312</v>
      </c>
      <c r="E21">
        <v>5</v>
      </c>
      <c r="I21">
        <v>752</v>
      </c>
      <c r="Q21">
        <v>248539</v>
      </c>
      <c r="S21">
        <v>539.75533036754257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0" t="s">
        <v>319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" customHeight="1" thickBot="1" x14ac:dyDescent="0.35">
      <c r="A2" s="189" t="s">
        <v>202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211993.33</v>
      </c>
      <c r="C3" s="179">
        <f t="shared" ref="C3:Z3" si="0">SUBTOTAL(9,C6:C1048576)</f>
        <v>4</v>
      </c>
      <c r="D3" s="179"/>
      <c r="E3" s="179">
        <f>SUBTOTAL(9,E6:E1048576)/4</f>
        <v>100405.99</v>
      </c>
      <c r="F3" s="179"/>
      <c r="G3" s="179">
        <f t="shared" si="0"/>
        <v>4</v>
      </c>
      <c r="H3" s="179">
        <f>SUBTOTAL(9,H6:H1048576)/4</f>
        <v>333952</v>
      </c>
      <c r="I3" s="182">
        <f>IF(B3&lt;&gt;0,H3/B3,"")</f>
        <v>1.5752948453614084</v>
      </c>
      <c r="J3" s="180">
        <f>IF(E3&lt;&gt;0,H3/E3,"")</f>
        <v>3.3260167047802622</v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2018</v>
      </c>
      <c r="F5" s="381"/>
      <c r="G5" s="381"/>
      <c r="H5" s="381">
        <v>2019</v>
      </c>
      <c r="I5" s="382" t="s">
        <v>144</v>
      </c>
      <c r="J5" s="383" t="s">
        <v>1</v>
      </c>
      <c r="K5" s="380">
        <v>2015</v>
      </c>
      <c r="L5" s="381"/>
      <c r="M5" s="381"/>
      <c r="N5" s="381">
        <v>2018</v>
      </c>
      <c r="O5" s="381"/>
      <c r="P5" s="381"/>
      <c r="Q5" s="381">
        <v>2019</v>
      </c>
      <c r="R5" s="382" t="s">
        <v>144</v>
      </c>
      <c r="S5" s="383" t="s">
        <v>1</v>
      </c>
      <c r="T5" s="380">
        <v>2015</v>
      </c>
      <c r="U5" s="381"/>
      <c r="V5" s="381"/>
      <c r="W5" s="381">
        <v>2018</v>
      </c>
      <c r="X5" s="381"/>
      <c r="Y5" s="381"/>
      <c r="Z5" s="381">
        <v>2019</v>
      </c>
      <c r="AA5" s="382" t="s">
        <v>144</v>
      </c>
      <c r="AB5" s="383" t="s">
        <v>1</v>
      </c>
    </row>
    <row r="6" spans="1:28" ht="14.4" customHeight="1" x14ac:dyDescent="0.3">
      <c r="A6" s="384" t="s">
        <v>317</v>
      </c>
      <c r="B6" s="385">
        <v>211993.33</v>
      </c>
      <c r="C6" s="386">
        <v>1</v>
      </c>
      <c r="D6" s="386">
        <v>2.1113613839174334</v>
      </c>
      <c r="E6" s="385">
        <v>100405.99</v>
      </c>
      <c r="F6" s="386">
        <v>0.47362806178854783</v>
      </c>
      <c r="G6" s="386">
        <v>1</v>
      </c>
      <c r="H6" s="385">
        <v>333952</v>
      </c>
      <c r="I6" s="386">
        <v>1.5752948453614084</v>
      </c>
      <c r="J6" s="386">
        <v>3.3260167047802622</v>
      </c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318</v>
      </c>
      <c r="B7" s="388">
        <v>211993.33</v>
      </c>
      <c r="C7" s="389">
        <v>1</v>
      </c>
      <c r="D7" s="389">
        <v>2.1113613839174334</v>
      </c>
      <c r="E7" s="388">
        <v>100405.99</v>
      </c>
      <c r="F7" s="389">
        <v>0.47362806178854783</v>
      </c>
      <c r="G7" s="389">
        <v>1</v>
      </c>
      <c r="H7" s="388">
        <v>333952</v>
      </c>
      <c r="I7" s="389">
        <v>1.5752948453614084</v>
      </c>
      <c r="J7" s="389">
        <v>3.3260167047802622</v>
      </c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320</v>
      </c>
      <c r="B9" s="385">
        <v>211993.33</v>
      </c>
      <c r="C9" s="386">
        <v>1</v>
      </c>
      <c r="D9" s="386">
        <v>2.1113613839174334</v>
      </c>
      <c r="E9" s="385">
        <v>100405.99</v>
      </c>
      <c r="F9" s="386">
        <v>0.47362806178854783</v>
      </c>
      <c r="G9" s="386">
        <v>1</v>
      </c>
      <c r="H9" s="385">
        <v>333952</v>
      </c>
      <c r="I9" s="386">
        <v>1.5752948453614084</v>
      </c>
      <c r="J9" s="387">
        <v>3.3260167047802622</v>
      </c>
    </row>
    <row r="10" spans="1:28" ht="14.4" customHeight="1" thickBot="1" x14ac:dyDescent="0.35">
      <c r="A10" s="391" t="s">
        <v>321</v>
      </c>
      <c r="B10" s="388">
        <v>211993.33</v>
      </c>
      <c r="C10" s="389">
        <v>1</v>
      </c>
      <c r="D10" s="389">
        <v>2.1113613839174334</v>
      </c>
      <c r="E10" s="388">
        <v>100405.99</v>
      </c>
      <c r="F10" s="389">
        <v>0.47362806178854783</v>
      </c>
      <c r="G10" s="389">
        <v>1</v>
      </c>
      <c r="H10" s="388">
        <v>333952</v>
      </c>
      <c r="I10" s="389">
        <v>1.5752948453614084</v>
      </c>
      <c r="J10" s="390">
        <v>3.3260167047802622</v>
      </c>
    </row>
    <row r="11" spans="1:28" ht="14.4" customHeight="1" x14ac:dyDescent="0.3">
      <c r="A11" s="392" t="s">
        <v>179</v>
      </c>
    </row>
    <row r="12" spans="1:28" ht="14.4" customHeight="1" x14ac:dyDescent="0.3">
      <c r="A12" s="393" t="s">
        <v>322</v>
      </c>
    </row>
    <row r="13" spans="1:28" ht="14.4" customHeight="1" x14ac:dyDescent="0.3">
      <c r="A13" s="392" t="s">
        <v>323</v>
      </c>
    </row>
    <row r="14" spans="1:28" ht="14.4" customHeight="1" x14ac:dyDescent="0.3">
      <c r="A14" s="392" t="s">
        <v>324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0" t="s">
        <v>325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89" t="s">
        <v>202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09" t="s">
        <v>96</v>
      </c>
      <c r="B3" s="197">
        <f t="shared" ref="B3:G3" si="0">SUBTOTAL(9,B6:B1048576)</f>
        <v>469</v>
      </c>
      <c r="C3" s="198">
        <f t="shared" si="0"/>
        <v>209</v>
      </c>
      <c r="D3" s="208">
        <f t="shared" si="0"/>
        <v>709</v>
      </c>
      <c r="E3" s="181">
        <f t="shared" si="0"/>
        <v>211993.33</v>
      </c>
      <c r="F3" s="179">
        <f t="shared" si="0"/>
        <v>100405.99</v>
      </c>
      <c r="G3" s="199">
        <f t="shared" si="0"/>
        <v>333952</v>
      </c>
    </row>
    <row r="4" spans="1:7" ht="14.4" customHeight="1" x14ac:dyDescent="0.3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" customHeight="1" thickBot="1" x14ac:dyDescent="0.35">
      <c r="A5" s="379"/>
      <c r="B5" s="380">
        <v>2015</v>
      </c>
      <c r="C5" s="381">
        <v>2018</v>
      </c>
      <c r="D5" s="394">
        <v>2019</v>
      </c>
      <c r="E5" s="380">
        <v>2015</v>
      </c>
      <c r="F5" s="381">
        <v>2018</v>
      </c>
      <c r="G5" s="394">
        <v>2019</v>
      </c>
    </row>
    <row r="6" spans="1:7" ht="14.4" customHeight="1" thickBot="1" x14ac:dyDescent="0.35">
      <c r="A6" s="398" t="s">
        <v>321</v>
      </c>
      <c r="B6" s="395">
        <v>469</v>
      </c>
      <c r="C6" s="395">
        <v>209</v>
      </c>
      <c r="D6" s="395">
        <v>709</v>
      </c>
      <c r="E6" s="396">
        <v>211993.33</v>
      </c>
      <c r="F6" s="396">
        <v>100405.99</v>
      </c>
      <c r="G6" s="397">
        <v>333952</v>
      </c>
    </row>
    <row r="7" spans="1:7" ht="14.4" customHeight="1" x14ac:dyDescent="0.3">
      <c r="A7" s="392" t="s">
        <v>179</v>
      </c>
    </row>
    <row r="8" spans="1:7" ht="14.4" customHeight="1" x14ac:dyDescent="0.3">
      <c r="A8" s="393" t="s">
        <v>322</v>
      </c>
    </row>
    <row r="9" spans="1:7" ht="14.4" customHeight="1" x14ac:dyDescent="0.3">
      <c r="A9" s="392" t="s">
        <v>323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3" t="s">
        <v>343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" customHeight="1" thickBot="1" x14ac:dyDescent="0.35">
      <c r="A2" s="189" t="s">
        <v>202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469</v>
      </c>
      <c r="H3" s="75">
        <f t="shared" si="0"/>
        <v>211993.33</v>
      </c>
      <c r="I3" s="57"/>
      <c r="J3" s="57"/>
      <c r="K3" s="75">
        <f t="shared" si="0"/>
        <v>209</v>
      </c>
      <c r="L3" s="75">
        <f t="shared" si="0"/>
        <v>100405.99</v>
      </c>
      <c r="M3" s="57"/>
      <c r="N3" s="57"/>
      <c r="O3" s="75">
        <f t="shared" si="0"/>
        <v>709</v>
      </c>
      <c r="P3" s="75">
        <f t="shared" si="0"/>
        <v>333952</v>
      </c>
      <c r="Q3" s="58">
        <f>IF(L3=0,0,P3/L3)</f>
        <v>3.3260167047802622</v>
      </c>
      <c r="R3" s="76">
        <f>IF(O3=0,0,P3/O3)</f>
        <v>471.01833568406204</v>
      </c>
    </row>
    <row r="4" spans="1:18" ht="14.4" customHeight="1" x14ac:dyDescent="0.3">
      <c r="A4" s="338" t="s">
        <v>145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2015</v>
      </c>
      <c r="H4" s="343"/>
      <c r="I4" s="73"/>
      <c r="J4" s="73"/>
      <c r="K4" s="342">
        <v>2018</v>
      </c>
      <c r="L4" s="343"/>
      <c r="M4" s="73"/>
      <c r="N4" s="73"/>
      <c r="O4" s="342">
        <v>2019</v>
      </c>
      <c r="P4" s="343"/>
      <c r="Q4" s="344" t="s">
        <v>1</v>
      </c>
      <c r="R4" s="339" t="s">
        <v>72</v>
      </c>
    </row>
    <row r="5" spans="1:18" ht="14.4" customHeight="1" thickBot="1" x14ac:dyDescent="0.35">
      <c r="A5" s="399"/>
      <c r="B5" s="399"/>
      <c r="C5" s="400"/>
      <c r="D5" s="401"/>
      <c r="E5" s="402"/>
      <c r="F5" s="403"/>
      <c r="G5" s="404" t="s">
        <v>46</v>
      </c>
      <c r="H5" s="405" t="s">
        <v>3</v>
      </c>
      <c r="I5" s="406"/>
      <c r="J5" s="406"/>
      <c r="K5" s="404" t="s">
        <v>46</v>
      </c>
      <c r="L5" s="405" t="s">
        <v>3</v>
      </c>
      <c r="M5" s="406"/>
      <c r="N5" s="406"/>
      <c r="O5" s="404" t="s">
        <v>46</v>
      </c>
      <c r="P5" s="405" t="s">
        <v>3</v>
      </c>
      <c r="Q5" s="407"/>
      <c r="R5" s="408"/>
    </row>
    <row r="6" spans="1:18" ht="14.4" customHeight="1" x14ac:dyDescent="0.3">
      <c r="A6" s="409" t="s">
        <v>326</v>
      </c>
      <c r="B6" s="410" t="s">
        <v>327</v>
      </c>
      <c r="C6" s="410" t="s">
        <v>320</v>
      </c>
      <c r="D6" s="410" t="s">
        <v>328</v>
      </c>
      <c r="E6" s="410" t="s">
        <v>329</v>
      </c>
      <c r="F6" s="410" t="s">
        <v>330</v>
      </c>
      <c r="G6" s="411">
        <v>5</v>
      </c>
      <c r="H6" s="411">
        <v>705</v>
      </c>
      <c r="I6" s="410"/>
      <c r="J6" s="410">
        <v>141</v>
      </c>
      <c r="K6" s="411"/>
      <c r="L6" s="411"/>
      <c r="M6" s="410"/>
      <c r="N6" s="410"/>
      <c r="O6" s="411">
        <v>1</v>
      </c>
      <c r="P6" s="411">
        <v>143</v>
      </c>
      <c r="Q6" s="412"/>
      <c r="R6" s="413">
        <v>143</v>
      </c>
    </row>
    <row r="7" spans="1:18" ht="14.4" customHeight="1" x14ac:dyDescent="0.3">
      <c r="A7" s="414" t="s">
        <v>326</v>
      </c>
      <c r="B7" s="415" t="s">
        <v>327</v>
      </c>
      <c r="C7" s="415" t="s">
        <v>320</v>
      </c>
      <c r="D7" s="415" t="s">
        <v>328</v>
      </c>
      <c r="E7" s="415" t="s">
        <v>331</v>
      </c>
      <c r="F7" s="415" t="s">
        <v>332</v>
      </c>
      <c r="G7" s="416">
        <v>66</v>
      </c>
      <c r="H7" s="416">
        <v>18414</v>
      </c>
      <c r="I7" s="415">
        <v>3.1858131487889274</v>
      </c>
      <c r="J7" s="415">
        <v>279</v>
      </c>
      <c r="K7" s="416">
        <v>20</v>
      </c>
      <c r="L7" s="416">
        <v>5780</v>
      </c>
      <c r="M7" s="415">
        <v>1</v>
      </c>
      <c r="N7" s="415">
        <v>289</v>
      </c>
      <c r="O7" s="416">
        <v>68</v>
      </c>
      <c r="P7" s="416">
        <v>19856</v>
      </c>
      <c r="Q7" s="417">
        <v>3.4352941176470586</v>
      </c>
      <c r="R7" s="418">
        <v>292</v>
      </c>
    </row>
    <row r="8" spans="1:18" ht="14.4" customHeight="1" x14ac:dyDescent="0.3">
      <c r="A8" s="414" t="s">
        <v>326</v>
      </c>
      <c r="B8" s="415" t="s">
        <v>327</v>
      </c>
      <c r="C8" s="415" t="s">
        <v>320</v>
      </c>
      <c r="D8" s="415" t="s">
        <v>328</v>
      </c>
      <c r="E8" s="415" t="s">
        <v>333</v>
      </c>
      <c r="F8" s="415" t="s">
        <v>334</v>
      </c>
      <c r="G8" s="416">
        <v>233</v>
      </c>
      <c r="H8" s="416">
        <v>129082</v>
      </c>
      <c r="I8" s="415">
        <v>1.8029471331796914</v>
      </c>
      <c r="J8" s="415">
        <v>554</v>
      </c>
      <c r="K8" s="416">
        <v>129</v>
      </c>
      <c r="L8" s="416">
        <v>71595</v>
      </c>
      <c r="M8" s="415">
        <v>1</v>
      </c>
      <c r="N8" s="415">
        <v>555</v>
      </c>
      <c r="O8" s="416">
        <v>428</v>
      </c>
      <c r="P8" s="416">
        <v>238824</v>
      </c>
      <c r="Q8" s="417">
        <v>3.3357636706473914</v>
      </c>
      <c r="R8" s="418">
        <v>558</v>
      </c>
    </row>
    <row r="9" spans="1:18" ht="14.4" customHeight="1" x14ac:dyDescent="0.3">
      <c r="A9" s="414" t="s">
        <v>326</v>
      </c>
      <c r="B9" s="415" t="s">
        <v>327</v>
      </c>
      <c r="C9" s="415" t="s">
        <v>320</v>
      </c>
      <c r="D9" s="415" t="s">
        <v>328</v>
      </c>
      <c r="E9" s="415" t="s">
        <v>335</v>
      </c>
      <c r="F9" s="415" t="s">
        <v>336</v>
      </c>
      <c r="G9" s="416">
        <v>16</v>
      </c>
      <c r="H9" s="416">
        <v>533.33000000000004</v>
      </c>
      <c r="I9" s="415">
        <v>2.6667833391669586</v>
      </c>
      <c r="J9" s="415">
        <v>33.333125000000003</v>
      </c>
      <c r="K9" s="416">
        <v>6</v>
      </c>
      <c r="L9" s="416">
        <v>199.99</v>
      </c>
      <c r="M9" s="415">
        <v>1</v>
      </c>
      <c r="N9" s="415">
        <v>33.331666666666671</v>
      </c>
      <c r="O9" s="416">
        <v>36</v>
      </c>
      <c r="P9" s="416">
        <v>1200</v>
      </c>
      <c r="Q9" s="417">
        <v>6.0003000150007502</v>
      </c>
      <c r="R9" s="418">
        <v>33.333333333333336</v>
      </c>
    </row>
    <row r="10" spans="1:18" ht="14.4" customHeight="1" x14ac:dyDescent="0.3">
      <c r="A10" s="414" t="s">
        <v>326</v>
      </c>
      <c r="B10" s="415" t="s">
        <v>327</v>
      </c>
      <c r="C10" s="415" t="s">
        <v>320</v>
      </c>
      <c r="D10" s="415" t="s">
        <v>328</v>
      </c>
      <c r="E10" s="415" t="s">
        <v>337</v>
      </c>
      <c r="F10" s="415" t="s">
        <v>338</v>
      </c>
      <c r="G10" s="416">
        <v>14</v>
      </c>
      <c r="H10" s="416">
        <v>5222</v>
      </c>
      <c r="I10" s="415">
        <v>2.3270944741532977</v>
      </c>
      <c r="J10" s="415">
        <v>373</v>
      </c>
      <c r="K10" s="416">
        <v>6</v>
      </c>
      <c r="L10" s="416">
        <v>2244</v>
      </c>
      <c r="M10" s="415">
        <v>1</v>
      </c>
      <c r="N10" s="415">
        <v>374</v>
      </c>
      <c r="O10" s="416">
        <v>30</v>
      </c>
      <c r="P10" s="416">
        <v>11310</v>
      </c>
      <c r="Q10" s="417">
        <v>5.0401069518716577</v>
      </c>
      <c r="R10" s="418">
        <v>377</v>
      </c>
    </row>
    <row r="11" spans="1:18" ht="14.4" customHeight="1" x14ac:dyDescent="0.3">
      <c r="A11" s="414" t="s">
        <v>326</v>
      </c>
      <c r="B11" s="415" t="s">
        <v>327</v>
      </c>
      <c r="C11" s="415" t="s">
        <v>320</v>
      </c>
      <c r="D11" s="415" t="s">
        <v>328</v>
      </c>
      <c r="E11" s="415" t="s">
        <v>339</v>
      </c>
      <c r="F11" s="415" t="s">
        <v>340</v>
      </c>
      <c r="G11" s="416">
        <v>134</v>
      </c>
      <c r="H11" s="416">
        <v>57754</v>
      </c>
      <c r="I11" s="415">
        <v>2.8444641449960599</v>
      </c>
      <c r="J11" s="415">
        <v>431</v>
      </c>
      <c r="K11" s="416">
        <v>47</v>
      </c>
      <c r="L11" s="416">
        <v>20304</v>
      </c>
      <c r="M11" s="415">
        <v>1</v>
      </c>
      <c r="N11" s="415">
        <v>432</v>
      </c>
      <c r="O11" s="416">
        <v>141</v>
      </c>
      <c r="P11" s="416">
        <v>61194</v>
      </c>
      <c r="Q11" s="417">
        <v>3.0138888888888888</v>
      </c>
      <c r="R11" s="418">
        <v>434</v>
      </c>
    </row>
    <row r="12" spans="1:18" ht="14.4" customHeight="1" thickBot="1" x14ac:dyDescent="0.35">
      <c r="A12" s="419" t="s">
        <v>326</v>
      </c>
      <c r="B12" s="420" t="s">
        <v>327</v>
      </c>
      <c r="C12" s="420" t="s">
        <v>320</v>
      </c>
      <c r="D12" s="420" t="s">
        <v>328</v>
      </c>
      <c r="E12" s="420" t="s">
        <v>341</v>
      </c>
      <c r="F12" s="420" t="s">
        <v>342</v>
      </c>
      <c r="G12" s="421">
        <v>1</v>
      </c>
      <c r="H12" s="421">
        <v>283</v>
      </c>
      <c r="I12" s="420">
        <v>1</v>
      </c>
      <c r="J12" s="420">
        <v>283</v>
      </c>
      <c r="K12" s="421">
        <v>1</v>
      </c>
      <c r="L12" s="421">
        <v>283</v>
      </c>
      <c r="M12" s="420">
        <v>1</v>
      </c>
      <c r="N12" s="420">
        <v>283</v>
      </c>
      <c r="O12" s="421">
        <v>5</v>
      </c>
      <c r="P12" s="421">
        <v>1425</v>
      </c>
      <c r="Q12" s="422">
        <v>5.0353356890459366</v>
      </c>
      <c r="R12" s="423">
        <v>285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3" t="s">
        <v>344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189" t="s">
        <v>202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469</v>
      </c>
      <c r="I3" s="75">
        <f t="shared" si="0"/>
        <v>211993.33</v>
      </c>
      <c r="J3" s="57"/>
      <c r="K3" s="57"/>
      <c r="L3" s="75">
        <f t="shared" si="0"/>
        <v>209</v>
      </c>
      <c r="M3" s="75">
        <f t="shared" si="0"/>
        <v>100405.99</v>
      </c>
      <c r="N3" s="57"/>
      <c r="O3" s="57"/>
      <c r="P3" s="75">
        <f t="shared" si="0"/>
        <v>709</v>
      </c>
      <c r="Q3" s="75">
        <f t="shared" si="0"/>
        <v>333952</v>
      </c>
      <c r="R3" s="58">
        <f>IF(M3=0,0,Q3/M3)</f>
        <v>3.3260167047802622</v>
      </c>
      <c r="S3" s="76">
        <f>IF(P3=0,0,Q3/P3)</f>
        <v>471.01833568406204</v>
      </c>
    </row>
    <row r="4" spans="1:19" ht="14.4" customHeight="1" x14ac:dyDescent="0.3">
      <c r="A4" s="338" t="s">
        <v>145</v>
      </c>
      <c r="B4" s="338" t="s">
        <v>69</v>
      </c>
      <c r="C4" s="346" t="s">
        <v>0</v>
      </c>
      <c r="D4" s="204" t="s">
        <v>97</v>
      </c>
      <c r="E4" s="340" t="s">
        <v>70</v>
      </c>
      <c r="F4" s="345" t="s">
        <v>45</v>
      </c>
      <c r="G4" s="341" t="s">
        <v>44</v>
      </c>
      <c r="H4" s="342">
        <v>2015</v>
      </c>
      <c r="I4" s="343"/>
      <c r="J4" s="73"/>
      <c r="K4" s="73"/>
      <c r="L4" s="342">
        <v>2018</v>
      </c>
      <c r="M4" s="343"/>
      <c r="N4" s="73"/>
      <c r="O4" s="73"/>
      <c r="P4" s="342">
        <v>2019</v>
      </c>
      <c r="Q4" s="343"/>
      <c r="R4" s="344" t="s">
        <v>1</v>
      </c>
      <c r="S4" s="339" t="s">
        <v>72</v>
      </c>
    </row>
    <row r="5" spans="1:19" ht="14.4" customHeight="1" thickBot="1" x14ac:dyDescent="0.35">
      <c r="A5" s="399"/>
      <c r="B5" s="399"/>
      <c r="C5" s="400"/>
      <c r="D5" s="424"/>
      <c r="E5" s="401"/>
      <c r="F5" s="402"/>
      <c r="G5" s="403"/>
      <c r="H5" s="404" t="s">
        <v>46</v>
      </c>
      <c r="I5" s="405" t="s">
        <v>3</v>
      </c>
      <c r="J5" s="406"/>
      <c r="K5" s="406"/>
      <c r="L5" s="404" t="s">
        <v>46</v>
      </c>
      <c r="M5" s="405" t="s">
        <v>3</v>
      </c>
      <c r="N5" s="406"/>
      <c r="O5" s="406"/>
      <c r="P5" s="404" t="s">
        <v>46</v>
      </c>
      <c r="Q5" s="405" t="s">
        <v>3</v>
      </c>
      <c r="R5" s="407"/>
      <c r="S5" s="408"/>
    </row>
    <row r="6" spans="1:19" ht="14.4" customHeight="1" x14ac:dyDescent="0.3">
      <c r="A6" s="409" t="s">
        <v>326</v>
      </c>
      <c r="B6" s="410" t="s">
        <v>327</v>
      </c>
      <c r="C6" s="410" t="s">
        <v>320</v>
      </c>
      <c r="D6" s="410" t="s">
        <v>321</v>
      </c>
      <c r="E6" s="410" t="s">
        <v>328</v>
      </c>
      <c r="F6" s="410" t="s">
        <v>329</v>
      </c>
      <c r="G6" s="410" t="s">
        <v>330</v>
      </c>
      <c r="H6" s="411">
        <v>5</v>
      </c>
      <c r="I6" s="411">
        <v>705</v>
      </c>
      <c r="J6" s="410"/>
      <c r="K6" s="410">
        <v>141</v>
      </c>
      <c r="L6" s="411"/>
      <c r="M6" s="411"/>
      <c r="N6" s="410"/>
      <c r="O6" s="410"/>
      <c r="P6" s="411">
        <v>1</v>
      </c>
      <c r="Q6" s="411">
        <v>143</v>
      </c>
      <c r="R6" s="412"/>
      <c r="S6" s="413">
        <v>143</v>
      </c>
    </row>
    <row r="7" spans="1:19" ht="14.4" customHeight="1" x14ac:dyDescent="0.3">
      <c r="A7" s="414" t="s">
        <v>326</v>
      </c>
      <c r="B7" s="415" t="s">
        <v>327</v>
      </c>
      <c r="C7" s="415" t="s">
        <v>320</v>
      </c>
      <c r="D7" s="415" t="s">
        <v>321</v>
      </c>
      <c r="E7" s="415" t="s">
        <v>328</v>
      </c>
      <c r="F7" s="415" t="s">
        <v>331</v>
      </c>
      <c r="G7" s="415" t="s">
        <v>332</v>
      </c>
      <c r="H7" s="416">
        <v>66</v>
      </c>
      <c r="I7" s="416">
        <v>18414</v>
      </c>
      <c r="J7" s="415">
        <v>3.1858131487889274</v>
      </c>
      <c r="K7" s="415">
        <v>279</v>
      </c>
      <c r="L7" s="416">
        <v>20</v>
      </c>
      <c r="M7" s="416">
        <v>5780</v>
      </c>
      <c r="N7" s="415">
        <v>1</v>
      </c>
      <c r="O7" s="415">
        <v>289</v>
      </c>
      <c r="P7" s="416">
        <v>68</v>
      </c>
      <c r="Q7" s="416">
        <v>19856</v>
      </c>
      <c r="R7" s="417">
        <v>3.4352941176470586</v>
      </c>
      <c r="S7" s="418">
        <v>292</v>
      </c>
    </row>
    <row r="8" spans="1:19" ht="14.4" customHeight="1" x14ac:dyDescent="0.3">
      <c r="A8" s="414" t="s">
        <v>326</v>
      </c>
      <c r="B8" s="415" t="s">
        <v>327</v>
      </c>
      <c r="C8" s="415" t="s">
        <v>320</v>
      </c>
      <c r="D8" s="415" t="s">
        <v>321</v>
      </c>
      <c r="E8" s="415" t="s">
        <v>328</v>
      </c>
      <c r="F8" s="415" t="s">
        <v>333</v>
      </c>
      <c r="G8" s="415" t="s">
        <v>334</v>
      </c>
      <c r="H8" s="416">
        <v>233</v>
      </c>
      <c r="I8" s="416">
        <v>129082</v>
      </c>
      <c r="J8" s="415">
        <v>1.8029471331796914</v>
      </c>
      <c r="K8" s="415">
        <v>554</v>
      </c>
      <c r="L8" s="416">
        <v>129</v>
      </c>
      <c r="M8" s="416">
        <v>71595</v>
      </c>
      <c r="N8" s="415">
        <v>1</v>
      </c>
      <c r="O8" s="415">
        <v>555</v>
      </c>
      <c r="P8" s="416">
        <v>428</v>
      </c>
      <c r="Q8" s="416">
        <v>238824</v>
      </c>
      <c r="R8" s="417">
        <v>3.3357636706473914</v>
      </c>
      <c r="S8" s="418">
        <v>558</v>
      </c>
    </row>
    <row r="9" spans="1:19" ht="14.4" customHeight="1" x14ac:dyDescent="0.3">
      <c r="A9" s="414" t="s">
        <v>326</v>
      </c>
      <c r="B9" s="415" t="s">
        <v>327</v>
      </c>
      <c r="C9" s="415" t="s">
        <v>320</v>
      </c>
      <c r="D9" s="415" t="s">
        <v>321</v>
      </c>
      <c r="E9" s="415" t="s">
        <v>328</v>
      </c>
      <c r="F9" s="415" t="s">
        <v>335</v>
      </c>
      <c r="G9" s="415" t="s">
        <v>336</v>
      </c>
      <c r="H9" s="416">
        <v>16</v>
      </c>
      <c r="I9" s="416">
        <v>533.33000000000004</v>
      </c>
      <c r="J9" s="415">
        <v>2.6667833391669586</v>
      </c>
      <c r="K9" s="415">
        <v>33.333125000000003</v>
      </c>
      <c r="L9" s="416">
        <v>6</v>
      </c>
      <c r="M9" s="416">
        <v>199.99</v>
      </c>
      <c r="N9" s="415">
        <v>1</v>
      </c>
      <c r="O9" s="415">
        <v>33.331666666666671</v>
      </c>
      <c r="P9" s="416">
        <v>36</v>
      </c>
      <c r="Q9" s="416">
        <v>1200</v>
      </c>
      <c r="R9" s="417">
        <v>6.0003000150007502</v>
      </c>
      <c r="S9" s="418">
        <v>33.333333333333336</v>
      </c>
    </row>
    <row r="10" spans="1:19" ht="14.4" customHeight="1" x14ac:dyDescent="0.3">
      <c r="A10" s="414" t="s">
        <v>326</v>
      </c>
      <c r="B10" s="415" t="s">
        <v>327</v>
      </c>
      <c r="C10" s="415" t="s">
        <v>320</v>
      </c>
      <c r="D10" s="415" t="s">
        <v>321</v>
      </c>
      <c r="E10" s="415" t="s">
        <v>328</v>
      </c>
      <c r="F10" s="415" t="s">
        <v>337</v>
      </c>
      <c r="G10" s="415" t="s">
        <v>338</v>
      </c>
      <c r="H10" s="416">
        <v>14</v>
      </c>
      <c r="I10" s="416">
        <v>5222</v>
      </c>
      <c r="J10" s="415">
        <v>2.3270944741532977</v>
      </c>
      <c r="K10" s="415">
        <v>373</v>
      </c>
      <c r="L10" s="416">
        <v>6</v>
      </c>
      <c r="M10" s="416">
        <v>2244</v>
      </c>
      <c r="N10" s="415">
        <v>1</v>
      </c>
      <c r="O10" s="415">
        <v>374</v>
      </c>
      <c r="P10" s="416">
        <v>30</v>
      </c>
      <c r="Q10" s="416">
        <v>11310</v>
      </c>
      <c r="R10" s="417">
        <v>5.0401069518716577</v>
      </c>
      <c r="S10" s="418">
        <v>377</v>
      </c>
    </row>
    <row r="11" spans="1:19" ht="14.4" customHeight="1" x14ac:dyDescent="0.3">
      <c r="A11" s="414" t="s">
        <v>326</v>
      </c>
      <c r="B11" s="415" t="s">
        <v>327</v>
      </c>
      <c r="C11" s="415" t="s">
        <v>320</v>
      </c>
      <c r="D11" s="415" t="s">
        <v>321</v>
      </c>
      <c r="E11" s="415" t="s">
        <v>328</v>
      </c>
      <c r="F11" s="415" t="s">
        <v>339</v>
      </c>
      <c r="G11" s="415" t="s">
        <v>340</v>
      </c>
      <c r="H11" s="416">
        <v>134</v>
      </c>
      <c r="I11" s="416">
        <v>57754</v>
      </c>
      <c r="J11" s="415">
        <v>2.8444641449960599</v>
      </c>
      <c r="K11" s="415">
        <v>431</v>
      </c>
      <c r="L11" s="416">
        <v>47</v>
      </c>
      <c r="M11" s="416">
        <v>20304</v>
      </c>
      <c r="N11" s="415">
        <v>1</v>
      </c>
      <c r="O11" s="415">
        <v>432</v>
      </c>
      <c r="P11" s="416">
        <v>141</v>
      </c>
      <c r="Q11" s="416">
        <v>61194</v>
      </c>
      <c r="R11" s="417">
        <v>3.0138888888888888</v>
      </c>
      <c r="S11" s="418">
        <v>434</v>
      </c>
    </row>
    <row r="12" spans="1:19" ht="14.4" customHeight="1" thickBot="1" x14ac:dyDescent="0.35">
      <c r="A12" s="419" t="s">
        <v>326</v>
      </c>
      <c r="B12" s="420" t="s">
        <v>327</v>
      </c>
      <c r="C12" s="420" t="s">
        <v>320</v>
      </c>
      <c r="D12" s="420" t="s">
        <v>321</v>
      </c>
      <c r="E12" s="420" t="s">
        <v>328</v>
      </c>
      <c r="F12" s="420" t="s">
        <v>341</v>
      </c>
      <c r="G12" s="420" t="s">
        <v>342</v>
      </c>
      <c r="H12" s="421">
        <v>1</v>
      </c>
      <c r="I12" s="421">
        <v>283</v>
      </c>
      <c r="J12" s="420">
        <v>1</v>
      </c>
      <c r="K12" s="420">
        <v>283</v>
      </c>
      <c r="L12" s="421">
        <v>1</v>
      </c>
      <c r="M12" s="421">
        <v>283</v>
      </c>
      <c r="N12" s="420">
        <v>1</v>
      </c>
      <c r="O12" s="420">
        <v>283</v>
      </c>
      <c r="P12" s="421">
        <v>5</v>
      </c>
      <c r="Q12" s="421">
        <v>1425</v>
      </c>
      <c r="R12" s="422">
        <v>5.0353356890459366</v>
      </c>
      <c r="S12" s="423">
        <v>285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89" t="s">
        <v>202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181344</v>
      </c>
      <c r="C3" s="179">
        <f t="shared" ref="C3:R3" si="0">SUBTOTAL(9,C6:C1048576)</f>
        <v>3.1772938317360673</v>
      </c>
      <c r="D3" s="179">
        <f t="shared" si="0"/>
        <v>246376.98000000004</v>
      </c>
      <c r="E3" s="179">
        <f t="shared" si="0"/>
        <v>5</v>
      </c>
      <c r="F3" s="179">
        <f t="shared" si="0"/>
        <v>336946.31</v>
      </c>
      <c r="G3" s="182">
        <f>IF(D3&lt;&gt;0,F3/D3,"")</f>
        <v>1.3676046763784504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" customHeight="1" thickBot="1" x14ac:dyDescent="0.35">
      <c r="A5" s="379"/>
      <c r="B5" s="380">
        <v>2015</v>
      </c>
      <c r="C5" s="381"/>
      <c r="D5" s="381">
        <v>2018</v>
      </c>
      <c r="E5" s="381"/>
      <c r="F5" s="381">
        <v>2019</v>
      </c>
      <c r="G5" s="425" t="s">
        <v>1</v>
      </c>
      <c r="H5" s="380">
        <v>2015</v>
      </c>
      <c r="I5" s="381"/>
      <c r="J5" s="381">
        <v>2018</v>
      </c>
      <c r="K5" s="381"/>
      <c r="L5" s="381">
        <v>2019</v>
      </c>
      <c r="M5" s="425" t="s">
        <v>1</v>
      </c>
      <c r="N5" s="380">
        <v>2015</v>
      </c>
      <c r="O5" s="381"/>
      <c r="P5" s="381">
        <v>2018</v>
      </c>
      <c r="Q5" s="381"/>
      <c r="R5" s="381">
        <v>2019</v>
      </c>
      <c r="S5" s="425" t="s">
        <v>1</v>
      </c>
    </row>
    <row r="6" spans="1:19" ht="14.4" customHeight="1" x14ac:dyDescent="0.3">
      <c r="A6" s="432" t="s">
        <v>345</v>
      </c>
      <c r="B6" s="426">
        <v>554</v>
      </c>
      <c r="C6" s="410">
        <v>8.0840507806799938E-2</v>
      </c>
      <c r="D6" s="426">
        <v>6853</v>
      </c>
      <c r="E6" s="410">
        <v>1</v>
      </c>
      <c r="F6" s="426">
        <v>558</v>
      </c>
      <c r="G6" s="412">
        <v>8.1424193783744339E-2</v>
      </c>
      <c r="H6" s="426"/>
      <c r="I6" s="410"/>
      <c r="J6" s="426"/>
      <c r="K6" s="410"/>
      <c r="L6" s="426"/>
      <c r="M6" s="412"/>
      <c r="N6" s="426"/>
      <c r="O6" s="410"/>
      <c r="P6" s="426"/>
      <c r="Q6" s="410"/>
      <c r="R6" s="426"/>
      <c r="S6" s="427"/>
    </row>
    <row r="7" spans="1:19" ht="14.4" customHeight="1" x14ac:dyDescent="0.3">
      <c r="A7" s="433" t="s">
        <v>346</v>
      </c>
      <c r="B7" s="428">
        <v>1108</v>
      </c>
      <c r="C7" s="415"/>
      <c r="D7" s="428"/>
      <c r="E7" s="415"/>
      <c r="F7" s="428"/>
      <c r="G7" s="417"/>
      <c r="H7" s="428"/>
      <c r="I7" s="415"/>
      <c r="J7" s="428"/>
      <c r="K7" s="415"/>
      <c r="L7" s="428"/>
      <c r="M7" s="417"/>
      <c r="N7" s="428"/>
      <c r="O7" s="415"/>
      <c r="P7" s="428"/>
      <c r="Q7" s="415"/>
      <c r="R7" s="428"/>
      <c r="S7" s="429"/>
    </row>
    <row r="8" spans="1:19" ht="14.4" customHeight="1" x14ac:dyDescent="0.3">
      <c r="A8" s="433" t="s">
        <v>347</v>
      </c>
      <c r="B8" s="428">
        <v>2872</v>
      </c>
      <c r="C8" s="415">
        <v>1.1323447658624863</v>
      </c>
      <c r="D8" s="428">
        <v>2536.33</v>
      </c>
      <c r="E8" s="415">
        <v>1</v>
      </c>
      <c r="F8" s="428">
        <v>876.33</v>
      </c>
      <c r="G8" s="417">
        <v>0.34551103365886932</v>
      </c>
      <c r="H8" s="428"/>
      <c r="I8" s="415"/>
      <c r="J8" s="428"/>
      <c r="K8" s="415"/>
      <c r="L8" s="428"/>
      <c r="M8" s="417"/>
      <c r="N8" s="428"/>
      <c r="O8" s="415"/>
      <c r="P8" s="428"/>
      <c r="Q8" s="415"/>
      <c r="R8" s="428"/>
      <c r="S8" s="429"/>
    </row>
    <row r="9" spans="1:19" ht="14.4" customHeight="1" x14ac:dyDescent="0.3">
      <c r="A9" s="433" t="s">
        <v>348</v>
      </c>
      <c r="B9" s="428">
        <v>554</v>
      </c>
      <c r="C9" s="415"/>
      <c r="D9" s="428"/>
      <c r="E9" s="415"/>
      <c r="F9" s="428">
        <v>558</v>
      </c>
      <c r="G9" s="417"/>
      <c r="H9" s="428"/>
      <c r="I9" s="415"/>
      <c r="J9" s="428"/>
      <c r="K9" s="415"/>
      <c r="L9" s="428"/>
      <c r="M9" s="417"/>
      <c r="N9" s="428"/>
      <c r="O9" s="415"/>
      <c r="P9" s="428"/>
      <c r="Q9" s="415"/>
      <c r="R9" s="428"/>
      <c r="S9" s="429"/>
    </row>
    <row r="10" spans="1:19" ht="14.4" customHeight="1" x14ac:dyDescent="0.3">
      <c r="A10" s="433" t="s">
        <v>349</v>
      </c>
      <c r="B10" s="428">
        <v>9158</v>
      </c>
      <c r="C10" s="415"/>
      <c r="D10" s="428"/>
      <c r="E10" s="415"/>
      <c r="F10" s="428">
        <v>6367.33</v>
      </c>
      <c r="G10" s="417"/>
      <c r="H10" s="428"/>
      <c r="I10" s="415"/>
      <c r="J10" s="428"/>
      <c r="K10" s="415"/>
      <c r="L10" s="428"/>
      <c r="M10" s="417"/>
      <c r="N10" s="428"/>
      <c r="O10" s="415"/>
      <c r="P10" s="428"/>
      <c r="Q10" s="415"/>
      <c r="R10" s="428"/>
      <c r="S10" s="429"/>
    </row>
    <row r="11" spans="1:19" ht="14.4" customHeight="1" x14ac:dyDescent="0.3">
      <c r="A11" s="433" t="s">
        <v>350</v>
      </c>
      <c r="B11" s="428"/>
      <c r="C11" s="415"/>
      <c r="D11" s="428"/>
      <c r="E11" s="415"/>
      <c r="F11" s="428">
        <v>3200.33</v>
      </c>
      <c r="G11" s="417"/>
      <c r="H11" s="428"/>
      <c r="I11" s="415"/>
      <c r="J11" s="428"/>
      <c r="K11" s="415"/>
      <c r="L11" s="428"/>
      <c r="M11" s="417"/>
      <c r="N11" s="428"/>
      <c r="O11" s="415"/>
      <c r="P11" s="428"/>
      <c r="Q11" s="415"/>
      <c r="R11" s="428"/>
      <c r="S11" s="429"/>
    </row>
    <row r="12" spans="1:19" ht="14.4" customHeight="1" x14ac:dyDescent="0.3">
      <c r="A12" s="433" t="s">
        <v>351</v>
      </c>
      <c r="B12" s="428">
        <v>103124</v>
      </c>
      <c r="C12" s="415">
        <v>0.96351168072449678</v>
      </c>
      <c r="D12" s="428">
        <v>107029.32</v>
      </c>
      <c r="E12" s="415">
        <v>1</v>
      </c>
      <c r="F12" s="428">
        <v>189002.99</v>
      </c>
      <c r="G12" s="417">
        <v>1.7658991947253331</v>
      </c>
      <c r="H12" s="428"/>
      <c r="I12" s="415"/>
      <c r="J12" s="428"/>
      <c r="K12" s="415"/>
      <c r="L12" s="428"/>
      <c r="M12" s="417"/>
      <c r="N12" s="428"/>
      <c r="O12" s="415"/>
      <c r="P12" s="428"/>
      <c r="Q12" s="415"/>
      <c r="R12" s="428"/>
      <c r="S12" s="429"/>
    </row>
    <row r="13" spans="1:19" ht="14.4" customHeight="1" x14ac:dyDescent="0.3">
      <c r="A13" s="433" t="s">
        <v>352</v>
      </c>
      <c r="B13" s="428">
        <v>40232</v>
      </c>
      <c r="C13" s="415">
        <v>0.4740538247631616</v>
      </c>
      <c r="D13" s="428">
        <v>84868</v>
      </c>
      <c r="E13" s="415">
        <v>1</v>
      </c>
      <c r="F13" s="428">
        <v>108845.33</v>
      </c>
      <c r="G13" s="417">
        <v>1.2825249799688929</v>
      </c>
      <c r="H13" s="428"/>
      <c r="I13" s="415"/>
      <c r="J13" s="428"/>
      <c r="K13" s="415"/>
      <c r="L13" s="428"/>
      <c r="M13" s="417"/>
      <c r="N13" s="428"/>
      <c r="O13" s="415"/>
      <c r="P13" s="428"/>
      <c r="Q13" s="415"/>
      <c r="R13" s="428"/>
      <c r="S13" s="429"/>
    </row>
    <row r="14" spans="1:19" ht="14.4" customHeight="1" x14ac:dyDescent="0.3">
      <c r="A14" s="433" t="s">
        <v>353</v>
      </c>
      <c r="B14" s="428">
        <v>23742</v>
      </c>
      <c r="C14" s="415">
        <v>0.52654305257912282</v>
      </c>
      <c r="D14" s="428">
        <v>45090.33</v>
      </c>
      <c r="E14" s="415">
        <v>1</v>
      </c>
      <c r="F14" s="428">
        <v>12653</v>
      </c>
      <c r="G14" s="417">
        <v>0.28061449095626489</v>
      </c>
      <c r="H14" s="428"/>
      <c r="I14" s="415"/>
      <c r="J14" s="428"/>
      <c r="K14" s="415"/>
      <c r="L14" s="428"/>
      <c r="M14" s="417"/>
      <c r="N14" s="428"/>
      <c r="O14" s="415"/>
      <c r="P14" s="428"/>
      <c r="Q14" s="415"/>
      <c r="R14" s="428"/>
      <c r="S14" s="429"/>
    </row>
    <row r="15" spans="1:19" ht="14.4" customHeight="1" thickBot="1" x14ac:dyDescent="0.35">
      <c r="A15" s="434" t="s">
        <v>354</v>
      </c>
      <c r="B15" s="430"/>
      <c r="C15" s="420"/>
      <c r="D15" s="430"/>
      <c r="E15" s="420"/>
      <c r="F15" s="430">
        <v>14885</v>
      </c>
      <c r="G15" s="422"/>
      <c r="H15" s="430"/>
      <c r="I15" s="420"/>
      <c r="J15" s="430"/>
      <c r="K15" s="420"/>
      <c r="L15" s="430"/>
      <c r="M15" s="422"/>
      <c r="N15" s="430"/>
      <c r="O15" s="420"/>
      <c r="P15" s="430"/>
      <c r="Q15" s="420"/>
      <c r="R15" s="430"/>
      <c r="S15" s="43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3" t="s">
        <v>364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89" t="s">
        <v>202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357</v>
      </c>
      <c r="G3" s="75">
        <f t="shared" si="0"/>
        <v>181344</v>
      </c>
      <c r="H3" s="75"/>
      <c r="I3" s="75"/>
      <c r="J3" s="75">
        <f t="shared" si="0"/>
        <v>510</v>
      </c>
      <c r="K3" s="75">
        <f t="shared" si="0"/>
        <v>246376.98</v>
      </c>
      <c r="L3" s="75"/>
      <c r="M3" s="75"/>
      <c r="N3" s="75">
        <f t="shared" si="0"/>
        <v>657</v>
      </c>
      <c r="O3" s="75">
        <f t="shared" si="0"/>
        <v>336946.31</v>
      </c>
      <c r="P3" s="58">
        <f>IF(K3=0,0,O3/K3)</f>
        <v>1.3676046763784506</v>
      </c>
      <c r="Q3" s="76">
        <f>IF(N3=0,0,O3/N3)</f>
        <v>512.85587519025876</v>
      </c>
    </row>
    <row r="4" spans="1:17" ht="14.4" customHeight="1" x14ac:dyDescent="0.3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2015</v>
      </c>
      <c r="G4" s="348"/>
      <c r="H4" s="77"/>
      <c r="I4" s="77"/>
      <c r="J4" s="347">
        <v>2018</v>
      </c>
      <c r="K4" s="348"/>
      <c r="L4" s="77"/>
      <c r="M4" s="77"/>
      <c r="N4" s="347">
        <v>2019</v>
      </c>
      <c r="O4" s="348"/>
      <c r="P4" s="350" t="s">
        <v>1</v>
      </c>
      <c r="Q4" s="339" t="s">
        <v>72</v>
      </c>
    </row>
    <row r="5" spans="1:17" ht="14.4" customHeight="1" thickBot="1" x14ac:dyDescent="0.35">
      <c r="A5" s="401"/>
      <c r="B5" s="399"/>
      <c r="C5" s="401"/>
      <c r="D5" s="435"/>
      <c r="E5" s="403"/>
      <c r="F5" s="436" t="s">
        <v>46</v>
      </c>
      <c r="G5" s="437" t="s">
        <v>3</v>
      </c>
      <c r="H5" s="438"/>
      <c r="I5" s="438"/>
      <c r="J5" s="436" t="s">
        <v>46</v>
      </c>
      <c r="K5" s="437" t="s">
        <v>3</v>
      </c>
      <c r="L5" s="438"/>
      <c r="M5" s="438"/>
      <c r="N5" s="436" t="s">
        <v>46</v>
      </c>
      <c r="O5" s="437" t="s">
        <v>3</v>
      </c>
      <c r="P5" s="439"/>
      <c r="Q5" s="408"/>
    </row>
    <row r="6" spans="1:17" ht="14.4" customHeight="1" x14ac:dyDescent="0.3">
      <c r="A6" s="409" t="s">
        <v>355</v>
      </c>
      <c r="B6" s="410" t="s">
        <v>327</v>
      </c>
      <c r="C6" s="410" t="s">
        <v>328</v>
      </c>
      <c r="D6" s="410" t="s">
        <v>333</v>
      </c>
      <c r="E6" s="410" t="s">
        <v>334</v>
      </c>
      <c r="F6" s="411">
        <v>1</v>
      </c>
      <c r="G6" s="411">
        <v>554</v>
      </c>
      <c r="H6" s="411">
        <v>9.0745290745290752E-2</v>
      </c>
      <c r="I6" s="411">
        <v>554</v>
      </c>
      <c r="J6" s="411">
        <v>11</v>
      </c>
      <c r="K6" s="411">
        <v>6105</v>
      </c>
      <c r="L6" s="411">
        <v>1</v>
      </c>
      <c r="M6" s="411">
        <v>555</v>
      </c>
      <c r="N6" s="411">
        <v>1</v>
      </c>
      <c r="O6" s="411">
        <v>558</v>
      </c>
      <c r="P6" s="412">
        <v>9.1400491400491404E-2</v>
      </c>
      <c r="Q6" s="413">
        <v>558</v>
      </c>
    </row>
    <row r="7" spans="1:17" ht="14.4" customHeight="1" x14ac:dyDescent="0.3">
      <c r="A7" s="414" t="s">
        <v>355</v>
      </c>
      <c r="B7" s="415" t="s">
        <v>327</v>
      </c>
      <c r="C7" s="415" t="s">
        <v>328</v>
      </c>
      <c r="D7" s="415" t="s">
        <v>337</v>
      </c>
      <c r="E7" s="415" t="s">
        <v>338</v>
      </c>
      <c r="F7" s="416"/>
      <c r="G7" s="416"/>
      <c r="H7" s="416"/>
      <c r="I7" s="416"/>
      <c r="J7" s="416">
        <v>2</v>
      </c>
      <c r="K7" s="416">
        <v>748</v>
      </c>
      <c r="L7" s="416">
        <v>1</v>
      </c>
      <c r="M7" s="416">
        <v>374</v>
      </c>
      <c r="N7" s="416"/>
      <c r="O7" s="416"/>
      <c r="P7" s="417"/>
      <c r="Q7" s="418"/>
    </row>
    <row r="8" spans="1:17" ht="14.4" customHeight="1" x14ac:dyDescent="0.3">
      <c r="A8" s="414" t="s">
        <v>356</v>
      </c>
      <c r="B8" s="415" t="s">
        <v>327</v>
      </c>
      <c r="C8" s="415" t="s">
        <v>328</v>
      </c>
      <c r="D8" s="415" t="s">
        <v>333</v>
      </c>
      <c r="E8" s="415" t="s">
        <v>334</v>
      </c>
      <c r="F8" s="416">
        <v>2</v>
      </c>
      <c r="G8" s="416">
        <v>1108</v>
      </c>
      <c r="H8" s="416"/>
      <c r="I8" s="416">
        <v>554</v>
      </c>
      <c r="J8" s="416"/>
      <c r="K8" s="416"/>
      <c r="L8" s="416"/>
      <c r="M8" s="416"/>
      <c r="N8" s="416"/>
      <c r="O8" s="416"/>
      <c r="P8" s="417"/>
      <c r="Q8" s="418"/>
    </row>
    <row r="9" spans="1:17" ht="14.4" customHeight="1" x14ac:dyDescent="0.3">
      <c r="A9" s="414" t="s">
        <v>357</v>
      </c>
      <c r="B9" s="415" t="s">
        <v>327</v>
      </c>
      <c r="C9" s="415" t="s">
        <v>328</v>
      </c>
      <c r="D9" s="415" t="s">
        <v>333</v>
      </c>
      <c r="E9" s="415" t="s">
        <v>334</v>
      </c>
      <c r="F9" s="416">
        <v>4</v>
      </c>
      <c r="G9" s="416">
        <v>2216</v>
      </c>
      <c r="H9" s="416">
        <v>0.99819819819819822</v>
      </c>
      <c r="I9" s="416">
        <v>554</v>
      </c>
      <c r="J9" s="416">
        <v>4</v>
      </c>
      <c r="K9" s="416">
        <v>2220</v>
      </c>
      <c r="L9" s="416">
        <v>1</v>
      </c>
      <c r="M9" s="416">
        <v>555</v>
      </c>
      <c r="N9" s="416">
        <v>1</v>
      </c>
      <c r="O9" s="416">
        <v>558</v>
      </c>
      <c r="P9" s="417">
        <v>0.25135135135135134</v>
      </c>
      <c r="Q9" s="418">
        <v>558</v>
      </c>
    </row>
    <row r="10" spans="1:17" ht="14.4" customHeight="1" x14ac:dyDescent="0.3">
      <c r="A10" s="414" t="s">
        <v>357</v>
      </c>
      <c r="B10" s="415" t="s">
        <v>327</v>
      </c>
      <c r="C10" s="415" t="s">
        <v>328</v>
      </c>
      <c r="D10" s="415" t="s">
        <v>335</v>
      </c>
      <c r="E10" s="415" t="s">
        <v>336</v>
      </c>
      <c r="F10" s="416"/>
      <c r="G10" s="416"/>
      <c r="H10" s="416"/>
      <c r="I10" s="416"/>
      <c r="J10" s="416">
        <v>1</v>
      </c>
      <c r="K10" s="416">
        <v>33.33</v>
      </c>
      <c r="L10" s="416">
        <v>1</v>
      </c>
      <c r="M10" s="416">
        <v>33.33</v>
      </c>
      <c r="N10" s="416">
        <v>1</v>
      </c>
      <c r="O10" s="416">
        <v>33.33</v>
      </c>
      <c r="P10" s="417">
        <v>1</v>
      </c>
      <c r="Q10" s="418">
        <v>33.33</v>
      </c>
    </row>
    <row r="11" spans="1:17" ht="14.4" customHeight="1" x14ac:dyDescent="0.3">
      <c r="A11" s="414" t="s">
        <v>357</v>
      </c>
      <c r="B11" s="415" t="s">
        <v>327</v>
      </c>
      <c r="C11" s="415" t="s">
        <v>328</v>
      </c>
      <c r="D11" s="415" t="s">
        <v>337</v>
      </c>
      <c r="E11" s="415" t="s">
        <v>338</v>
      </c>
      <c r="F11" s="416">
        <v>1</v>
      </c>
      <c r="G11" s="416">
        <v>373</v>
      </c>
      <c r="H11" s="416"/>
      <c r="I11" s="416">
        <v>373</v>
      </c>
      <c r="J11" s="416"/>
      <c r="K11" s="416"/>
      <c r="L11" s="416"/>
      <c r="M11" s="416"/>
      <c r="N11" s="416"/>
      <c r="O11" s="416"/>
      <c r="P11" s="417"/>
      <c r="Q11" s="418"/>
    </row>
    <row r="12" spans="1:17" ht="14.4" customHeight="1" x14ac:dyDescent="0.3">
      <c r="A12" s="414" t="s">
        <v>357</v>
      </c>
      <c r="B12" s="415" t="s">
        <v>327</v>
      </c>
      <c r="C12" s="415" t="s">
        <v>328</v>
      </c>
      <c r="D12" s="415" t="s">
        <v>341</v>
      </c>
      <c r="E12" s="415" t="s">
        <v>342</v>
      </c>
      <c r="F12" s="416">
        <v>1</v>
      </c>
      <c r="G12" s="416">
        <v>283</v>
      </c>
      <c r="H12" s="416">
        <v>1</v>
      </c>
      <c r="I12" s="416">
        <v>283</v>
      </c>
      <c r="J12" s="416">
        <v>1</v>
      </c>
      <c r="K12" s="416">
        <v>283</v>
      </c>
      <c r="L12" s="416">
        <v>1</v>
      </c>
      <c r="M12" s="416">
        <v>283</v>
      </c>
      <c r="N12" s="416">
        <v>1</v>
      </c>
      <c r="O12" s="416">
        <v>285</v>
      </c>
      <c r="P12" s="417">
        <v>1.0070671378091873</v>
      </c>
      <c r="Q12" s="418">
        <v>285</v>
      </c>
    </row>
    <row r="13" spans="1:17" ht="14.4" customHeight="1" x14ac:dyDescent="0.3">
      <c r="A13" s="414" t="s">
        <v>358</v>
      </c>
      <c r="B13" s="415" t="s">
        <v>327</v>
      </c>
      <c r="C13" s="415" t="s">
        <v>328</v>
      </c>
      <c r="D13" s="415" t="s">
        <v>333</v>
      </c>
      <c r="E13" s="415" t="s">
        <v>334</v>
      </c>
      <c r="F13" s="416">
        <v>1</v>
      </c>
      <c r="G13" s="416">
        <v>554</v>
      </c>
      <c r="H13" s="416"/>
      <c r="I13" s="416">
        <v>554</v>
      </c>
      <c r="J13" s="416"/>
      <c r="K13" s="416"/>
      <c r="L13" s="416"/>
      <c r="M13" s="416"/>
      <c r="N13" s="416">
        <v>1</v>
      </c>
      <c r="O13" s="416">
        <v>558</v>
      </c>
      <c r="P13" s="417"/>
      <c r="Q13" s="418">
        <v>558</v>
      </c>
    </row>
    <row r="14" spans="1:17" ht="14.4" customHeight="1" x14ac:dyDescent="0.3">
      <c r="A14" s="414" t="s">
        <v>326</v>
      </c>
      <c r="B14" s="415" t="s">
        <v>327</v>
      </c>
      <c r="C14" s="415" t="s">
        <v>328</v>
      </c>
      <c r="D14" s="415" t="s">
        <v>333</v>
      </c>
      <c r="E14" s="415" t="s">
        <v>334</v>
      </c>
      <c r="F14" s="416">
        <v>14</v>
      </c>
      <c r="G14" s="416">
        <v>7756</v>
      </c>
      <c r="H14" s="416"/>
      <c r="I14" s="416">
        <v>554</v>
      </c>
      <c r="J14" s="416"/>
      <c r="K14" s="416"/>
      <c r="L14" s="416"/>
      <c r="M14" s="416"/>
      <c r="N14" s="416">
        <v>10</v>
      </c>
      <c r="O14" s="416">
        <v>5580</v>
      </c>
      <c r="P14" s="417"/>
      <c r="Q14" s="418">
        <v>558</v>
      </c>
    </row>
    <row r="15" spans="1:17" ht="14.4" customHeight="1" x14ac:dyDescent="0.3">
      <c r="A15" s="414" t="s">
        <v>326</v>
      </c>
      <c r="B15" s="415" t="s">
        <v>327</v>
      </c>
      <c r="C15" s="415" t="s">
        <v>328</v>
      </c>
      <c r="D15" s="415" t="s">
        <v>335</v>
      </c>
      <c r="E15" s="415" t="s">
        <v>336</v>
      </c>
      <c r="F15" s="416"/>
      <c r="G15" s="416"/>
      <c r="H15" s="416"/>
      <c r="I15" s="416"/>
      <c r="J15" s="416"/>
      <c r="K15" s="416"/>
      <c r="L15" s="416"/>
      <c r="M15" s="416"/>
      <c r="N15" s="416">
        <v>1</v>
      </c>
      <c r="O15" s="416">
        <v>33.33</v>
      </c>
      <c r="P15" s="417"/>
      <c r="Q15" s="418">
        <v>33.33</v>
      </c>
    </row>
    <row r="16" spans="1:17" ht="14.4" customHeight="1" x14ac:dyDescent="0.3">
      <c r="A16" s="414" t="s">
        <v>326</v>
      </c>
      <c r="B16" s="415" t="s">
        <v>327</v>
      </c>
      <c r="C16" s="415" t="s">
        <v>328</v>
      </c>
      <c r="D16" s="415" t="s">
        <v>337</v>
      </c>
      <c r="E16" s="415" t="s">
        <v>338</v>
      </c>
      <c r="F16" s="416">
        <v>3</v>
      </c>
      <c r="G16" s="416">
        <v>1119</v>
      </c>
      <c r="H16" s="416"/>
      <c r="I16" s="416">
        <v>373</v>
      </c>
      <c r="J16" s="416"/>
      <c r="K16" s="416"/>
      <c r="L16" s="416"/>
      <c r="M16" s="416"/>
      <c r="N16" s="416">
        <v>2</v>
      </c>
      <c r="O16" s="416">
        <v>754</v>
      </c>
      <c r="P16" s="417"/>
      <c r="Q16" s="418">
        <v>377</v>
      </c>
    </row>
    <row r="17" spans="1:17" ht="14.4" customHeight="1" x14ac:dyDescent="0.3">
      <c r="A17" s="414" t="s">
        <v>326</v>
      </c>
      <c r="B17" s="415" t="s">
        <v>327</v>
      </c>
      <c r="C17" s="415" t="s">
        <v>328</v>
      </c>
      <c r="D17" s="415" t="s">
        <v>341</v>
      </c>
      <c r="E17" s="415" t="s">
        <v>342</v>
      </c>
      <c r="F17" s="416">
        <v>1</v>
      </c>
      <c r="G17" s="416">
        <v>283</v>
      </c>
      <c r="H17" s="416"/>
      <c r="I17" s="416">
        <v>283</v>
      </c>
      <c r="J17" s="416"/>
      <c r="K17" s="416"/>
      <c r="L17" s="416"/>
      <c r="M17" s="416"/>
      <c r="N17" s="416"/>
      <c r="O17" s="416"/>
      <c r="P17" s="417"/>
      <c r="Q17" s="418"/>
    </row>
    <row r="18" spans="1:17" ht="14.4" customHeight="1" x14ac:dyDescent="0.3">
      <c r="A18" s="414" t="s">
        <v>359</v>
      </c>
      <c r="B18" s="415" t="s">
        <v>327</v>
      </c>
      <c r="C18" s="415" t="s">
        <v>328</v>
      </c>
      <c r="D18" s="415" t="s">
        <v>333</v>
      </c>
      <c r="E18" s="415" t="s">
        <v>334</v>
      </c>
      <c r="F18" s="416"/>
      <c r="G18" s="416"/>
      <c r="H18" s="416"/>
      <c r="I18" s="416"/>
      <c r="J18" s="416"/>
      <c r="K18" s="416"/>
      <c r="L18" s="416"/>
      <c r="M18" s="416"/>
      <c r="N18" s="416">
        <v>5</v>
      </c>
      <c r="O18" s="416">
        <v>2790</v>
      </c>
      <c r="P18" s="417"/>
      <c r="Q18" s="418">
        <v>558</v>
      </c>
    </row>
    <row r="19" spans="1:17" ht="14.4" customHeight="1" x14ac:dyDescent="0.3">
      <c r="A19" s="414" t="s">
        <v>359</v>
      </c>
      <c r="B19" s="415" t="s">
        <v>327</v>
      </c>
      <c r="C19" s="415" t="s">
        <v>328</v>
      </c>
      <c r="D19" s="415" t="s">
        <v>335</v>
      </c>
      <c r="E19" s="415" t="s">
        <v>336</v>
      </c>
      <c r="F19" s="416"/>
      <c r="G19" s="416"/>
      <c r="H19" s="416"/>
      <c r="I19" s="416"/>
      <c r="J19" s="416"/>
      <c r="K19" s="416"/>
      <c r="L19" s="416"/>
      <c r="M19" s="416"/>
      <c r="N19" s="416">
        <v>1</v>
      </c>
      <c r="O19" s="416">
        <v>33.33</v>
      </c>
      <c r="P19" s="417"/>
      <c r="Q19" s="418">
        <v>33.33</v>
      </c>
    </row>
    <row r="20" spans="1:17" ht="14.4" customHeight="1" x14ac:dyDescent="0.3">
      <c r="A20" s="414" t="s">
        <v>359</v>
      </c>
      <c r="B20" s="415" t="s">
        <v>327</v>
      </c>
      <c r="C20" s="415" t="s">
        <v>328</v>
      </c>
      <c r="D20" s="415" t="s">
        <v>337</v>
      </c>
      <c r="E20" s="415" t="s">
        <v>338</v>
      </c>
      <c r="F20" s="416"/>
      <c r="G20" s="416"/>
      <c r="H20" s="416"/>
      <c r="I20" s="416"/>
      <c r="J20" s="416"/>
      <c r="K20" s="416"/>
      <c r="L20" s="416"/>
      <c r="M20" s="416"/>
      <c r="N20" s="416">
        <v>1</v>
      </c>
      <c r="O20" s="416">
        <v>377</v>
      </c>
      <c r="P20" s="417"/>
      <c r="Q20" s="418">
        <v>377</v>
      </c>
    </row>
    <row r="21" spans="1:17" ht="14.4" customHeight="1" x14ac:dyDescent="0.3">
      <c r="A21" s="414" t="s">
        <v>360</v>
      </c>
      <c r="B21" s="415" t="s">
        <v>327</v>
      </c>
      <c r="C21" s="415" t="s">
        <v>328</v>
      </c>
      <c r="D21" s="415" t="s">
        <v>333</v>
      </c>
      <c r="E21" s="415" t="s">
        <v>334</v>
      </c>
      <c r="F21" s="416">
        <v>147</v>
      </c>
      <c r="G21" s="416">
        <v>81438</v>
      </c>
      <c r="H21" s="416">
        <v>0.94667829119442026</v>
      </c>
      <c r="I21" s="416">
        <v>554</v>
      </c>
      <c r="J21" s="416">
        <v>155</v>
      </c>
      <c r="K21" s="416">
        <v>86025</v>
      </c>
      <c r="L21" s="416">
        <v>1</v>
      </c>
      <c r="M21" s="416">
        <v>555</v>
      </c>
      <c r="N21" s="416">
        <v>296</v>
      </c>
      <c r="O21" s="416">
        <v>165168</v>
      </c>
      <c r="P21" s="417">
        <v>1.92</v>
      </c>
      <c r="Q21" s="418">
        <v>558</v>
      </c>
    </row>
    <row r="22" spans="1:17" ht="14.4" customHeight="1" x14ac:dyDescent="0.3">
      <c r="A22" s="414" t="s">
        <v>360</v>
      </c>
      <c r="B22" s="415" t="s">
        <v>327</v>
      </c>
      <c r="C22" s="415" t="s">
        <v>328</v>
      </c>
      <c r="D22" s="415" t="s">
        <v>335</v>
      </c>
      <c r="E22" s="415" t="s">
        <v>336</v>
      </c>
      <c r="F22" s="416"/>
      <c r="G22" s="416"/>
      <c r="H22" s="416"/>
      <c r="I22" s="416"/>
      <c r="J22" s="416">
        <v>37</v>
      </c>
      <c r="K22" s="416">
        <v>1233.3200000000002</v>
      </c>
      <c r="L22" s="416">
        <v>1</v>
      </c>
      <c r="M22" s="416">
        <v>33.332972972972975</v>
      </c>
      <c r="N22" s="416">
        <v>18</v>
      </c>
      <c r="O22" s="416">
        <v>599.99000000000012</v>
      </c>
      <c r="P22" s="417">
        <v>0.48648363766094771</v>
      </c>
      <c r="Q22" s="418">
        <v>33.332777777777785</v>
      </c>
    </row>
    <row r="23" spans="1:17" ht="14.4" customHeight="1" x14ac:dyDescent="0.3">
      <c r="A23" s="414" t="s">
        <v>360</v>
      </c>
      <c r="B23" s="415" t="s">
        <v>327</v>
      </c>
      <c r="C23" s="415" t="s">
        <v>328</v>
      </c>
      <c r="D23" s="415" t="s">
        <v>337</v>
      </c>
      <c r="E23" s="415" t="s">
        <v>338</v>
      </c>
      <c r="F23" s="416">
        <v>46</v>
      </c>
      <c r="G23" s="416">
        <v>17158</v>
      </c>
      <c r="H23" s="416">
        <v>1.1469251336898396</v>
      </c>
      <c r="I23" s="416">
        <v>373</v>
      </c>
      <c r="J23" s="416">
        <v>40</v>
      </c>
      <c r="K23" s="416">
        <v>14960</v>
      </c>
      <c r="L23" s="416">
        <v>1</v>
      </c>
      <c r="M23" s="416">
        <v>374</v>
      </c>
      <c r="N23" s="416">
        <v>45</v>
      </c>
      <c r="O23" s="416">
        <v>16965</v>
      </c>
      <c r="P23" s="417">
        <v>1.134024064171123</v>
      </c>
      <c r="Q23" s="418">
        <v>377</v>
      </c>
    </row>
    <row r="24" spans="1:17" ht="14.4" customHeight="1" x14ac:dyDescent="0.3">
      <c r="A24" s="414" t="s">
        <v>360</v>
      </c>
      <c r="B24" s="415" t="s">
        <v>327</v>
      </c>
      <c r="C24" s="415" t="s">
        <v>328</v>
      </c>
      <c r="D24" s="415" t="s">
        <v>341</v>
      </c>
      <c r="E24" s="415" t="s">
        <v>342</v>
      </c>
      <c r="F24" s="416">
        <v>16</v>
      </c>
      <c r="G24" s="416">
        <v>4528</v>
      </c>
      <c r="H24" s="416">
        <v>0.94117647058823528</v>
      </c>
      <c r="I24" s="416">
        <v>283</v>
      </c>
      <c r="J24" s="416">
        <v>17</v>
      </c>
      <c r="K24" s="416">
        <v>4811</v>
      </c>
      <c r="L24" s="416">
        <v>1</v>
      </c>
      <c r="M24" s="416">
        <v>283</v>
      </c>
      <c r="N24" s="416">
        <v>22</v>
      </c>
      <c r="O24" s="416">
        <v>6270</v>
      </c>
      <c r="P24" s="417">
        <v>1.3032633548118895</v>
      </c>
      <c r="Q24" s="418">
        <v>285</v>
      </c>
    </row>
    <row r="25" spans="1:17" ht="14.4" customHeight="1" x14ac:dyDescent="0.3">
      <c r="A25" s="414" t="s">
        <v>361</v>
      </c>
      <c r="B25" s="415" t="s">
        <v>327</v>
      </c>
      <c r="C25" s="415" t="s">
        <v>328</v>
      </c>
      <c r="D25" s="415" t="s">
        <v>329</v>
      </c>
      <c r="E25" s="415" t="s">
        <v>330</v>
      </c>
      <c r="F25" s="416">
        <v>1</v>
      </c>
      <c r="G25" s="416">
        <v>141</v>
      </c>
      <c r="H25" s="416"/>
      <c r="I25" s="416">
        <v>141</v>
      </c>
      <c r="J25" s="416"/>
      <c r="K25" s="416"/>
      <c r="L25" s="416"/>
      <c r="M25" s="416"/>
      <c r="N25" s="416">
        <v>3</v>
      </c>
      <c r="O25" s="416">
        <v>429</v>
      </c>
      <c r="P25" s="417"/>
      <c r="Q25" s="418">
        <v>143</v>
      </c>
    </row>
    <row r="26" spans="1:17" ht="14.4" customHeight="1" x14ac:dyDescent="0.3">
      <c r="A26" s="414" t="s">
        <v>361</v>
      </c>
      <c r="B26" s="415" t="s">
        <v>327</v>
      </c>
      <c r="C26" s="415" t="s">
        <v>328</v>
      </c>
      <c r="D26" s="415" t="s">
        <v>333</v>
      </c>
      <c r="E26" s="415" t="s">
        <v>334</v>
      </c>
      <c r="F26" s="416">
        <v>69</v>
      </c>
      <c r="G26" s="416">
        <v>38226</v>
      </c>
      <c r="H26" s="416">
        <v>0.46537618699780864</v>
      </c>
      <c r="I26" s="416">
        <v>554</v>
      </c>
      <c r="J26" s="416">
        <v>148</v>
      </c>
      <c r="K26" s="416">
        <v>82140</v>
      </c>
      <c r="L26" s="416">
        <v>1</v>
      </c>
      <c r="M26" s="416">
        <v>555</v>
      </c>
      <c r="N26" s="416">
        <v>190</v>
      </c>
      <c r="O26" s="416">
        <v>106020</v>
      </c>
      <c r="P26" s="417">
        <v>1.2907231555880205</v>
      </c>
      <c r="Q26" s="418">
        <v>558</v>
      </c>
    </row>
    <row r="27" spans="1:17" ht="14.4" customHeight="1" x14ac:dyDescent="0.3">
      <c r="A27" s="414" t="s">
        <v>361</v>
      </c>
      <c r="B27" s="415" t="s">
        <v>327</v>
      </c>
      <c r="C27" s="415" t="s">
        <v>328</v>
      </c>
      <c r="D27" s="415" t="s">
        <v>335</v>
      </c>
      <c r="E27" s="415" t="s">
        <v>336</v>
      </c>
      <c r="F27" s="416"/>
      <c r="G27" s="416"/>
      <c r="H27" s="416"/>
      <c r="I27" s="416"/>
      <c r="J27" s="416">
        <v>3</v>
      </c>
      <c r="K27" s="416">
        <v>100</v>
      </c>
      <c r="L27" s="416">
        <v>1</v>
      </c>
      <c r="M27" s="416">
        <v>33.333333333333336</v>
      </c>
      <c r="N27" s="416">
        <v>1</v>
      </c>
      <c r="O27" s="416">
        <v>33.33</v>
      </c>
      <c r="P27" s="417">
        <v>0.33329999999999999</v>
      </c>
      <c r="Q27" s="418">
        <v>33.33</v>
      </c>
    </row>
    <row r="28" spans="1:17" ht="14.4" customHeight="1" x14ac:dyDescent="0.3">
      <c r="A28" s="414" t="s">
        <v>361</v>
      </c>
      <c r="B28" s="415" t="s">
        <v>327</v>
      </c>
      <c r="C28" s="415" t="s">
        <v>328</v>
      </c>
      <c r="D28" s="415" t="s">
        <v>337</v>
      </c>
      <c r="E28" s="415" t="s">
        <v>338</v>
      </c>
      <c r="F28" s="416">
        <v>5</v>
      </c>
      <c r="G28" s="416">
        <v>1865</v>
      </c>
      <c r="H28" s="416">
        <v>1.2466577540106951</v>
      </c>
      <c r="I28" s="416">
        <v>373</v>
      </c>
      <c r="J28" s="416">
        <v>4</v>
      </c>
      <c r="K28" s="416">
        <v>1496</v>
      </c>
      <c r="L28" s="416">
        <v>1</v>
      </c>
      <c r="M28" s="416">
        <v>374</v>
      </c>
      <c r="N28" s="416">
        <v>4</v>
      </c>
      <c r="O28" s="416">
        <v>1508</v>
      </c>
      <c r="P28" s="417">
        <v>1.0080213903743316</v>
      </c>
      <c r="Q28" s="418">
        <v>377</v>
      </c>
    </row>
    <row r="29" spans="1:17" ht="14.4" customHeight="1" x14ac:dyDescent="0.3">
      <c r="A29" s="414" t="s">
        <v>361</v>
      </c>
      <c r="B29" s="415" t="s">
        <v>327</v>
      </c>
      <c r="C29" s="415" t="s">
        <v>328</v>
      </c>
      <c r="D29" s="415" t="s">
        <v>341</v>
      </c>
      <c r="E29" s="415" t="s">
        <v>342</v>
      </c>
      <c r="F29" s="416"/>
      <c r="G29" s="416"/>
      <c r="H29" s="416"/>
      <c r="I29" s="416"/>
      <c r="J29" s="416">
        <v>4</v>
      </c>
      <c r="K29" s="416">
        <v>1132</v>
      </c>
      <c r="L29" s="416">
        <v>1</v>
      </c>
      <c r="M29" s="416">
        <v>283</v>
      </c>
      <c r="N29" s="416">
        <v>3</v>
      </c>
      <c r="O29" s="416">
        <v>855</v>
      </c>
      <c r="P29" s="417">
        <v>0.7553003533568905</v>
      </c>
      <c r="Q29" s="418">
        <v>285</v>
      </c>
    </row>
    <row r="30" spans="1:17" ht="14.4" customHeight="1" x14ac:dyDescent="0.3">
      <c r="A30" s="414" t="s">
        <v>362</v>
      </c>
      <c r="B30" s="415" t="s">
        <v>327</v>
      </c>
      <c r="C30" s="415" t="s">
        <v>328</v>
      </c>
      <c r="D30" s="415" t="s">
        <v>329</v>
      </c>
      <c r="E30" s="415" t="s">
        <v>330</v>
      </c>
      <c r="F30" s="416">
        <v>2</v>
      </c>
      <c r="G30" s="416">
        <v>282</v>
      </c>
      <c r="H30" s="416"/>
      <c r="I30" s="416">
        <v>141</v>
      </c>
      <c r="J30" s="416"/>
      <c r="K30" s="416"/>
      <c r="L30" s="416"/>
      <c r="M30" s="416"/>
      <c r="N30" s="416"/>
      <c r="O30" s="416"/>
      <c r="P30" s="417"/>
      <c r="Q30" s="418"/>
    </row>
    <row r="31" spans="1:17" ht="14.4" customHeight="1" x14ac:dyDescent="0.3">
      <c r="A31" s="414" t="s">
        <v>362</v>
      </c>
      <c r="B31" s="415" t="s">
        <v>327</v>
      </c>
      <c r="C31" s="415" t="s">
        <v>328</v>
      </c>
      <c r="D31" s="415" t="s">
        <v>333</v>
      </c>
      <c r="E31" s="415" t="s">
        <v>334</v>
      </c>
      <c r="F31" s="416">
        <v>41</v>
      </c>
      <c r="G31" s="416">
        <v>22714</v>
      </c>
      <c r="H31" s="416">
        <v>0.51157657657657662</v>
      </c>
      <c r="I31" s="416">
        <v>554</v>
      </c>
      <c r="J31" s="416">
        <v>80</v>
      </c>
      <c r="K31" s="416">
        <v>44400</v>
      </c>
      <c r="L31" s="416">
        <v>1</v>
      </c>
      <c r="M31" s="416">
        <v>555</v>
      </c>
      <c r="N31" s="416">
        <v>22</v>
      </c>
      <c r="O31" s="416">
        <v>12276</v>
      </c>
      <c r="P31" s="417">
        <v>0.27648648648648649</v>
      </c>
      <c r="Q31" s="418">
        <v>558</v>
      </c>
    </row>
    <row r="32" spans="1:17" ht="14.4" customHeight="1" x14ac:dyDescent="0.3">
      <c r="A32" s="414" t="s">
        <v>362</v>
      </c>
      <c r="B32" s="415" t="s">
        <v>327</v>
      </c>
      <c r="C32" s="415" t="s">
        <v>328</v>
      </c>
      <c r="D32" s="415" t="s">
        <v>335</v>
      </c>
      <c r="E32" s="415" t="s">
        <v>336</v>
      </c>
      <c r="F32" s="416"/>
      <c r="G32" s="416"/>
      <c r="H32" s="416"/>
      <c r="I32" s="416"/>
      <c r="J32" s="416">
        <v>1</v>
      </c>
      <c r="K32" s="416">
        <v>33.33</v>
      </c>
      <c r="L32" s="416">
        <v>1</v>
      </c>
      <c r="M32" s="416">
        <v>33.33</v>
      </c>
      <c r="N32" s="416"/>
      <c r="O32" s="416"/>
      <c r="P32" s="417"/>
      <c r="Q32" s="418"/>
    </row>
    <row r="33" spans="1:17" ht="14.4" customHeight="1" x14ac:dyDescent="0.3">
      <c r="A33" s="414" t="s">
        <v>362</v>
      </c>
      <c r="B33" s="415" t="s">
        <v>327</v>
      </c>
      <c r="C33" s="415" t="s">
        <v>328</v>
      </c>
      <c r="D33" s="415" t="s">
        <v>337</v>
      </c>
      <c r="E33" s="415" t="s">
        <v>338</v>
      </c>
      <c r="F33" s="416">
        <v>2</v>
      </c>
      <c r="G33" s="416">
        <v>746</v>
      </c>
      <c r="H33" s="416">
        <v>1.9946524064171123</v>
      </c>
      <c r="I33" s="416">
        <v>373</v>
      </c>
      <c r="J33" s="416">
        <v>1</v>
      </c>
      <c r="K33" s="416">
        <v>374</v>
      </c>
      <c r="L33" s="416">
        <v>1</v>
      </c>
      <c r="M33" s="416">
        <v>374</v>
      </c>
      <c r="N33" s="416">
        <v>1</v>
      </c>
      <c r="O33" s="416">
        <v>377</v>
      </c>
      <c r="P33" s="417">
        <v>1.0080213903743316</v>
      </c>
      <c r="Q33" s="418">
        <v>377</v>
      </c>
    </row>
    <row r="34" spans="1:17" ht="14.4" customHeight="1" x14ac:dyDescent="0.3">
      <c r="A34" s="414" t="s">
        <v>362</v>
      </c>
      <c r="B34" s="415" t="s">
        <v>327</v>
      </c>
      <c r="C34" s="415" t="s">
        <v>328</v>
      </c>
      <c r="D34" s="415" t="s">
        <v>341</v>
      </c>
      <c r="E34" s="415" t="s">
        <v>342</v>
      </c>
      <c r="F34" s="416"/>
      <c r="G34" s="416"/>
      <c r="H34" s="416"/>
      <c r="I34" s="416"/>
      <c r="J34" s="416">
        <v>1</v>
      </c>
      <c r="K34" s="416">
        <v>283</v>
      </c>
      <c r="L34" s="416">
        <v>1</v>
      </c>
      <c r="M34" s="416">
        <v>283</v>
      </c>
      <c r="N34" s="416"/>
      <c r="O34" s="416"/>
      <c r="P34" s="417"/>
      <c r="Q34" s="418"/>
    </row>
    <row r="35" spans="1:17" ht="14.4" customHeight="1" x14ac:dyDescent="0.3">
      <c r="A35" s="414" t="s">
        <v>363</v>
      </c>
      <c r="B35" s="415" t="s">
        <v>327</v>
      </c>
      <c r="C35" s="415" t="s">
        <v>328</v>
      </c>
      <c r="D35" s="415" t="s">
        <v>333</v>
      </c>
      <c r="E35" s="415" t="s">
        <v>334</v>
      </c>
      <c r="F35" s="416"/>
      <c r="G35" s="416"/>
      <c r="H35" s="416"/>
      <c r="I35" s="416"/>
      <c r="J35" s="416"/>
      <c r="K35" s="416"/>
      <c r="L35" s="416"/>
      <c r="M35" s="416"/>
      <c r="N35" s="416">
        <v>26</v>
      </c>
      <c r="O35" s="416">
        <v>14508</v>
      </c>
      <c r="P35" s="417"/>
      <c r="Q35" s="418">
        <v>558</v>
      </c>
    </row>
    <row r="36" spans="1:17" ht="14.4" customHeight="1" thickBot="1" x14ac:dyDescent="0.35">
      <c r="A36" s="419" t="s">
        <v>363</v>
      </c>
      <c r="B36" s="420" t="s">
        <v>327</v>
      </c>
      <c r="C36" s="420" t="s">
        <v>328</v>
      </c>
      <c r="D36" s="420" t="s">
        <v>337</v>
      </c>
      <c r="E36" s="420" t="s">
        <v>338</v>
      </c>
      <c r="F36" s="421"/>
      <c r="G36" s="421"/>
      <c r="H36" s="421"/>
      <c r="I36" s="421"/>
      <c r="J36" s="421"/>
      <c r="K36" s="421"/>
      <c r="L36" s="421"/>
      <c r="M36" s="421"/>
      <c r="N36" s="421">
        <v>1</v>
      </c>
      <c r="O36" s="421">
        <v>377</v>
      </c>
      <c r="P36" s="422"/>
      <c r="Q36" s="423">
        <v>377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2019-04-26T13:23:23Z</dcterms:modified>
</cp:coreProperties>
</file>