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Osobní náklady" sheetId="431" r:id="rId7"/>
    <sheet name="ON Data" sheetId="432" state="hidden" r:id="rId8"/>
    <sheet name="ZV Vykáz.-A" sheetId="344" r:id="rId9"/>
    <sheet name="ZV Vykáz.-A Lékaři" sheetId="429" r:id="rId10"/>
    <sheet name="ZV Vykáz.-A Detail" sheetId="345" r:id="rId11"/>
    <sheet name="ZV Vykáz.-A Det.Lék." sheetId="430" r:id="rId12"/>
    <sheet name="ZV Vykáz.-H" sheetId="410" r:id="rId13"/>
    <sheet name="ZV Vykáz.-H Detail" sheetId="377" r:id="rId14"/>
  </sheets>
  <definedNames>
    <definedName name="_xlnm._FilterDatabase" localSheetId="5" hidden="1">HV!$A$5:$A$5</definedName>
    <definedName name="_xlnm._FilterDatabase" localSheetId="4" hidden="1">'Man Tab'!$A$5:$A$31</definedName>
    <definedName name="_xlnm._FilterDatabase" localSheetId="11" hidden="1">'ZV Vykáz.-A Det.Lék.'!$A$5:$S$5</definedName>
    <definedName name="_xlnm._FilterDatabase" localSheetId="10" hidden="1">'ZV Vykáz.-A Detail'!$A$5:$R$5</definedName>
    <definedName name="_xlnm._FilterDatabase" localSheetId="9" hidden="1">'ZV Vykáz.-A Lékaři'!$A$4:$A$5</definedName>
    <definedName name="_xlnm._FilterDatabase" localSheetId="13" hidden="1">'ZV Vykáz.-H Detail'!$A$5:$Q$5</definedName>
    <definedName name="doměsíce">'HI Graf'!$C$11</definedName>
    <definedName name="Obdobi" localSheetId="7">'ON Data'!$B$3:$B$16</definedName>
    <definedName name="Obdobi" localSheetId="6">'ON Data'!$B$3:$B$16</definedName>
    <definedName name="Obdobi">#REF!</definedName>
  </definedNames>
  <calcPr calcId="162913"/>
</workbook>
</file>

<file path=xl/calcChain.xml><?xml version="1.0" encoding="utf-8"?>
<calcChain xmlns="http://schemas.openxmlformats.org/spreadsheetml/2006/main">
  <c r="C9" i="431" l="1"/>
  <c r="D9" i="431"/>
  <c r="E9" i="431"/>
  <c r="F9" i="431"/>
  <c r="G9" i="431"/>
  <c r="H9" i="431"/>
  <c r="I9" i="431"/>
  <c r="J9" i="431"/>
  <c r="K9" i="431"/>
  <c r="L9" i="431"/>
  <c r="M9" i="431"/>
  <c r="N9" i="431"/>
  <c r="O9" i="431"/>
  <c r="P9" i="431"/>
  <c r="Q9" i="431"/>
  <c r="D11" i="431"/>
  <c r="H11" i="431"/>
  <c r="J11" i="431"/>
  <c r="L11" i="431"/>
  <c r="N11" i="431"/>
  <c r="P11" i="431"/>
  <c r="C12" i="431"/>
  <c r="E12" i="431"/>
  <c r="G12" i="431"/>
  <c r="I12" i="431"/>
  <c r="K12" i="431"/>
  <c r="L12" i="431"/>
  <c r="N12" i="431"/>
  <c r="P12" i="431"/>
  <c r="Q12" i="431"/>
  <c r="C10" i="431"/>
  <c r="D10" i="431"/>
  <c r="E10" i="431"/>
  <c r="F10" i="431"/>
  <c r="G10" i="431"/>
  <c r="H10" i="431"/>
  <c r="I10" i="431"/>
  <c r="J10" i="431"/>
  <c r="K10" i="431"/>
  <c r="L10" i="431"/>
  <c r="M10" i="431"/>
  <c r="N10" i="431"/>
  <c r="O10" i="431"/>
  <c r="P10" i="431"/>
  <c r="Q10" i="431"/>
  <c r="C11" i="431"/>
  <c r="E11" i="431"/>
  <c r="F11" i="431"/>
  <c r="G11" i="431"/>
  <c r="I11" i="431"/>
  <c r="K11" i="431"/>
  <c r="M11" i="431"/>
  <c r="O11" i="431"/>
  <c r="Q11" i="431"/>
  <c r="D12" i="431"/>
  <c r="F12" i="431"/>
  <c r="H12" i="431"/>
  <c r="J12" i="431"/>
  <c r="M12" i="431"/>
  <c r="O12" i="431"/>
  <c r="O8" i="431"/>
  <c r="I8" i="431"/>
  <c r="M8" i="431"/>
  <c r="Q8" i="431"/>
  <c r="H8" i="431"/>
  <c r="P8" i="431"/>
  <c r="N8" i="431"/>
  <c r="J8" i="431"/>
  <c r="E8" i="431"/>
  <c r="K8" i="431"/>
  <c r="L8" i="431"/>
  <c r="G8" i="431"/>
  <c r="D8" i="431"/>
  <c r="C8" i="431"/>
  <c r="F8" i="431"/>
  <c r="R11" i="431" l="1"/>
  <c r="S11" i="431"/>
  <c r="R10" i="431"/>
  <c r="S10" i="431"/>
  <c r="S12" i="431"/>
  <c r="R12" i="431"/>
  <c r="R9" i="431"/>
  <c r="S9" i="431"/>
  <c r="C6" i="431"/>
  <c r="L6" i="431"/>
  <c r="R8" i="431"/>
  <c r="S8" i="431"/>
  <c r="Q6" i="431"/>
  <c r="N6" i="431"/>
  <c r="K6" i="431"/>
  <c r="M6" i="431"/>
  <c r="H6" i="431"/>
  <c r="I6" i="431"/>
  <c r="P6" i="431"/>
  <c r="G6" i="431"/>
  <c r="J6" i="431"/>
  <c r="O6" i="431"/>
  <c r="R6" i="431" l="1"/>
  <c r="S6" i="431"/>
  <c r="D18" i="414" l="1"/>
  <c r="E18" i="414" s="1"/>
  <c r="D17" i="414"/>
  <c r="A17" i="383" l="1"/>
  <c r="Q3" i="430"/>
  <c r="P3" i="430"/>
  <c r="S3" i="430" s="1"/>
  <c r="M3" i="430"/>
  <c r="R3" i="430" s="1"/>
  <c r="L3" i="430"/>
  <c r="I3" i="430"/>
  <c r="H3" i="430"/>
  <c r="H3" i="344" l="1"/>
  <c r="E11" i="339" s="1"/>
  <c r="E3" i="344"/>
  <c r="B3" i="344"/>
  <c r="I3" i="344" l="1"/>
  <c r="J3" i="344"/>
  <c r="D16" i="414" s="1"/>
  <c r="C11" i="339"/>
  <c r="E17" i="414"/>
  <c r="A18" i="414"/>
  <c r="A17" i="414"/>
  <c r="A16" i="414"/>
  <c r="A7" i="414" l="1"/>
  <c r="A15" i="383" l="1"/>
  <c r="G3" i="429"/>
  <c r="F3" i="429"/>
  <c r="E3" i="429"/>
  <c r="D3" i="429"/>
  <c r="C3" i="429"/>
  <c r="B3" i="429"/>
  <c r="C11" i="340" l="1"/>
  <c r="A7" i="33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1" i="414" l="1"/>
  <c r="D7" i="414"/>
  <c r="A14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0" i="414" l="1"/>
  <c r="A15" i="414"/>
  <c r="R3" i="410" l="1"/>
  <c r="Q3" i="410"/>
  <c r="P3" i="410"/>
  <c r="S3" i="410" s="1"/>
  <c r="O3" i="410"/>
  <c r="N3" i="410"/>
  <c r="L3" i="410"/>
  <c r="K3" i="410"/>
  <c r="J3" i="410"/>
  <c r="M3" i="410" s="1"/>
  <c r="I3" i="410"/>
  <c r="H3" i="410"/>
  <c r="F3" i="410"/>
  <c r="E3" i="410"/>
  <c r="D3" i="410"/>
  <c r="C3" i="410"/>
  <c r="B3" i="410"/>
  <c r="G3" i="410" l="1"/>
  <c r="D19" i="414" s="1"/>
  <c r="Z3" i="344"/>
  <c r="Y3" i="344"/>
  <c r="W3" i="344"/>
  <c r="AB3" i="344" s="1"/>
  <c r="V3" i="344"/>
  <c r="T3" i="344"/>
  <c r="AA3" i="344" s="1"/>
  <c r="Q3" i="344"/>
  <c r="P3" i="344"/>
  <c r="N3" i="344"/>
  <c r="S3" i="344" s="1"/>
  <c r="M3" i="344"/>
  <c r="K3" i="344"/>
  <c r="R3" i="344" s="1"/>
  <c r="G3" i="344"/>
  <c r="C3" i="344"/>
  <c r="B11" i="339"/>
  <c r="J11" i="339" s="1"/>
  <c r="I11" i="339" l="1"/>
  <c r="F11" i="339"/>
  <c r="H11" i="339" l="1"/>
  <c r="G11" i="339"/>
  <c r="A19" i="414"/>
  <c r="A11" i="414"/>
  <c r="A12" i="414"/>
  <c r="A4" i="414"/>
  <c r="A6" i="339" l="1"/>
  <c r="A5" i="339"/>
  <c r="C15" i="414"/>
  <c r="D4" i="414"/>
  <c r="C12" i="414"/>
  <c r="D12" i="414"/>
  <c r="D15" i="414"/>
  <c r="C11" i="414" l="1"/>
  <c r="C7" i="414"/>
  <c r="E19" i="414" l="1"/>
  <c r="E16" i="414"/>
  <c r="E11" i="414"/>
  <c r="E7" i="414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E12" i="339" l="1"/>
  <c r="C12" i="339"/>
  <c r="F12" i="339" s="1"/>
  <c r="B12" i="339"/>
  <c r="J12" i="339" s="1"/>
  <c r="O3" i="377"/>
  <c r="N3" i="377"/>
  <c r="Q3" i="377" s="1"/>
  <c r="K3" i="377"/>
  <c r="P3" i="377" s="1"/>
  <c r="J3" i="377"/>
  <c r="G3" i="377"/>
  <c r="F3" i="377"/>
  <c r="P3" i="345"/>
  <c r="O3" i="345"/>
  <c r="R3" i="345" s="1"/>
  <c r="L3" i="345"/>
  <c r="Q3" i="345" s="1"/>
  <c r="K3" i="345"/>
  <c r="H3" i="345"/>
  <c r="G3" i="345"/>
  <c r="D20" i="414"/>
  <c r="C20" i="414"/>
  <c r="I12" i="339" l="1"/>
  <c r="I13" i="339" s="1"/>
  <c r="F13" i="339"/>
  <c r="E13" i="339"/>
  <c r="E15" i="339" s="1"/>
  <c r="H12" i="339"/>
  <c r="G12" i="339"/>
  <c r="A4" i="383"/>
  <c r="A19" i="383"/>
  <c r="A18" i="383"/>
  <c r="A16" i="383"/>
  <c r="A14" i="383"/>
  <c r="A11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C4" i="414"/>
  <c r="D14" i="414"/>
  <c r="J13" i="339" l="1"/>
  <c r="B15" i="339"/>
  <c r="H13" i="339"/>
  <c r="F15" i="339"/>
  <c r="E12" i="414"/>
  <c r="E4" i="414"/>
  <c r="C6" i="340"/>
  <c r="D6" i="340" s="1"/>
  <c r="B4" i="340"/>
  <c r="G13" i="339"/>
  <c r="B13" i="340" l="1"/>
  <c r="B12" i="340"/>
  <c r="G15" i="339"/>
  <c r="H15" i="339"/>
  <c r="C4" i="340"/>
  <c r="E15" i="414"/>
  <c r="E20" i="414"/>
  <c r="D4" i="340"/>
  <c r="E6" i="340"/>
  <c r="C14" i="414"/>
  <c r="E14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<sst xmlns="http://schemas.openxmlformats.org/spreadsheetml/2006/main" count="832" uniqueCount="372">
  <si>
    <t>NS</t>
  </si>
  <si>
    <t>%</t>
  </si>
  <si>
    <t>Celkem</t>
  </si>
  <si>
    <t>Kč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</si>
  <si>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</si>
  <si>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</si>
  <si>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</si>
  <si>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</si>
  <si>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</si>
  <si>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</si>
  <si>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</si>
  <si>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</si>
  <si>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</si>
  <si>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</si>
  <si>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</si>
  <si>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</si>
  <si>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</si>
  <si>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</si>
  <si>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</si>
  <si>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</si>
  <si>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</si>
  <si>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</si>
  <si>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</si>
  <si>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</si>
  <si>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</si>
  <si>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</si>
  <si>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</si>
  <si>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</si>
  <si>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</si>
  <si>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</si>
  <si>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</si>
  <si>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</si>
  <si>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</si>
  <si>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</si>
  <si>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</si>
  <si>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</si>
  <si>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</si>
  <si>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</si>
  <si>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</si>
  <si>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</si>
  <si>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</si>
  <si>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</si>
  <si>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</si>
  <si>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</si>
  <si>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</si>
  <si>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</si>
  <si>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</si>
  <si>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</si>
  <si>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</si>
  <si>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</si>
  <si>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</si>
  <si>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</si>
  <si>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</si>
  <si>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</si>
  <si>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</si>
  <si>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</si>
  <si>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</si>
  <si>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</si>
  <si>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</si>
  <si>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</si>
  <si>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</si>
  <si>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</si>
  <si>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</si>
  <si>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</si>
  <si>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</si>
  <si>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</si>
  <si>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</si>
  <si>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</si>
  <si>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</si>
  <si>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</si>
  <si>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</si>
  <si>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</si>
  <si>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</si>
  <si>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</si>
  <si>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</si>
  <si>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</si>
  <si>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</si>
  <si>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</si>
  <si>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</si>
  <si>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</si>
  <si>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</si>
  <si>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</si>
  <si>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</si>
  <si>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</si>
  <si>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</si>
  <si>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</si>
  <si>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</si>
  <si>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</si>
  <si>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</si>
  <si>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</si>
  <si>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</si>
  <si>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</si>
  <si>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</si>
  <si>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</si>
  <si>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</si>
  <si>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</si>
  <si>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</si>
  <si>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Lékař</t>
  </si>
  <si>
    <t>Hospodaření zdravotnického pracoviště (v tisících)</t>
  </si>
  <si>
    <t>Přehledové sestavy</t>
  </si>
  <si>
    <t>Akt. měsíc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</si>
  <si>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</si>
  <si>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</si>
  <si>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</si>
  <si>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</si>
  <si>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</si>
  <si>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</si>
  <si>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</si>
  <si>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</si>
  <si>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</si>
  <si>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</si>
  <si>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</si>
  <si>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</si>
  <si>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</si>
  <si>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</si>
  <si>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</si>
  <si>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</si>
  <si>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</si>
  <si>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</si>
  <si>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</si>
  <si>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</si>
  <si>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</si>
  <si>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</si>
  <si>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</si>
  <si>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</si>
  <si>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</si>
  <si>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</si>
  <si>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</si>
  <si>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</si>
  <si>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</si>
  <si>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</si>
  <si>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</si>
  <si>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</si>
  <si>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</si>
  <si>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</si>
  <si>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</si>
  <si>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</si>
  <si>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</si>
  <si>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</si>
  <si>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</si>
  <si>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Ambulance = vykázané výkony (body)</t>
  </si>
  <si>
    <t>Počet výkonů</t>
  </si>
  <si>
    <t>ZV Vykáz.-A Lékaři</t>
  </si>
  <si>
    <t>Sml.odb./NS</t>
  </si>
  <si>
    <t>% 2015</t>
  </si>
  <si>
    <t>§</t>
  </si>
  <si>
    <t>ZV Vykáz.-A Det.Lék.</t>
  </si>
  <si>
    <t>Rozdíl 2015</t>
  </si>
  <si>
    <t>Plnění 2015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</si>
  <si>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</si>
  <si>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</si>
  <si>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</si>
  <si>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</si>
  <si>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</si>
  <si>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</si>
  <si>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</si>
  <si>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</si>
  <si>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</si>
  <si>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</si>
  <si>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</si>
  <si>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</si>
  <si>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</si>
  <si>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</si>
  <si>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</si>
  <si>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</si>
  <si>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</si>
  <si>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</si>
  <si>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</si>
  <si>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</si>
  <si>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</si>
  <si>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</si>
  <si>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</si>
  <si>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</si>
  <si>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</si>
  <si>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</si>
  <si>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</si>
  <si>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</si>
  <si>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</si>
  <si>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</si>
  <si>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</si>
  <si>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t>POMĚROVÉ  PLNĚNÍ = Rozpočet na rok 2018 celkem a 1/12  ročního rozpočtu, skutečnost daných měsíců a % plnění načítané skutečnosti do data k poměrné části rozpočtu do data.</t>
  </si>
  <si>
    <t>Rozpočet výnosů pro rok 2019 je stanoven jako 100% skutečnosti referenčního období (2018)</t>
  </si>
  <si>
    <t>01/2019</t>
  </si>
  <si>
    <t>02/2019</t>
  </si>
  <si>
    <t>03/2019</t>
  </si>
  <si>
    <t>04/2019</t>
  </si>
  <si>
    <t>05/2019</t>
  </si>
  <si>
    <t>06/2019</t>
  </si>
  <si>
    <t>07/2019</t>
  </si>
  <si>
    <t>08/2019</t>
  </si>
  <si>
    <t>09/2019</t>
  </si>
  <si>
    <t>10/2019</t>
  </si>
  <si>
    <t>11/2019</t>
  </si>
  <si>
    <t>12/2019</t>
  </si>
  <si>
    <t>Rozp. 2018            CELKEM</t>
  </si>
  <si>
    <t>Skut. 2018 CELKEM</t>
  </si>
  <si>
    <t>ROZDÍL  Skut. - Rozp. 2018</t>
  </si>
  <si>
    <t>% plnění rozp.2018</t>
  </si>
  <si>
    <t>Rozp.rok 2019</t>
  </si>
  <si>
    <t>Sk.v tis 2019</t>
  </si>
  <si>
    <t>ROZDÍL (Sk.do data - Rozp.do data 2019)</t>
  </si>
  <si>
    <t>% plnění (Skut.do data/Rozp.rok 2019)</t>
  </si>
  <si>
    <r>
      <t>Zpět na Obsah</t>
    </r>
    <r>
      <rPr>
        <sz val="9"/>
        <rFont val="Calibri"/>
        <family val="2"/>
        <charset val="238"/>
        <scheme val="minor"/>
      </rPr>
      <t xml:space="preserve"> | 1.-4.měsíc | Oddělení klinické logopedie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</si>
  <si>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</si>
  <si>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</si>
  <si>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</si>
  <si>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</si>
  <si>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</si>
  <si>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50117     Všeobecný materiál</t>
  </si>
  <si>
    <t>50117003     desinfekční prostředky (ID-ř.733-LEK)</t>
  </si>
  <si>
    <t>50117004     tiskopisy a kanc.potřeby (sk.V42, 43)</t>
  </si>
  <si>
    <t>50117005     údržbový materiál ZVIT (sk.B36,61,62,64)</t>
  </si>
  <si>
    <t>50117015     IT - spotřební materiál (sk. P37, 38, 48)</t>
  </si>
  <si>
    <t>50117023     všeob.mat. - kancel.tech. (V34) od 1tis do 2999,99</t>
  </si>
  <si>
    <t>--</t>
  </si>
  <si>
    <t>50117024     všeob.mat. - ostatní-vyjímky (V44) od 0,01 do 999,99</t>
  </si>
  <si>
    <t>50119     DDHM a textil</t>
  </si>
  <si>
    <t>50119077     OOPP a prádlo pro zaměstnance (sk.T14)</t>
  </si>
  <si>
    <t>50160     Knihy a časopisy</t>
  </si>
  <si>
    <t>50160002     knihy a časopisy</t>
  </si>
  <si>
    <t>50210     Spotřeba energie</t>
  </si>
  <si>
    <t>50210071     elektřina</t>
  </si>
  <si>
    <t>50210072     vodné, stočné</t>
  </si>
  <si>
    <t>50210073     pára</t>
  </si>
  <si>
    <t>51     Služby</t>
  </si>
  <si>
    <t>51102     Technika a stavby</t>
  </si>
  <si>
    <t>51102023     opravy ostatní techniky - OSBTK, vč.metrologa</t>
  </si>
  <si>
    <t>51102024     opravy - správa budov</t>
  </si>
  <si>
    <t>51102025     opravy - hl.energetik</t>
  </si>
  <si>
    <t>51102033     opravy ostatní techniky - UTZ</t>
  </si>
  <si>
    <t>51102034     opravy ostatní techniky - ELSYS</t>
  </si>
  <si>
    <t>51201     Cestovné zaměstnanců-tuzemské</t>
  </si>
  <si>
    <t>51201000     cestovné z mezd</t>
  </si>
  <si>
    <t>51802     Spoje</t>
  </si>
  <si>
    <t>51802001     poštovné</t>
  </si>
  <si>
    <t>51802003     telekom.styk</t>
  </si>
  <si>
    <t>51804     Nájemné</t>
  </si>
  <si>
    <t>51804004     popl. za R a TV, veř. produkce</t>
  </si>
  <si>
    <t>51806     Úklid, odpad, desinf., deratizace</t>
  </si>
  <si>
    <t>51806001     úklid. služby - paušál</t>
  </si>
  <si>
    <t>51808     Revize a smluvní servisy majetku</t>
  </si>
  <si>
    <t>51808007     revize, sml.servis - energetik</t>
  </si>
  <si>
    <t>51808008     revize, tech.kontroly, prev.prohl.- OSBTK</t>
  </si>
  <si>
    <t>51874     Ostatní služby</t>
  </si>
  <si>
    <t>51874018     propagace, reklama, tisk (TM)</t>
  </si>
  <si>
    <t>521     Mzdové náklady</t>
  </si>
  <si>
    <t>52111     Hrubé mzdy</t>
  </si>
  <si>
    <t>52111000     hrubé mzdy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</si>
  <si>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</si>
  <si>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</si>
  <si>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</si>
  <si>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</si>
  <si>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</si>
  <si>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</si>
  <si>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</si>
  <si>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525     Jiné sociální pojištění</t>
  </si>
  <si>
    <t>52510     Jiné sociální pojištění</t>
  </si>
  <si>
    <t>52510000     pojištění zaměstnanců (čtvrtletně)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</si>
  <si>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</si>
  <si>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</si>
  <si>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</si>
  <si>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</si>
  <si>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</si>
  <si>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</si>
  <si>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54910003     práce výrobní povahy(výroba klíčů,tabulek)</t>
  </si>
  <si>
    <t>54972     Školení, kongres.popl.tuzemské - lékaři (pouze OPMČ)</t>
  </si>
  <si>
    <t>54972000     školení, kongres.popl.tuzemské - lékaři (pouze OPMČ)</t>
  </si>
  <si>
    <t>54973     Školení, kongres.popl.tuzemské - ostatní zdrav.prac.(pouze OPMČ)</t>
  </si>
  <si>
    <t>54973000     školení, kongres.popl.tuzemské - ostatní zdrav.prac.(pouze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</si>
  <si>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</si>
  <si>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</si>
  <si>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</si>
  <si>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</si>
  <si>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55110013     odpisy DHM - budovy z dotací</t>
  </si>
  <si>
    <t>558     Náklady z drobného dlouhodobého majetku</t>
  </si>
  <si>
    <t>55805     DDHM - inventář</t>
  </si>
  <si>
    <t>55805002     DDHM - nábytek (sk.V_31)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</si>
  <si>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</si>
  <si>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</si>
  <si>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</si>
  <si>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</si>
  <si>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60210359     zdr.služby - tuzemci (plastika atd. ...)</t>
  </si>
  <si>
    <t>60229     Zdr. výkony - ZP sled.položky  OZPI</t>
  </si>
  <si>
    <t>60229208     výkony + mater. - ZP na výkon</t>
  </si>
  <si>
    <t>60245     Fakturace ZP - běžný rok (paušál)   OZPI</t>
  </si>
  <si>
    <t>60245400     tržby VZP za zdrav.péči - paušál</t>
  </si>
  <si>
    <t>60245401     tržby ZP za zdrav.péči - paušál</t>
  </si>
  <si>
    <t>60246     Dorovnání péče ZP - min.let         OZPI</t>
  </si>
  <si>
    <t>60246400     tržby VZP za zdrav.péči - dorovnání min.let</t>
  </si>
  <si>
    <t>60246401     tržby ZP za zdrav.péči - dorovnání min.let</t>
  </si>
  <si>
    <t>64     Jiné provozní výnosy</t>
  </si>
  <si>
    <t>649     Ostatní výnosy z činnosti</t>
  </si>
  <si>
    <t>64908     Ostatní výnosy z činnosti</t>
  </si>
  <si>
    <t>64908000     rozdíly v zaokrouhlení</t>
  </si>
  <si>
    <t>64924     Ostatní služby - mimo zdrav.výkony  FAKTURACE</t>
  </si>
  <si>
    <t>64924459     školení, stáže, odb. semináře, konference</t>
  </si>
  <si>
    <t>7     Účtová třída 7 - Vnitropodnikové účetnictví - náklady</t>
  </si>
  <si>
    <t>79     Vnitropodnikové náklady</t>
  </si>
  <si>
    <t>79902     VPN - ZVIT technická údržba</t>
  </si>
  <si>
    <t>79902000     výkony ZVIT - technická údržba</t>
  </si>
  <si>
    <t>79903     VPN - doprava</t>
  </si>
  <si>
    <t>79903003     výkony dopravy - nákladní</t>
  </si>
  <si>
    <t>79906     VPN - prádelna</t>
  </si>
  <si>
    <t>79906000     výkony prádelny - praní prádla</t>
  </si>
  <si>
    <t>79910     VPN - informační technologie</t>
  </si>
  <si>
    <t>79910001     výkony IT - fixní náklady (z 9086)</t>
  </si>
  <si>
    <t>79950     VPN - správní režie</t>
  </si>
  <si>
    <t>79950001     režie HTS</t>
  </si>
  <si>
    <t>2 VŠ NLZP</t>
  </si>
  <si>
    <t>4 THP</t>
  </si>
  <si>
    <t>1 Celkem</t>
  </si>
  <si>
    <t>2 Celkem</t>
  </si>
  <si>
    <t>3 Celkem</t>
  </si>
  <si>
    <t>4 Celkem</t>
  </si>
  <si>
    <t>ON Data</t>
  </si>
  <si>
    <t>kliničtí logopedové</t>
  </si>
  <si>
    <t>odborní pracovníci v lab. metodách</t>
  </si>
  <si>
    <t>THP</t>
  </si>
  <si>
    <t>Specializovaná ambulantní péče</t>
  </si>
  <si>
    <t>903 - Pracoviště klinické logopedie</t>
  </si>
  <si>
    <t>Zdravotní výkony vykázané na pracovišti v rámci ambulantní péče *</t>
  </si>
  <si>
    <t>3621</t>
  </si>
  <si>
    <t>beze jména</t>
  </si>
  <si>
    <t>* Legenda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</si>
  <si>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</si>
  <si>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</si>
  <si>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Zdravotní výkony vykázané na pracovišti v rámci ambulantní péče dle lékařů *</t>
  </si>
  <si>
    <t>06</t>
  </si>
  <si>
    <t>903</t>
  </si>
  <si>
    <t>V</t>
  </si>
  <si>
    <t>72017</t>
  </si>
  <si>
    <t>KONTROLNÍ VYŠETŘENÍ KLINICKÝM LOGOPEDEM</t>
  </si>
  <si>
    <t>72211</t>
  </si>
  <si>
    <t>LOGOPEDICKÁ TERAPIE POSKYTOVANÁ LOGOPEDEM V AMBULA</t>
  </si>
  <si>
    <t>72213</t>
  </si>
  <si>
    <t>LOGOPEDICKÁ TERAPIE ZVLÁŠTĚ NÁROČNÁ POSKYTOVANÁ PŘ</t>
  </si>
  <si>
    <t>09543</t>
  </si>
  <si>
    <t>Signalni kod</t>
  </si>
  <si>
    <t>72015</t>
  </si>
  <si>
    <t>KOMPLEXNÍ VYŠETŘENÍ KLINICKÝM LOGOPEDEM</t>
  </si>
  <si>
    <t>72215</t>
  </si>
  <si>
    <t>LOGOPEDICKÁ TERAPIE STŘEDNĚ NÁROČNÁ POSKYTOVANÁ PŘ</t>
  </si>
  <si>
    <t>72016</t>
  </si>
  <si>
    <t>CÍLENÉ VYŠETŘENÍ KLINICKÝM LOGOPEDEM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</si>
  <si>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</si>
  <si>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lékařů</t>
  </si>
  <si>
    <t>01 - I. interní klinika - kardiologická</t>
  </si>
  <si>
    <t>02 - II. interní klinika - gastro-enterologická a hepatologická</t>
  </si>
  <si>
    <t>03 - III. interní klinika - nefrologická, revmatologická a endokrinologická</t>
  </si>
  <si>
    <t>05 - II. chirurgická klinika - cévně-transplantační</t>
  </si>
  <si>
    <t>06 - Neurochirurgická klinika</t>
  </si>
  <si>
    <t>07 - Klinika anesteziologie, resuscitace a intenzivní medicíny</t>
  </si>
  <si>
    <t>10 - Dětská klinika</t>
  </si>
  <si>
    <t>16 - Klinika plicních nemocí a tuberkulózy</t>
  </si>
  <si>
    <t>17 - Neurologická klinika</t>
  </si>
  <si>
    <t>26 - Oddělení rehabilitace</t>
  </si>
  <si>
    <t>30 - Oddělení geriatrie</t>
  </si>
  <si>
    <t>31 - Traumatologické oddělení</t>
  </si>
  <si>
    <t>32 - Hemato-onkologická klinika</t>
  </si>
  <si>
    <t>01</t>
  </si>
  <si>
    <t>02</t>
  </si>
  <si>
    <t>03</t>
  </si>
  <si>
    <t>05</t>
  </si>
  <si>
    <t>07</t>
  </si>
  <si>
    <t>10</t>
  </si>
  <si>
    <t>16</t>
  </si>
  <si>
    <t>17</t>
  </si>
  <si>
    <t>26</t>
  </si>
  <si>
    <t>30</t>
  </si>
  <si>
    <t>31</t>
  </si>
  <si>
    <t>32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</si>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</sst>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68" formatCode="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#,##0%;\-#,##0%;"/>
    <numFmt numFmtId="176" formatCode="#,##0.0;\-#,##0.0;"/>
    <numFmt numFmtId="177" formatCode="#,##0%"/>
  </numFmts>
  <fonts count="61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12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95">
    <xf numFmtId="0" fontId="0" fillId="0" borderId="0"/>
    <xf numFmtId="0" fontId="25" fillId="0" borderId="0" applyNumberForma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7" fillId="0" borderId="0"/>
    <xf numFmtId="0" fontId="7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440">
    <xf numFmtId="0" fontId="0" fillId="0" borderId="0" xfId="0"/>
    <xf numFmtId="0" fontId="27" fillId="2" borderId="17" xfId="78" applyFont="1" applyFill="1" applyBorder="1"/>
    <xf numFmtId="0" fontId="28" fillId="2" borderId="18" xfId="78" applyFont="1" applyFill="1" applyBorder="1"/>
    <xf numFmtId="3" fontId="28" fillId="2" borderId="19" xfId="78" applyNumberFormat="1" applyFont="1" applyFill="1" applyBorder="1"/>
    <xf numFmtId="0" fontId="28" fillId="4" borderId="18" xfId="78" applyFont="1" applyFill="1" applyBorder="1"/>
    <xf numFmtId="3" fontId="28" fillId="4" borderId="19" xfId="78" applyNumberFormat="1" applyFont="1" applyFill="1" applyBorder="1"/>
    <xf numFmtId="171" fontId="28" fillId="3" borderId="19" xfId="78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4" xfId="78" applyNumberFormat="1" applyFont="1" applyFill="1" applyBorder="1"/>
    <xf numFmtId="3" fontId="27" fillId="5" borderId="8" xfId="78" applyNumberFormat="1" applyFont="1" applyFill="1" applyBorder="1"/>
    <xf numFmtId="3" fontId="27" fillId="5" borderId="12" xfId="78" applyNumberFormat="1" applyFont="1" applyFill="1" applyBorder="1"/>
    <xf numFmtId="0" fontId="27" fillId="5" borderId="0" xfId="78" applyFont="1" applyFill="1"/>
    <xf numFmtId="10" fontId="27" fillId="5" borderId="0" xfId="78" applyNumberFormat="1" applyFont="1" applyFill="1"/>
    <xf numFmtId="0" fontId="37" fillId="2" borderId="33" xfId="0" applyFont="1" applyFill="1" applyBorder="1" applyAlignment="1">
      <alignment vertical="top"/>
    </xf>
    <xf numFmtId="0" fontId="37" fillId="2" borderId="34" xfId="0" applyFont="1" applyFill="1" applyBorder="1" applyAlignment="1">
      <alignment vertical="top"/>
    </xf>
    <xf numFmtId="0" fontId="34" fillId="2" borderId="34" xfId="0" applyFont="1" applyFill="1" applyBorder="1" applyAlignment="1">
      <alignment vertical="top"/>
    </xf>
    <xf numFmtId="0" fontId="38" fillId="2" borderId="34" xfId="0" applyFont="1" applyFill="1" applyBorder="1" applyAlignment="1">
      <alignment vertical="top"/>
    </xf>
    <xf numFmtId="0" fontId="36" fillId="2" borderId="34" xfId="0" applyFont="1" applyFill="1" applyBorder="1" applyAlignment="1">
      <alignment vertical="top"/>
    </xf>
    <xf numFmtId="0" fontId="34" fillId="2" borderId="35" xfId="0" applyFont="1" applyFill="1" applyBorder="1" applyAlignment="1">
      <alignment vertical="top"/>
    </xf>
    <xf numFmtId="0" fontId="37" fillId="2" borderId="8" xfId="0" applyFont="1" applyFill="1" applyBorder="1" applyAlignment="1">
      <alignment horizontal="center" vertical="center"/>
    </xf>
    <xf numFmtId="0" fontId="37" fillId="2" borderId="21" xfId="0" applyFont="1" applyFill="1" applyBorder="1" applyAlignment="1">
      <alignment horizontal="center" vertical="center"/>
    </xf>
    <xf numFmtId="0" fontId="37" fillId="2" borderId="23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8" fillId="2" borderId="21" xfId="0" applyFont="1" applyFill="1" applyBorder="1" applyAlignment="1">
      <alignment horizontal="center" vertical="center" wrapText="1"/>
    </xf>
    <xf numFmtId="0" fontId="38" fillId="2" borderId="23" xfId="0" applyFont="1" applyFill="1" applyBorder="1" applyAlignment="1">
      <alignment horizontal="center" vertical="center" wrapText="1"/>
    </xf>
    <xf numFmtId="0" fontId="36" fillId="2" borderId="23" xfId="0" applyFont="1" applyFill="1" applyBorder="1" applyAlignment="1">
      <alignment horizontal="center" vertical="center" wrapText="1"/>
    </xf>
    <xf numFmtId="3" fontId="27" fillId="5" borderId="4" xfId="78" applyNumberFormat="1" applyFont="1" applyFill="1" applyBorder="1"/>
    <xf numFmtId="3" fontId="27" fillId="5" borderId="29" xfId="78" applyNumberFormat="1" applyFont="1" applyFill="1" applyBorder="1"/>
    <xf numFmtId="3" fontId="27" fillId="5" borderId="25" xfId="78" applyNumberFormat="1" applyFont="1" applyFill="1" applyBorder="1"/>
    <xf numFmtId="3" fontId="27" fillId="5" borderId="9" xfId="78" applyNumberFormat="1" applyFont="1" applyFill="1" applyBorder="1"/>
    <xf numFmtId="3" fontId="27" fillId="5" borderId="10" xfId="78" applyNumberFormat="1" applyFont="1" applyFill="1" applyBorder="1"/>
    <xf numFmtId="3" fontId="27" fillId="5" borderId="13" xfId="78" applyNumberFormat="1" applyFont="1" applyFill="1" applyBorder="1"/>
    <xf numFmtId="3" fontId="27" fillId="5" borderId="14" xfId="78" applyNumberFormat="1" applyFont="1" applyFill="1" applyBorder="1"/>
    <xf numFmtId="3" fontId="28" fillId="2" borderId="27" xfId="78" applyNumberFormat="1" applyFont="1" applyFill="1" applyBorder="1"/>
    <xf numFmtId="3" fontId="28" fillId="2" borderId="20" xfId="78" applyNumberFormat="1" applyFont="1" applyFill="1" applyBorder="1"/>
    <xf numFmtId="3" fontId="28" fillId="4" borderId="27" xfId="78" applyNumberFormat="1" applyFont="1" applyFill="1" applyBorder="1"/>
    <xf numFmtId="3" fontId="28" fillId="4" borderId="20" xfId="78" applyNumberFormat="1" applyFont="1" applyFill="1" applyBorder="1"/>
    <xf numFmtId="171" fontId="28" fillId="3" borderId="27" xfId="78" applyNumberFormat="1" applyFont="1" applyFill="1" applyBorder="1"/>
    <xf numFmtId="171" fontId="28" fillId="3" borderId="20" xfId="78" applyNumberFormat="1" applyFont="1" applyFill="1" applyBorder="1"/>
    <xf numFmtId="0" fontId="31" fillId="2" borderId="25" xfId="78" applyFont="1" applyFill="1" applyBorder="1" applyAlignment="1">
      <alignment horizontal="center"/>
    </xf>
    <xf numFmtId="0" fontId="32" fillId="0" borderId="36" xfId="0" applyFont="1" applyFill="1" applyBorder="1" applyAlignment="1"/>
    <xf numFmtId="0" fontId="41" fillId="0" borderId="0" xfId="0" applyFont="1" applyFill="1" applyBorder="1" applyAlignment="1"/>
    <xf numFmtId="3" fontId="33" fillId="0" borderId="7" xfId="0" applyNumberFormat="1" applyFont="1" applyFill="1" applyBorder="1" applyAlignment="1">
      <alignment horizontal="right" vertical="top"/>
    </xf>
    <xf numFmtId="3" fontId="33" fillId="0" borderId="5" xfId="0" applyNumberFormat="1" applyFont="1" applyFill="1" applyBorder="1" applyAlignment="1">
      <alignment horizontal="right" vertical="top"/>
    </xf>
    <xf numFmtId="3" fontId="34" fillId="0" borderId="5" xfId="0" applyNumberFormat="1" applyFont="1" applyFill="1" applyBorder="1" applyAlignment="1">
      <alignment horizontal="right" vertical="top"/>
    </xf>
    <xf numFmtId="3" fontId="33" fillId="0" borderId="11" xfId="0" applyNumberFormat="1" applyFont="1" applyFill="1" applyBorder="1" applyAlignment="1">
      <alignment horizontal="right" vertical="top"/>
    </xf>
    <xf numFmtId="3" fontId="33" fillId="0" borderId="9" xfId="0" applyNumberFormat="1" applyFont="1" applyFill="1" applyBorder="1" applyAlignment="1">
      <alignment horizontal="right" vertical="top"/>
    </xf>
    <xf numFmtId="3" fontId="34" fillId="0" borderId="9" xfId="0" applyNumberFormat="1" applyFont="1" applyFill="1" applyBorder="1" applyAlignment="1">
      <alignment horizontal="right" vertical="top"/>
    </xf>
    <xf numFmtId="3" fontId="35" fillId="0" borderId="11" xfId="0" applyNumberFormat="1" applyFont="1" applyFill="1" applyBorder="1" applyAlignment="1">
      <alignment horizontal="right" vertical="top"/>
    </xf>
    <xf numFmtId="3" fontId="35" fillId="0" borderId="9" xfId="0" applyNumberFormat="1" applyFont="1" applyFill="1" applyBorder="1" applyAlignment="1">
      <alignment horizontal="right" vertical="top"/>
    </xf>
    <xf numFmtId="3" fontId="36" fillId="0" borderId="9" xfId="0" applyNumberFormat="1" applyFont="1" applyFill="1" applyBorder="1" applyAlignment="1">
      <alignment horizontal="right" vertical="top"/>
    </xf>
    <xf numFmtId="3" fontId="33" fillId="0" borderId="32" xfId="0" applyNumberFormat="1" applyFont="1" applyFill="1" applyBorder="1" applyAlignment="1">
      <alignment horizontal="right" vertical="top"/>
    </xf>
    <xf numFmtId="3" fontId="33" fillId="0" borderId="23" xfId="0" applyNumberFormat="1" applyFont="1" applyFill="1" applyBorder="1" applyAlignment="1">
      <alignment horizontal="right" vertical="top"/>
    </xf>
    <xf numFmtId="3" fontId="34" fillId="0" borderId="23" xfId="0" applyNumberFormat="1" applyFont="1" applyFill="1" applyBorder="1" applyAlignment="1">
      <alignment horizontal="right" vertical="top"/>
    </xf>
    <xf numFmtId="0" fontId="6" fillId="0" borderId="0" xfId="79" applyFont="1" applyFill="1"/>
    <xf numFmtId="0" fontId="8" fillId="0" borderId="36" xfId="79" applyFont="1" applyFill="1" applyBorder="1" applyAlignment="1"/>
    <xf numFmtId="164" fontId="3" fillId="0" borderId="57" xfId="53" applyNumberFormat="1" applyFont="1" applyFill="1" applyBorder="1"/>
    <xf numFmtId="9" fontId="3" fillId="0" borderId="57" xfId="53" applyNumberFormat="1" applyFont="1" applyFill="1" applyBorder="1"/>
    <xf numFmtId="0" fontId="32" fillId="0" borderId="30" xfId="0" applyFont="1" applyFill="1" applyBorder="1" applyAlignment="1"/>
    <xf numFmtId="0" fontId="32" fillId="0" borderId="31" xfId="0" applyFont="1" applyFill="1" applyBorder="1" applyAlignment="1"/>
    <xf numFmtId="0" fontId="32" fillId="0" borderId="52" xfId="0" applyFont="1" applyFill="1" applyBorder="1" applyAlignment="1"/>
    <xf numFmtId="0" fontId="3" fillId="2" borderId="55" xfId="53" applyFont="1" applyFill="1" applyBorder="1" applyAlignment="1">
      <alignment horizontal="right"/>
    </xf>
    <xf numFmtId="0" fontId="32" fillId="0" borderId="25" xfId="0" applyFont="1" applyBorder="1" applyAlignment="1"/>
    <xf numFmtId="0" fontId="32" fillId="5" borderId="6" xfId="0" applyFont="1" applyFill="1" applyBorder="1"/>
    <xf numFmtId="0" fontId="32" fillId="5" borderId="10" xfId="0" applyFont="1" applyFill="1" applyBorder="1"/>
    <xf numFmtId="0" fontId="32" fillId="5" borderId="22" xfId="0" applyFont="1" applyFill="1" applyBorder="1"/>
    <xf numFmtId="0" fontId="32" fillId="5" borderId="36" xfId="0" applyFont="1" applyFill="1" applyBorder="1"/>
    <xf numFmtId="0" fontId="32" fillId="5" borderId="44" xfId="0" applyFont="1" applyFill="1" applyBorder="1"/>
    <xf numFmtId="9" fontId="34" fillId="0" borderId="6" xfId="0" applyNumberFormat="1" applyFont="1" applyFill="1" applyBorder="1" applyAlignment="1">
      <alignment horizontal="right" vertical="top"/>
    </xf>
    <xf numFmtId="9" fontId="34" fillId="0" borderId="10" xfId="0" applyNumberFormat="1" applyFont="1" applyFill="1" applyBorder="1" applyAlignment="1">
      <alignment horizontal="right" vertical="top"/>
    </xf>
    <xf numFmtId="9" fontId="36" fillId="0" borderId="10" xfId="0" applyNumberFormat="1" applyFont="1" applyFill="1" applyBorder="1" applyAlignment="1">
      <alignment horizontal="right" vertical="top"/>
    </xf>
    <xf numFmtId="9" fontId="34" fillId="0" borderId="22" xfId="0" applyNumberFormat="1" applyFont="1" applyFill="1" applyBorder="1" applyAlignment="1">
      <alignment horizontal="right" vertical="top"/>
    </xf>
    <xf numFmtId="0" fontId="31" fillId="2" borderId="44" xfId="0" applyFont="1" applyFill="1" applyBorder="1" applyAlignment="1">
      <alignment horizontal="center"/>
    </xf>
    <xf numFmtId="3" fontId="3" fillId="0" borderId="56" xfId="53" applyNumberFormat="1" applyFont="1" applyFill="1" applyBorder="1"/>
    <xf numFmtId="3" fontId="3" fillId="0" borderId="57" xfId="53" applyNumberFormat="1" applyFont="1" applyFill="1" applyBorder="1"/>
    <xf numFmtId="3" fontId="3" fillId="0" borderId="58" xfId="53" applyNumberFormat="1" applyFont="1" applyFill="1" applyBorder="1"/>
    <xf numFmtId="0" fontId="31" fillId="2" borderId="44" xfId="0" applyNumberFormat="1" applyFont="1" applyFill="1" applyBorder="1" applyAlignment="1">
      <alignment horizontal="center"/>
    </xf>
    <xf numFmtId="169" fontId="32" fillId="0" borderId="0" xfId="0" applyNumberFormat="1" applyFont="1" applyFill="1"/>
    <xf numFmtId="0" fontId="31" fillId="2" borderId="40" xfId="74" applyFont="1" applyFill="1" applyBorder="1" applyAlignment="1">
      <alignment horizontal="center"/>
    </xf>
    <xf numFmtId="0" fontId="27" fillId="5" borderId="36" xfId="78" applyFont="1" applyFill="1" applyBorder="1"/>
    <xf numFmtId="0" fontId="31" fillId="2" borderId="23" xfId="78" applyFont="1" applyFill="1" applyBorder="1" applyAlignment="1">
      <alignment horizontal="center"/>
    </xf>
    <xf numFmtId="0" fontId="31" fillId="2" borderId="22" xfId="78" applyFont="1" applyFill="1" applyBorder="1" applyAlignment="1">
      <alignment horizontal="center"/>
    </xf>
    <xf numFmtId="0" fontId="32" fillId="0" borderId="0" xfId="0" applyFont="1" applyFill="1" applyBorder="1" applyAlignment="1"/>
    <xf numFmtId="0" fontId="45" fillId="2" borderId="17" xfId="1" applyFont="1" applyFill="1" applyBorder="1"/>
    <xf numFmtId="0" fontId="46" fillId="0" borderId="0" xfId="0" applyFont="1" applyFill="1"/>
    <xf numFmtId="0" fontId="47" fillId="0" borderId="0" xfId="0" applyFont="1" applyFill="1"/>
    <xf numFmtId="0" fontId="47" fillId="0" borderId="0" xfId="0" applyFont="1" applyFill="1" applyBorder="1"/>
    <xf numFmtId="3" fontId="32" fillId="0" borderId="29" xfId="0" applyNumberFormat="1" applyFont="1" applyFill="1" applyBorder="1"/>
    <xf numFmtId="3" fontId="32" fillId="0" borderId="24" xfId="0" applyNumberFormat="1" applyFont="1" applyFill="1" applyBorder="1"/>
    <xf numFmtId="3" fontId="32" fillId="0" borderId="8" xfId="0" applyNumberFormat="1" applyFont="1" applyFill="1" applyBorder="1"/>
    <xf numFmtId="3" fontId="32" fillId="0" borderId="9" xfId="0" applyNumberFormat="1" applyFont="1" applyFill="1" applyBorder="1"/>
    <xf numFmtId="3" fontId="32" fillId="0" borderId="12" xfId="0" applyNumberFormat="1" applyFont="1" applyFill="1" applyBorder="1"/>
    <xf numFmtId="3" fontId="32" fillId="0" borderId="13" xfId="0" applyNumberFormat="1" applyFont="1" applyFill="1" applyBorder="1"/>
    <xf numFmtId="9" fontId="32" fillId="0" borderId="25" xfId="0" applyNumberFormat="1" applyFont="1" applyFill="1" applyBorder="1"/>
    <xf numFmtId="9" fontId="32" fillId="0" borderId="10" xfId="0" applyNumberFormat="1" applyFont="1" applyFill="1" applyBorder="1"/>
    <xf numFmtId="9" fontId="32" fillId="0" borderId="14" xfId="0" applyNumberFormat="1" applyFont="1" applyFill="1" applyBorder="1"/>
    <xf numFmtId="9" fontId="28" fillId="2" borderId="20" xfId="78" applyNumberFormat="1" applyFont="1" applyFill="1" applyBorder="1"/>
    <xf numFmtId="9" fontId="28" fillId="4" borderId="20" xfId="78" applyNumberFormat="1" applyFont="1" applyFill="1" applyBorder="1"/>
    <xf numFmtId="9" fontId="28" fillId="3" borderId="20" xfId="78" applyNumberFormat="1" applyFont="1" applyFill="1" applyBorder="1"/>
    <xf numFmtId="0" fontId="31" fillId="2" borderId="21" xfId="78" applyFont="1" applyFill="1" applyBorder="1" applyAlignment="1">
      <alignment horizontal="center"/>
    </xf>
    <xf numFmtId="0" fontId="32" fillId="0" borderId="0" xfId="0" applyFont="1" applyFill="1"/>
    <xf numFmtId="0" fontId="32" fillId="0" borderId="44" xfId="0" applyFont="1" applyFill="1" applyBorder="1" applyAlignment="1"/>
    <xf numFmtId="0" fontId="32" fillId="0" borderId="0" xfId="0" applyFont="1" applyFill="1" applyAlignment="1"/>
    <xf numFmtId="0" fontId="45" fillId="4" borderId="33" xfId="1" applyFont="1" applyFill="1" applyBorder="1"/>
    <xf numFmtId="0" fontId="45" fillId="4" borderId="17" xfId="1" applyFont="1" applyFill="1" applyBorder="1"/>
    <xf numFmtId="0" fontId="45" fillId="3" borderId="18" xfId="1" applyFont="1" applyFill="1" applyBorder="1"/>
    <xf numFmtId="0" fontId="48" fillId="0" borderId="0" xfId="0" applyFont="1" applyFill="1" applyBorder="1" applyAlignment="1">
      <alignment vertical="center"/>
    </xf>
    <xf numFmtId="0" fontId="48" fillId="0" borderId="0" xfId="0" applyFont="1" applyFill="1" applyAlignment="1">
      <alignment vertical="center"/>
    </xf>
    <xf numFmtId="0" fontId="32" fillId="2" borderId="2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0" fontId="45" fillId="3" borderId="8" xfId="1" applyFont="1" applyFill="1" applyBorder="1"/>
    <xf numFmtId="0" fontId="45" fillId="3" borderId="4" xfId="1" applyFont="1" applyFill="1" applyBorder="1"/>
    <xf numFmtId="0" fontId="45" fillId="6" borderId="4" xfId="1" applyFont="1" applyFill="1" applyBorder="1"/>
    <xf numFmtId="0" fontId="45" fillId="6" borderId="50" xfId="1" applyFont="1" applyFill="1" applyBorder="1"/>
    <xf numFmtId="0" fontId="45" fillId="2" borderId="4" xfId="1" applyFont="1" applyFill="1" applyBorder="1"/>
    <xf numFmtId="0" fontId="45" fillId="4" borderId="4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7" xfId="0" applyNumberFormat="1" applyFont="1" applyFill="1" applyBorder="1"/>
    <xf numFmtId="3" fontId="39" fillId="2" borderId="48" xfId="0" applyNumberFormat="1" applyFont="1" applyFill="1" applyBorder="1"/>
    <xf numFmtId="9" fontId="39" fillId="2" borderId="51" xfId="0" applyNumberFormat="1" applyFont="1" applyFill="1" applyBorder="1"/>
    <xf numFmtId="0" fontId="49" fillId="2" borderId="18" xfId="1" applyFont="1" applyFill="1" applyBorder="1" applyAlignment="1"/>
    <xf numFmtId="0" fontId="32" fillId="2" borderId="28" xfId="0" applyFont="1" applyFill="1" applyBorder="1" applyAlignment="1"/>
    <xf numFmtId="3" fontId="32" fillId="2" borderId="27" xfId="0" applyNumberFormat="1" applyFont="1" applyFill="1" applyBorder="1" applyAlignment="1"/>
    <xf numFmtId="9" fontId="32" fillId="2" borderId="20" xfId="0" applyNumberFormat="1" applyFont="1" applyFill="1" applyBorder="1" applyAlignment="1"/>
    <xf numFmtId="0" fontId="39" fillId="2" borderId="49" xfId="0" applyFont="1" applyFill="1" applyBorder="1" applyAlignment="1"/>
    <xf numFmtId="0" fontId="32" fillId="0" borderId="7" xfId="0" applyFont="1" applyBorder="1" applyAlignment="1"/>
    <xf numFmtId="3" fontId="32" fillId="0" borderId="5" xfId="0" applyNumberFormat="1" applyFont="1" applyBorder="1" applyAlignment="1"/>
    <xf numFmtId="9" fontId="32" fillId="0" borderId="10" xfId="0" applyNumberFormat="1" applyFont="1" applyBorder="1" applyAlignment="1"/>
    <xf numFmtId="0" fontId="29" fillId="2" borderId="34" xfId="1" applyFont="1" applyFill="1" applyBorder="1" applyAlignment="1">
      <alignment horizontal="left" indent="2"/>
    </xf>
    <xf numFmtId="0" fontId="32" fillId="0" borderId="11" xfId="0" applyFont="1" applyBorder="1" applyAlignment="1"/>
    <xf numFmtId="3" fontId="32" fillId="0" borderId="9" xfId="0" applyNumberFormat="1" applyFont="1" applyBorder="1" applyAlignment="1"/>
    <xf numFmtId="9" fontId="32" fillId="0" borderId="9" xfId="0" applyNumberFormat="1" applyFont="1" applyBorder="1" applyAlignment="1"/>
    <xf numFmtId="0" fontId="32" fillId="2" borderId="34" xfId="0" applyFont="1" applyFill="1" applyBorder="1" applyAlignment="1">
      <alignment horizontal="left" indent="2"/>
    </xf>
    <xf numFmtId="0" fontId="31" fillId="2" borderId="34" xfId="1" applyFont="1" applyFill="1" applyBorder="1" applyAlignment="1"/>
    <xf numFmtId="0" fontId="45" fillId="2" borderId="34" xfId="1" applyFont="1" applyFill="1" applyBorder="1" applyAlignment="1">
      <alignment horizontal="left" indent="2"/>
    </xf>
    <xf numFmtId="0" fontId="49" fillId="2" borderId="34" xfId="1" applyFont="1" applyFill="1" applyBorder="1" applyAlignment="1"/>
    <xf numFmtId="0" fontId="32" fillId="0" borderId="32" xfId="0" applyFont="1" applyBorder="1" applyAlignment="1"/>
    <xf numFmtId="3" fontId="32" fillId="0" borderId="23" xfId="0" applyNumberFormat="1" applyFont="1" applyBorder="1" applyAlignment="1"/>
    <xf numFmtId="9" fontId="32" fillId="0" borderId="22" xfId="0" applyNumberFormat="1" applyFont="1" applyBorder="1" applyAlignment="1"/>
    <xf numFmtId="0" fontId="39" fillId="0" borderId="36" xfId="0" applyFont="1" applyFill="1" applyBorder="1" applyAlignment="1">
      <alignment horizontal="left" indent="2"/>
    </xf>
    <xf numFmtId="0" fontId="32" fillId="0" borderId="36" xfId="0" applyFont="1" applyBorder="1" applyAlignment="1"/>
    <xf numFmtId="3" fontId="32" fillId="0" borderId="36" xfId="0" applyNumberFormat="1" applyFont="1" applyBorder="1" applyAlignment="1"/>
    <xf numFmtId="9" fontId="32" fillId="0" borderId="36" xfId="0" applyNumberFormat="1" applyFont="1" applyBorder="1" applyAlignment="1"/>
    <xf numFmtId="0" fontId="49" fillId="4" borderId="18" xfId="1" applyFont="1" applyFill="1" applyBorder="1" applyAlignment="1">
      <alignment horizontal="left"/>
    </xf>
    <xf numFmtId="0" fontId="32" fillId="4" borderId="28" xfId="0" applyFont="1" applyFill="1" applyBorder="1" applyAlignment="1"/>
    <xf numFmtId="3" fontId="32" fillId="4" borderId="27" xfId="0" applyNumberFormat="1" applyFont="1" applyFill="1" applyBorder="1" applyAlignment="1"/>
    <xf numFmtId="9" fontId="32" fillId="4" borderId="20" xfId="0" applyNumberFormat="1" applyFont="1" applyFill="1" applyBorder="1" applyAlignment="1"/>
    <xf numFmtId="0" fontId="49" fillId="4" borderId="49" xfId="1" applyFont="1" applyFill="1" applyBorder="1" applyAlignment="1">
      <alignment horizontal="left"/>
    </xf>
    <xf numFmtId="0" fontId="45" fillId="4" borderId="34" xfId="1" applyFont="1" applyFill="1" applyBorder="1" applyAlignment="1">
      <alignment horizontal="left" indent="2"/>
    </xf>
    <xf numFmtId="0" fontId="49" fillId="4" borderId="34" xfId="1" applyFont="1" applyFill="1" applyBorder="1" applyAlignment="1">
      <alignment horizontal="left"/>
    </xf>
    <xf numFmtId="0" fontId="32" fillId="4" borderId="35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4" xfId="0" applyNumberFormat="1" applyFont="1" applyBorder="1" applyAlignment="1"/>
    <xf numFmtId="0" fontId="39" fillId="3" borderId="18" xfId="0" applyFont="1" applyFill="1" applyBorder="1" applyAlignment="1"/>
    <xf numFmtId="0" fontId="32" fillId="3" borderId="28" xfId="0" applyFont="1" applyFill="1" applyBorder="1" applyAlignment="1"/>
    <xf numFmtId="3" fontId="32" fillId="3" borderId="27" xfId="0" applyNumberFormat="1" applyFont="1" applyFill="1" applyBorder="1" applyAlignment="1"/>
    <xf numFmtId="9" fontId="32" fillId="3" borderId="20" xfId="0" applyNumberFormat="1" applyFont="1" applyFill="1" applyBorder="1" applyAlignment="1"/>
    <xf numFmtId="0" fontId="40" fillId="0" borderId="0" xfId="0" applyFont="1" applyFill="1" applyBorder="1" applyAlignment="1"/>
    <xf numFmtId="0" fontId="41" fillId="0" borderId="0" xfId="0" applyFont="1" applyFill="1"/>
    <xf numFmtId="16" fontId="41" fillId="0" borderId="0" xfId="0" quotePrefix="1" applyNumberFormat="1" applyFont="1" applyFill="1"/>
    <xf numFmtId="0" fontId="41" fillId="0" borderId="0" xfId="0" quotePrefix="1" applyFont="1" applyFill="1"/>
    <xf numFmtId="171" fontId="41" fillId="0" borderId="0" xfId="0" applyNumberFormat="1" applyFont="1" applyFill="1"/>
    <xf numFmtId="172" fontId="41" fillId="0" borderId="0" xfId="0" applyNumberFormat="1" applyFont="1" applyFill="1"/>
    <xf numFmtId="3" fontId="41" fillId="0" borderId="0" xfId="0" applyNumberFormat="1" applyFont="1" applyFill="1"/>
    <xf numFmtId="0" fontId="7" fillId="0" borderId="0" xfId="78" applyFont="1" applyFill="1"/>
    <xf numFmtId="0" fontId="50" fillId="0" borderId="36" xfId="78" applyFont="1" applyFill="1" applyBorder="1" applyAlignment="1"/>
    <xf numFmtId="3" fontId="32" fillId="0" borderId="0" xfId="0" applyNumberFormat="1" applyFont="1" applyFill="1"/>
    <xf numFmtId="9" fontId="32" fillId="0" borderId="0" xfId="0" applyNumberFormat="1" applyFont="1" applyFill="1"/>
    <xf numFmtId="0" fontId="39" fillId="2" borderId="26" xfId="0" applyFont="1" applyFill="1" applyBorder="1" applyAlignment="1">
      <alignment horizontal="right"/>
    </xf>
    <xf numFmtId="169" fontId="39" fillId="0" borderId="19" xfId="0" applyNumberFormat="1" applyFont="1" applyFill="1" applyBorder="1" applyAlignment="1"/>
    <xf numFmtId="169" fontId="39" fillId="0" borderId="27" xfId="0" applyNumberFormat="1" applyFont="1" applyFill="1" applyBorder="1" applyAlignment="1"/>
    <xf numFmtId="9" fontId="39" fillId="0" borderId="20" xfId="0" applyNumberFormat="1" applyFont="1" applyFill="1" applyBorder="1" applyAlignment="1"/>
    <xf numFmtId="169" fontId="39" fillId="0" borderId="28" xfId="0" applyNumberFormat="1" applyFont="1" applyFill="1" applyBorder="1" applyAlignment="1"/>
    <xf numFmtId="9" fontId="39" fillId="0" borderId="46" xfId="0" applyNumberFormat="1" applyFont="1" applyFill="1" applyBorder="1" applyAlignment="1"/>
    <xf numFmtId="169" fontId="32" fillId="0" borderId="0" xfId="0" applyNumberFormat="1" applyFont="1" applyFill="1" applyBorder="1" applyAlignment="1"/>
    <xf numFmtId="9" fontId="32" fillId="0" borderId="0" xfId="0" applyNumberFormat="1" applyFont="1" applyFill="1" applyBorder="1" applyAlignment="1"/>
    <xf numFmtId="3" fontId="32" fillId="0" borderId="44" xfId="0" applyNumberFormat="1" applyFont="1" applyFill="1" applyBorder="1" applyAlignment="1"/>
    <xf numFmtId="9" fontId="32" fillId="0" borderId="44" xfId="0" applyNumberFormat="1" applyFont="1" applyFill="1" applyBorder="1" applyAlignment="1"/>
    <xf numFmtId="3" fontId="32" fillId="0" borderId="0" xfId="0" applyNumberFormat="1" applyFont="1" applyFill="1" applyBorder="1" applyAlignment="1"/>
    <xf numFmtId="3" fontId="0" fillId="0" borderId="0" xfId="0" applyNumberFormat="1"/>
    <xf numFmtId="0" fontId="53" fillId="0" borderId="0" xfId="1" applyFont="1" applyFill="1"/>
    <xf numFmtId="3" fontId="51" fillId="0" borderId="0" xfId="26" applyNumberFormat="1" applyFont="1" applyFill="1" applyBorder="1" applyAlignment="1"/>
    <xf numFmtId="0" fontId="56" fillId="0" borderId="0" xfId="0" applyFont="1" applyAlignment="1">
      <alignment horizontal="left" vertical="center" indent="1"/>
    </xf>
    <xf numFmtId="0" fontId="56" fillId="0" borderId="0" xfId="0" applyFont="1" applyAlignment="1">
      <alignment vertical="center"/>
    </xf>
    <xf numFmtId="0" fontId="0" fillId="0" borderId="0" xfId="0" applyAlignment="1"/>
    <xf numFmtId="0" fontId="57" fillId="0" borderId="0" xfId="0" applyFont="1"/>
    <xf numFmtId="9" fontId="32" fillId="0" borderId="73" xfId="0" applyNumberFormat="1" applyFont="1" applyBorder="1" applyAlignment="1"/>
    <xf numFmtId="0" fontId="25" fillId="2" borderId="34" xfId="1" applyFill="1" applyBorder="1" applyAlignment="1">
      <alignment horizontal="left" indent="4"/>
    </xf>
    <xf numFmtId="3" fontId="39" fillId="0" borderId="19" xfId="0" applyNumberFormat="1" applyFont="1" applyFill="1" applyBorder="1" applyAlignment="1"/>
    <xf numFmtId="3" fontId="39" fillId="0" borderId="27" xfId="0" applyNumberFormat="1" applyFont="1" applyFill="1" applyBorder="1" applyAlignment="1"/>
    <xf numFmtId="169" fontId="39" fillId="0" borderId="20" xfId="0" applyNumberFormat="1" applyFont="1" applyFill="1" applyBorder="1" applyAlignment="1"/>
    <xf numFmtId="49" fontId="37" fillId="2" borderId="73" xfId="0" quotePrefix="1" applyNumberFormat="1" applyFont="1" applyFill="1" applyBorder="1" applyAlignment="1">
      <alignment horizontal="center" vertical="center"/>
    </xf>
    <xf numFmtId="0" fontId="25" fillId="4" borderId="71" xfId="1" applyFill="1" applyBorder="1" applyAlignment="1">
      <alignment horizontal="left" indent="4"/>
    </xf>
    <xf numFmtId="0" fontId="25" fillId="4" borderId="34" xfId="1" applyFill="1" applyBorder="1" applyAlignment="1">
      <alignment horizontal="left" indent="2"/>
    </xf>
    <xf numFmtId="0" fontId="32" fillId="0" borderId="72" xfId="0" applyFont="1" applyBorder="1"/>
    <xf numFmtId="0" fontId="31" fillId="2" borderId="62" xfId="0" applyFont="1" applyFill="1" applyBorder="1" applyAlignment="1">
      <alignment horizontal="center" vertical="top" wrapText="1"/>
    </xf>
    <xf numFmtId="0" fontId="25" fillId="6" borderId="4" xfId="1" applyFill="1" applyBorder="1"/>
    <xf numFmtId="0" fontId="31" fillId="2" borderId="38" xfId="78" applyFont="1" applyFill="1" applyBorder="1" applyAlignment="1">
      <alignment horizontal="center"/>
    </xf>
    <xf numFmtId="0" fontId="31" fillId="2" borderId="39" xfId="78" applyFont="1" applyFill="1" applyBorder="1" applyAlignment="1">
      <alignment horizontal="center"/>
    </xf>
    <xf numFmtId="3" fontId="39" fillId="0" borderId="20" xfId="0" applyNumberFormat="1" applyFont="1" applyFill="1" applyBorder="1" applyAlignment="1"/>
    <xf numFmtId="0" fontId="39" fillId="2" borderId="18" xfId="0" applyFont="1" applyFill="1" applyBorder="1" applyAlignment="1">
      <alignment horizontal="right"/>
    </xf>
    <xf numFmtId="9" fontId="0" fillId="0" borderId="0" xfId="0" applyNumberFormat="1"/>
    <xf numFmtId="168" fontId="0" fillId="0" borderId="0" xfId="0" applyNumberFormat="1"/>
    <xf numFmtId="0" fontId="47" fillId="0" borderId="0" xfId="0" applyFont="1" applyFill="1" applyAlignment="1">
      <alignment horizontal="left" indent="2"/>
    </xf>
    <xf numFmtId="176" fontId="39" fillId="0" borderId="15" xfId="0" applyNumberFormat="1" applyFont="1" applyBorder="1" applyAlignment="1">
      <alignment vertical="center"/>
    </xf>
    <xf numFmtId="173" fontId="39" fillId="0" borderId="31" xfId="0" applyNumberFormat="1" applyFont="1" applyBorder="1" applyAlignment="1">
      <alignment vertical="center"/>
    </xf>
    <xf numFmtId="173" fontId="32" fillId="0" borderId="16" xfId="0" applyNumberFormat="1" applyFont="1" applyBorder="1" applyAlignment="1">
      <alignment vertical="center"/>
    </xf>
    <xf numFmtId="173" fontId="32" fillId="0" borderId="0" xfId="0" applyNumberFormat="1" applyFont="1" applyBorder="1" applyAlignment="1">
      <alignment vertical="center"/>
    </xf>
    <xf numFmtId="173" fontId="32" fillId="0" borderId="15" xfId="0" applyNumberFormat="1" applyFont="1" applyBorder="1" applyAlignment="1">
      <alignment vertical="center"/>
    </xf>
    <xf numFmtId="174" fontId="32" fillId="0" borderId="0" xfId="0" applyNumberFormat="1" applyFont="1" applyBorder="1" applyAlignment="1">
      <alignment vertical="center"/>
    </xf>
    <xf numFmtId="0" fontId="54" fillId="0" borderId="16" xfId="0" applyFont="1" applyFill="1" applyBorder="1" applyAlignment="1">
      <alignment horizontal="left" vertical="center"/>
    </xf>
    <xf numFmtId="0" fontId="39" fillId="2" borderId="0" xfId="0" applyFont="1" applyFill="1" applyBorder="1" applyAlignment="1">
      <alignment horizontal="center" vertical="center"/>
    </xf>
    <xf numFmtId="173" fontId="32" fillId="0" borderId="0" xfId="0" applyNumberFormat="1" applyFont="1" applyBorder="1" applyAlignment="1">
      <alignment horizontal="right" vertical="center"/>
    </xf>
    <xf numFmtId="175" fontId="32" fillId="0" borderId="0" xfId="0" applyNumberFormat="1" applyFont="1" applyBorder="1" applyAlignment="1">
      <alignment horizontal="right" vertical="center"/>
    </xf>
    <xf numFmtId="3" fontId="39" fillId="0" borderId="54" xfId="0" applyNumberFormat="1" applyFont="1" applyBorder="1" applyAlignment="1">
      <alignment horizontal="right" vertical="center"/>
    </xf>
    <xf numFmtId="9" fontId="39" fillId="0" borderId="86" xfId="0" applyNumberFormat="1" applyFont="1" applyBorder="1" applyAlignment="1">
      <alignment horizontal="right" vertical="center"/>
    </xf>
    <xf numFmtId="173" fontId="39" fillId="0" borderId="86" xfId="0" applyNumberFormat="1" applyFont="1" applyBorder="1" applyAlignment="1">
      <alignment horizontal="right" vertical="center"/>
    </xf>
    <xf numFmtId="173" fontId="39" fillId="0" borderId="60" xfId="0" applyNumberFormat="1" applyFont="1" applyBorder="1" applyAlignment="1">
      <alignment horizontal="right" vertical="center"/>
    </xf>
    <xf numFmtId="173" fontId="39" fillId="0" borderId="62" xfId="0" applyNumberFormat="1" applyFont="1" applyBorder="1" applyAlignment="1">
      <alignment vertical="center"/>
    </xf>
    <xf numFmtId="173" fontId="39" fillId="0" borderId="87" xfId="0" applyNumberFormat="1" applyFont="1" applyBorder="1" applyAlignment="1">
      <alignment vertical="center"/>
    </xf>
    <xf numFmtId="173" fontId="39" fillId="0" borderId="86" xfId="0" applyNumberFormat="1" applyFont="1" applyBorder="1" applyAlignment="1">
      <alignment vertical="center"/>
    </xf>
    <xf numFmtId="173" fontId="39" fillId="0" borderId="60" xfId="0" applyNumberFormat="1" applyFont="1" applyBorder="1" applyAlignment="1">
      <alignment vertical="center"/>
    </xf>
    <xf numFmtId="173" fontId="39" fillId="0" borderId="88" xfId="0" applyNumberFormat="1" applyFont="1" applyBorder="1" applyAlignment="1">
      <alignment vertical="center"/>
    </xf>
    <xf numFmtId="174" fontId="39" fillId="0" borderId="89" xfId="0" applyNumberFormat="1" applyFont="1" applyBorder="1" applyAlignment="1">
      <alignment vertical="center"/>
    </xf>
    <xf numFmtId="174" fontId="39" fillId="0" borderId="86" xfId="0" applyNumberFormat="1" applyFont="1" applyBorder="1" applyAlignment="1">
      <alignment vertical="center"/>
    </xf>
    <xf numFmtId="174" fontId="39" fillId="0" borderId="60" xfId="0" applyNumberFormat="1" applyFont="1" applyBorder="1" applyAlignment="1">
      <alignment vertical="center"/>
    </xf>
    <xf numFmtId="168" fontId="39" fillId="0" borderId="82" xfId="0" applyNumberFormat="1" applyFont="1" applyBorder="1" applyAlignment="1">
      <alignment vertical="center"/>
    </xf>
    <xf numFmtId="0" fontId="32" fillId="0" borderId="87" xfId="0" applyFont="1" applyBorder="1" applyAlignment="1">
      <alignment horizontal="center" vertical="center"/>
    </xf>
    <xf numFmtId="166" fontId="39" fillId="2" borderId="60" xfId="0" applyNumberFormat="1" applyFont="1" applyFill="1" applyBorder="1" applyAlignment="1">
      <alignment horizontal="center" vertical="center"/>
    </xf>
    <xf numFmtId="173" fontId="39" fillId="0" borderId="69" xfId="0" applyNumberFormat="1" applyFont="1" applyBorder="1" applyAlignment="1">
      <alignment horizontal="right" vertical="center"/>
    </xf>
    <xf numFmtId="175" fontId="39" fillId="0" borderId="68" xfId="0" applyNumberFormat="1" applyFont="1" applyBorder="1" applyAlignment="1">
      <alignment horizontal="right" vertical="center"/>
    </xf>
    <xf numFmtId="173" fontId="39" fillId="0" borderId="68" xfId="0" applyNumberFormat="1" applyFont="1" applyBorder="1" applyAlignment="1">
      <alignment horizontal="right" vertical="center"/>
    </xf>
    <xf numFmtId="173" fontId="39" fillId="0" borderId="69" xfId="0" applyNumberFormat="1" applyFont="1" applyBorder="1" applyAlignment="1">
      <alignment vertical="center"/>
    </xf>
    <xf numFmtId="173" fontId="39" fillId="0" borderId="68" xfId="0" applyNumberFormat="1" applyFont="1" applyBorder="1" applyAlignment="1">
      <alignment vertical="center"/>
    </xf>
    <xf numFmtId="173" fontId="39" fillId="0" borderId="67" xfId="0" applyNumberFormat="1" applyFont="1" applyBorder="1" applyAlignment="1">
      <alignment vertical="center"/>
    </xf>
    <xf numFmtId="176" fontId="39" fillId="0" borderId="67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54" fillId="9" borderId="73" xfId="0" quotePrefix="1" applyFont="1" applyFill="1" applyBorder="1" applyAlignment="1">
      <alignment horizontal="center" vertical="center" wrapText="1"/>
    </xf>
    <xf numFmtId="0" fontId="40" fillId="9" borderId="73" xfId="0" quotePrefix="1" applyFont="1" applyFill="1" applyBorder="1" applyAlignment="1">
      <alignment horizontal="center" vertical="center" wrapText="1"/>
    </xf>
    <xf numFmtId="0" fontId="40" fillId="9" borderId="72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7" borderId="95" xfId="0" applyNumberFormat="1" applyFont="1" applyFill="1" applyBorder="1"/>
    <xf numFmtId="3" fontId="0" fillId="7" borderId="61" xfId="0" applyNumberFormat="1" applyFont="1" applyFill="1" applyBorder="1"/>
    <xf numFmtId="0" fontId="0" fillId="0" borderId="96" xfId="0" applyNumberFormat="1" applyFont="1" applyBorder="1"/>
    <xf numFmtId="3" fontId="0" fillId="0" borderId="97" xfId="0" applyNumberFormat="1" applyFont="1" applyBorder="1"/>
    <xf numFmtId="0" fontId="0" fillId="7" borderId="96" xfId="0" applyNumberFormat="1" applyFont="1" applyFill="1" applyBorder="1"/>
    <xf numFmtId="3" fontId="0" fillId="7" borderId="97" xfId="0" applyNumberFormat="1" applyFont="1" applyFill="1" applyBorder="1"/>
    <xf numFmtId="0" fontId="52" fillId="8" borderId="96" xfId="0" applyNumberFormat="1" applyFont="1" applyFill="1" applyBorder="1"/>
    <xf numFmtId="3" fontId="52" fillId="8" borderId="97" xfId="0" applyNumberFormat="1" applyFont="1" applyFill="1" applyBorder="1"/>
    <xf numFmtId="0" fontId="39" fillId="3" borderId="26" xfId="0" applyFont="1" applyFill="1" applyBorder="1" applyAlignment="1"/>
    <xf numFmtId="0" fontId="32" fillId="0" borderId="37" xfId="0" applyFont="1" applyBorder="1" applyAlignment="1"/>
    <xf numFmtId="0" fontId="39" fillId="2" borderId="26" xfId="0" applyFont="1" applyFill="1" applyBorder="1" applyAlignment="1"/>
    <xf numFmtId="0" fontId="39" fillId="4" borderId="26" xfId="0" applyFont="1" applyFill="1" applyBorder="1" applyAlignment="1"/>
    <xf numFmtId="0" fontId="42" fillId="0" borderId="2" xfId="0" applyFont="1" applyFill="1" applyBorder="1" applyAlignment="1"/>
    <xf numFmtId="0" fontId="42" fillId="0" borderId="2" xfId="0" applyFont="1" applyBorder="1" applyAlignment="1"/>
    <xf numFmtId="0" fontId="30" fillId="5" borderId="16" xfId="78" applyFont="1" applyFill="1" applyBorder="1" applyAlignment="1">
      <alignment horizontal="center" vertical="center"/>
    </xf>
    <xf numFmtId="0" fontId="41" fillId="0" borderId="3" xfId="0" applyFont="1" applyBorder="1" applyAlignment="1">
      <alignment horizontal="center" vertical="center"/>
    </xf>
    <xf numFmtId="0" fontId="31" fillId="2" borderId="42" xfId="78" applyFont="1" applyFill="1" applyBorder="1" applyAlignment="1">
      <alignment horizontal="center"/>
    </xf>
    <xf numFmtId="0" fontId="31" fillId="2" borderId="43" xfId="78" applyFont="1" applyFill="1" applyBorder="1" applyAlignment="1">
      <alignment horizontal="center"/>
    </xf>
    <xf numFmtId="0" fontId="31" fillId="2" borderId="40" xfId="78" applyFont="1" applyFill="1" applyBorder="1" applyAlignment="1">
      <alignment horizontal="center"/>
    </xf>
    <xf numFmtId="0" fontId="31" fillId="2" borderId="59" xfId="78" applyFont="1" applyFill="1" applyBorder="1" applyAlignment="1">
      <alignment horizontal="center"/>
    </xf>
    <xf numFmtId="0" fontId="31" fillId="2" borderId="41" xfId="78" applyFont="1" applyFill="1" applyBorder="1" applyAlignment="1">
      <alignment horizontal="center"/>
    </xf>
    <xf numFmtId="0" fontId="31" fillId="2" borderId="81" xfId="78" applyFont="1" applyFill="1" applyBorder="1" applyAlignment="1">
      <alignment horizontal="center"/>
    </xf>
    <xf numFmtId="0" fontId="31" fillId="2" borderId="70" xfId="78" applyFont="1" applyFill="1" applyBorder="1" applyAlignment="1">
      <alignment horizontal="center"/>
    </xf>
    <xf numFmtId="0" fontId="42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38" fillId="2" borderId="24" xfId="0" applyFont="1" applyFill="1" applyBorder="1" applyAlignment="1">
      <alignment horizontal="center" vertical="center"/>
    </xf>
    <xf numFmtId="0" fontId="32" fillId="2" borderId="2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10" xfId="0" applyFont="1" applyFill="1" applyBorder="1" applyAlignment="1">
      <alignment horizontal="center" vertical="center"/>
    </xf>
    <xf numFmtId="0" fontId="5" fillId="0" borderId="2" xfId="0" applyFont="1" applyFill="1" applyBorder="1" applyAlignment="1"/>
    <xf numFmtId="0" fontId="32" fillId="2" borderId="8" xfId="0" applyFont="1" applyFill="1" applyBorder="1" applyAlignment="1">
      <alignment horizontal="center" vertical="center"/>
    </xf>
    <xf numFmtId="0" fontId="32" fillId="2" borderId="9" xfId="0" applyFont="1" applyFill="1" applyBorder="1" applyAlignment="1">
      <alignment horizontal="center" vertical="center"/>
    </xf>
    <xf numFmtId="0" fontId="38" fillId="2" borderId="29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0" fontId="32" fillId="2" borderId="23" xfId="0" applyFont="1" applyFill="1" applyBorder="1" applyAlignment="1">
      <alignment horizontal="center" vertical="center" wrapText="1"/>
    </xf>
    <xf numFmtId="0" fontId="36" fillId="2" borderId="9" xfId="0" applyFont="1" applyFill="1" applyBorder="1" applyAlignment="1">
      <alignment horizontal="center" vertical="center" wrapText="1"/>
    </xf>
    <xf numFmtId="0" fontId="36" fillId="2" borderId="10" xfId="0" applyFont="1" applyFill="1" applyBorder="1" applyAlignment="1">
      <alignment horizontal="center" vertical="center" wrapText="1"/>
    </xf>
    <xf numFmtId="0" fontId="32" fillId="2" borderId="22" xfId="0" applyFont="1" applyFill="1" applyBorder="1" applyAlignment="1">
      <alignment horizontal="center" vertical="center" wrapText="1"/>
    </xf>
    <xf numFmtId="0" fontId="0" fillId="0" borderId="2" xfId="0" applyBorder="1" applyAlignment="1"/>
    <xf numFmtId="166" fontId="39" fillId="2" borderId="67" xfId="0" applyNumberFormat="1" applyFont="1" applyFill="1" applyBorder="1" applyAlignment="1">
      <alignment horizontal="center" vertical="center"/>
    </xf>
    <xf numFmtId="0" fontId="32" fillId="0" borderId="90" xfId="0" applyFont="1" applyBorder="1" applyAlignment="1">
      <alignment horizontal="center" vertical="center"/>
    </xf>
    <xf numFmtId="0" fontId="54" fillId="4" borderId="83" xfId="0" applyFont="1" applyFill="1" applyBorder="1" applyAlignment="1">
      <alignment horizontal="center" vertical="center" wrapText="1"/>
    </xf>
    <xf numFmtId="0" fontId="54" fillId="4" borderId="91" xfId="0" applyFont="1" applyFill="1" applyBorder="1" applyAlignment="1">
      <alignment horizontal="center" vertical="center" wrapText="1"/>
    </xf>
    <xf numFmtId="0" fontId="54" fillId="4" borderId="76" xfId="0" applyFont="1" applyFill="1" applyBorder="1" applyAlignment="1">
      <alignment horizontal="center" vertical="center" wrapText="1"/>
    </xf>
    <xf numFmtId="0" fontId="54" fillId="4" borderId="84" xfId="0" applyFont="1" applyFill="1" applyBorder="1" applyAlignment="1">
      <alignment horizontal="center" vertical="center" wrapText="1"/>
    </xf>
    <xf numFmtId="0" fontId="54" fillId="4" borderId="77" xfId="0" applyFont="1" applyFill="1" applyBorder="1" applyAlignment="1">
      <alignment horizontal="center" vertical="center" wrapText="1"/>
    </xf>
    <xf numFmtId="0" fontId="54" fillId="4" borderId="85" xfId="0" applyFont="1" applyFill="1" applyBorder="1" applyAlignment="1">
      <alignment horizontal="center" vertical="center" wrapText="1"/>
    </xf>
    <xf numFmtId="0" fontId="39" fillId="4" borderId="1" xfId="0" applyFont="1" applyFill="1" applyBorder="1" applyAlignment="1">
      <alignment horizontal="center" vertical="center" wrapText="1"/>
    </xf>
    <xf numFmtId="0" fontId="39" fillId="4" borderId="3" xfId="0" applyFont="1" applyFill="1" applyBorder="1" applyAlignment="1">
      <alignment horizontal="center" vertical="center" wrapText="1"/>
    </xf>
    <xf numFmtId="168" fontId="54" fillId="2" borderId="83" xfId="0" applyNumberFormat="1" applyFont="1" applyFill="1" applyBorder="1" applyAlignment="1">
      <alignment horizontal="center" vertical="center" wrapText="1"/>
    </xf>
    <xf numFmtId="168" fontId="54" fillId="2" borderId="91" xfId="0" applyNumberFormat="1" applyFont="1" applyFill="1" applyBorder="1" applyAlignment="1">
      <alignment horizontal="center" vertical="center" wrapText="1"/>
    </xf>
    <xf numFmtId="0" fontId="54" fillId="2" borderId="76" xfId="0" applyFont="1" applyFill="1" applyBorder="1" applyAlignment="1">
      <alignment horizontal="center" vertical="center" wrapText="1"/>
    </xf>
    <xf numFmtId="0" fontId="54" fillId="2" borderId="84" xfId="0" applyFont="1" applyFill="1" applyBorder="1" applyAlignment="1">
      <alignment horizontal="center" vertical="center" wrapText="1"/>
    </xf>
    <xf numFmtId="0" fontId="54" fillId="2" borderId="77" xfId="0" applyFont="1" applyFill="1" applyBorder="1" applyAlignment="1">
      <alignment horizontal="center" vertical="center" wrapText="1"/>
    </xf>
    <xf numFmtId="0" fontId="54" fillId="2" borderId="85" xfId="0" applyFont="1" applyFill="1" applyBorder="1" applyAlignment="1">
      <alignment horizontal="center" vertical="center" wrapText="1"/>
    </xf>
    <xf numFmtId="0" fontId="2" fillId="0" borderId="2" xfId="26" applyFont="1" applyFill="1" applyBorder="1" applyAlignment="1"/>
    <xf numFmtId="3" fontId="54" fillId="4" borderId="76" xfId="0" applyNumberFormat="1" applyFont="1" applyFill="1" applyBorder="1" applyAlignment="1">
      <alignment horizontal="center" vertical="center"/>
    </xf>
    <xf numFmtId="3" fontId="54" fillId="4" borderId="84" xfId="0" applyNumberFormat="1" applyFont="1" applyFill="1" applyBorder="1" applyAlignment="1">
      <alignment horizontal="center" vertical="center"/>
    </xf>
    <xf numFmtId="9" fontId="54" fillId="4" borderId="76" xfId="0" applyNumberFormat="1" applyFont="1" applyFill="1" applyBorder="1" applyAlignment="1">
      <alignment horizontal="center" vertical="center"/>
    </xf>
    <xf numFmtId="9" fontId="54" fillId="4" borderId="84" xfId="0" applyNumberFormat="1" applyFont="1" applyFill="1" applyBorder="1" applyAlignment="1">
      <alignment horizontal="center" vertical="center"/>
    </xf>
    <xf numFmtId="3" fontId="54" fillId="4" borderId="77" xfId="0" applyNumberFormat="1" applyFont="1" applyFill="1" applyBorder="1" applyAlignment="1">
      <alignment horizontal="center" vertical="center" wrapText="1"/>
    </xf>
    <xf numFmtId="3" fontId="54" fillId="4" borderId="85" xfId="0" applyNumberFormat="1" applyFont="1" applyFill="1" applyBorder="1" applyAlignment="1">
      <alignment horizontal="center" vertical="center" wrapText="1"/>
    </xf>
    <xf numFmtId="0" fontId="39" fillId="2" borderId="92" xfId="0" applyFont="1" applyFill="1" applyBorder="1" applyAlignment="1">
      <alignment horizontal="center" vertical="center" wrapText="1"/>
    </xf>
    <xf numFmtId="0" fontId="39" fillId="2" borderId="78" xfId="0" applyFont="1" applyFill="1" applyBorder="1" applyAlignment="1">
      <alignment horizontal="center" vertical="center" wrapText="1"/>
    </xf>
    <xf numFmtId="0" fontId="54" fillId="9" borderId="94" xfId="0" applyFont="1" applyFill="1" applyBorder="1" applyAlignment="1">
      <alignment horizontal="center"/>
    </xf>
    <xf numFmtId="0" fontId="54" fillId="9" borderId="93" xfId="0" applyFont="1" applyFill="1" applyBorder="1" applyAlignment="1">
      <alignment horizontal="center"/>
    </xf>
    <xf numFmtId="0" fontId="54" fillId="9" borderId="75" xfId="0" applyFont="1" applyFill="1" applyBorder="1" applyAlignment="1">
      <alignment horizontal="center"/>
    </xf>
    <xf numFmtId="0" fontId="39" fillId="4" borderId="82" xfId="0" applyFont="1" applyFill="1" applyBorder="1" applyAlignment="1">
      <alignment horizontal="center" vertical="center" wrapText="1"/>
    </xf>
    <xf numFmtId="0" fontId="39" fillId="4" borderId="63" xfId="0" applyFont="1" applyFill="1" applyBorder="1" applyAlignment="1">
      <alignment horizontal="center" vertical="center" wrapText="1"/>
    </xf>
    <xf numFmtId="0" fontId="58" fillId="2" borderId="40" xfId="0" applyFont="1" applyFill="1" applyBorder="1" applyAlignment="1">
      <alignment horizontal="center"/>
    </xf>
    <xf numFmtId="0" fontId="58" fillId="2" borderId="80" xfId="0" applyFont="1" applyFill="1" applyBorder="1" applyAlignment="1">
      <alignment horizontal="center"/>
    </xf>
    <xf numFmtId="0" fontId="58" fillId="2" borderId="70" xfId="0" applyFont="1" applyFill="1" applyBorder="1" applyAlignment="1">
      <alignment horizontal="center"/>
    </xf>
    <xf numFmtId="0" fontId="58" fillId="4" borderId="24" xfId="0" applyFont="1" applyFill="1" applyBorder="1" applyAlignment="1">
      <alignment horizontal="center"/>
    </xf>
    <xf numFmtId="0" fontId="58" fillId="4" borderId="65" xfId="0" applyFont="1" applyFill="1" applyBorder="1" applyAlignment="1">
      <alignment horizontal="center"/>
    </xf>
    <xf numFmtId="0" fontId="58" fillId="4" borderId="66" xfId="0" applyFont="1" applyFill="1" applyBorder="1" applyAlignment="1">
      <alignment horizontal="center"/>
    </xf>
    <xf numFmtId="0" fontId="58" fillId="2" borderId="24" xfId="0" applyFont="1" applyFill="1" applyBorder="1" applyAlignment="1">
      <alignment horizontal="center"/>
    </xf>
    <xf numFmtId="0" fontId="58" fillId="2" borderId="65" xfId="0" applyFont="1" applyFill="1" applyBorder="1" applyAlignment="1">
      <alignment horizontal="center"/>
    </xf>
    <xf numFmtId="0" fontId="58" fillId="2" borderId="66" xfId="0" applyFont="1" applyFill="1" applyBorder="1" applyAlignment="1">
      <alignment horizontal="center"/>
    </xf>
    <xf numFmtId="0" fontId="2" fillId="0" borderId="2" xfId="0" applyFont="1" applyFill="1" applyBorder="1" applyAlignment="1">
      <alignment wrapText="1"/>
    </xf>
    <xf numFmtId="0" fontId="39" fillId="2" borderId="51" xfId="0" applyFont="1" applyFill="1" applyBorder="1" applyAlignment="1">
      <alignment vertical="center"/>
    </xf>
    <xf numFmtId="3" fontId="31" fillId="2" borderId="53" xfId="26" applyNumberFormat="1" applyFont="1" applyFill="1" applyBorder="1" applyAlignment="1">
      <alignment horizontal="center"/>
    </xf>
    <xf numFmtId="3" fontId="31" fillId="2" borderId="44" xfId="26" applyNumberFormat="1" applyFont="1" applyFill="1" applyBorder="1" applyAlignment="1">
      <alignment horizontal="center"/>
    </xf>
    <xf numFmtId="3" fontId="31" fillId="2" borderId="79" xfId="26" applyNumberFormat="1" applyFont="1" applyFill="1" applyBorder="1" applyAlignment="1">
      <alignment horizontal="center"/>
    </xf>
    <xf numFmtId="3" fontId="31" fillId="2" borderId="45" xfId="26" applyNumberFormat="1" applyFont="1" applyFill="1" applyBorder="1" applyAlignment="1">
      <alignment horizontal="center"/>
    </xf>
    <xf numFmtId="3" fontId="31" fillId="2" borderId="82" xfId="26" applyNumberFormat="1" applyFont="1" applyFill="1" applyBorder="1" applyAlignment="1">
      <alignment horizontal="center"/>
    </xf>
    <xf numFmtId="3" fontId="31" fillId="2" borderId="63" xfId="26" applyNumberFormat="1" applyFont="1" applyFill="1" applyBorder="1" applyAlignment="1">
      <alignment horizontal="center"/>
    </xf>
    <xf numFmtId="0" fontId="31" fillId="2" borderId="30" xfId="0" applyFont="1" applyFill="1" applyBorder="1" applyAlignment="1">
      <alignment horizontal="center" vertical="top" wrapText="1"/>
    </xf>
    <xf numFmtId="3" fontId="31" fillId="2" borderId="45" xfId="0" applyNumberFormat="1" applyFont="1" applyFill="1" applyBorder="1" applyAlignment="1">
      <alignment horizontal="center" vertical="top"/>
    </xf>
    <xf numFmtId="0" fontId="31" fillId="2" borderId="30" xfId="0" applyFont="1" applyFill="1" applyBorder="1" applyAlignment="1">
      <alignment horizontal="center" vertical="top"/>
    </xf>
    <xf numFmtId="0" fontId="31" fillId="2" borderId="30" xfId="0" applyFont="1" applyFill="1" applyBorder="1" applyAlignment="1">
      <alignment horizontal="center" vertical="center"/>
    </xf>
    <xf numFmtId="0" fontId="31" fillId="2" borderId="53" xfId="0" quotePrefix="1" applyFont="1" applyFill="1" applyBorder="1" applyAlignment="1">
      <alignment horizontal="center"/>
    </xf>
    <xf numFmtId="0" fontId="31" fillId="2" borderId="45" xfId="0" applyFont="1" applyFill="1" applyBorder="1" applyAlignment="1">
      <alignment horizontal="center"/>
    </xf>
    <xf numFmtId="9" fontId="43" fillId="2" borderId="45" xfId="0" applyNumberFormat="1" applyFont="1" applyFill="1" applyBorder="1" applyAlignment="1">
      <alignment horizontal="center" vertical="top"/>
    </xf>
    <xf numFmtId="0" fontId="31" fillId="2" borderId="62" xfId="0" applyNumberFormat="1" applyFont="1" applyFill="1" applyBorder="1" applyAlignment="1">
      <alignment horizontal="center" vertical="top"/>
    </xf>
    <xf numFmtId="0" fontId="31" fillId="2" borderId="62" xfId="0" applyFont="1" applyFill="1" applyBorder="1" applyAlignment="1">
      <alignment horizontal="center" vertical="top" wrapText="1"/>
    </xf>
    <xf numFmtId="0" fontId="31" fillId="2" borderId="53" xfId="0" quotePrefix="1" applyNumberFormat="1" applyFont="1" applyFill="1" applyBorder="1" applyAlignment="1">
      <alignment horizontal="center"/>
    </xf>
    <xf numFmtId="0" fontId="31" fillId="2" borderId="45" xfId="0" applyNumberFormat="1" applyFont="1" applyFill="1" applyBorder="1" applyAlignment="1">
      <alignment horizontal="center"/>
    </xf>
    <xf numFmtId="49" fontId="31" fillId="2" borderId="30" xfId="0" applyNumberFormat="1" applyFont="1" applyFill="1" applyBorder="1" applyAlignment="1">
      <alignment horizontal="center" vertical="top"/>
    </xf>
    <xf numFmtId="0" fontId="43" fillId="2" borderId="45" xfId="0" applyNumberFormat="1" applyFont="1" applyFill="1" applyBorder="1" applyAlignment="1">
      <alignment horizontal="center" vertical="top"/>
    </xf>
    <xf numFmtId="3" fontId="33" fillId="10" borderId="99" xfId="0" applyNumberFormat="1" applyFont="1" applyFill="1" applyBorder="1" applyAlignment="1">
      <alignment horizontal="right" vertical="top"/>
    </xf>
    <xf numFmtId="3" fontId="33" fillId="10" borderId="100" xfId="0" applyNumberFormat="1" applyFont="1" applyFill="1" applyBorder="1" applyAlignment="1">
      <alignment horizontal="right" vertical="top"/>
    </xf>
    <xf numFmtId="177" fontId="33" fillId="10" borderId="101" xfId="0" applyNumberFormat="1" applyFont="1" applyFill="1" applyBorder="1" applyAlignment="1">
      <alignment horizontal="right" vertical="top"/>
    </xf>
    <xf numFmtId="3" fontId="33" fillId="0" borderId="99" xfId="0" applyNumberFormat="1" applyFont="1" applyBorder="1" applyAlignment="1">
      <alignment horizontal="right" vertical="top"/>
    </xf>
    <xf numFmtId="177" fontId="33" fillId="10" borderId="102" xfId="0" applyNumberFormat="1" applyFont="1" applyFill="1" applyBorder="1" applyAlignment="1">
      <alignment horizontal="right" vertical="top"/>
    </xf>
    <xf numFmtId="3" fontId="35" fillId="10" borderId="104" xfId="0" applyNumberFormat="1" applyFont="1" applyFill="1" applyBorder="1" applyAlignment="1">
      <alignment horizontal="right" vertical="top"/>
    </xf>
    <xf numFmtId="3" fontId="35" fillId="10" borderId="105" xfId="0" applyNumberFormat="1" applyFont="1" applyFill="1" applyBorder="1" applyAlignment="1">
      <alignment horizontal="right" vertical="top"/>
    </xf>
    <xf numFmtId="177" fontId="35" fillId="10" borderId="106" xfId="0" applyNumberFormat="1" applyFont="1" applyFill="1" applyBorder="1" applyAlignment="1">
      <alignment horizontal="right" vertical="top"/>
    </xf>
    <xf numFmtId="3" fontId="35" fillId="0" borderId="104" xfId="0" applyNumberFormat="1" applyFont="1" applyBorder="1" applyAlignment="1">
      <alignment horizontal="right" vertical="top"/>
    </xf>
    <xf numFmtId="177" fontId="35" fillId="10" borderId="107" xfId="0" applyNumberFormat="1" applyFont="1" applyFill="1" applyBorder="1" applyAlignment="1">
      <alignment horizontal="right" vertical="top"/>
    </xf>
    <xf numFmtId="0" fontId="33" fillId="10" borderId="101" xfId="0" applyFont="1" applyFill="1" applyBorder="1" applyAlignment="1">
      <alignment horizontal="right" vertical="top"/>
    </xf>
    <xf numFmtId="0" fontId="35" fillId="10" borderId="107" xfId="0" applyFont="1" applyFill="1" applyBorder="1" applyAlignment="1">
      <alignment horizontal="right" vertical="top"/>
    </xf>
    <xf numFmtId="0" fontId="33" fillId="10" borderId="102" xfId="0" applyFont="1" applyFill="1" applyBorder="1" applyAlignment="1">
      <alignment horizontal="right" vertical="top"/>
    </xf>
    <xf numFmtId="0" fontId="35" fillId="10" borderId="106" xfId="0" applyFont="1" applyFill="1" applyBorder="1" applyAlignment="1">
      <alignment horizontal="right" vertical="top"/>
    </xf>
    <xf numFmtId="3" fontId="35" fillId="0" borderId="108" xfId="0" applyNumberFormat="1" applyFont="1" applyBorder="1" applyAlignment="1">
      <alignment horizontal="right" vertical="top"/>
    </xf>
    <xf numFmtId="3" fontId="35" fillId="0" borderId="109" xfId="0" applyNumberFormat="1" applyFont="1" applyBorder="1" applyAlignment="1">
      <alignment horizontal="right" vertical="top"/>
    </xf>
    <xf numFmtId="3" fontId="35" fillId="0" borderId="110" xfId="0" applyNumberFormat="1" applyFont="1" applyBorder="1" applyAlignment="1">
      <alignment horizontal="right" vertical="top"/>
    </xf>
    <xf numFmtId="177" fontId="35" fillId="10" borderId="111" xfId="0" applyNumberFormat="1" applyFont="1" applyFill="1" applyBorder="1" applyAlignment="1">
      <alignment horizontal="right" vertical="top"/>
    </xf>
    <xf numFmtId="0" fontId="37" fillId="11" borderId="98" xfId="0" applyFont="1" applyFill="1" applyBorder="1" applyAlignment="1">
      <alignment vertical="top"/>
    </xf>
    <xf numFmtId="0" fontId="37" fillId="11" borderId="98" xfId="0" applyFont="1" applyFill="1" applyBorder="1" applyAlignment="1">
      <alignment vertical="top" indent="2"/>
    </xf>
    <xf numFmtId="0" fontId="37" fillId="11" borderId="98" xfId="0" applyFont="1" applyFill="1" applyBorder="1" applyAlignment="1">
      <alignment vertical="top" indent="4"/>
    </xf>
    <xf numFmtId="0" fontId="38" fillId="11" borderId="103" xfId="0" applyFont="1" applyFill="1" applyBorder="1" applyAlignment="1">
      <alignment vertical="top" indent="6"/>
    </xf>
    <xf numFmtId="0" fontId="37" fillId="11" borderId="98" xfId="0" applyFont="1" applyFill="1" applyBorder="1" applyAlignment="1">
      <alignment vertical="top" indent="8"/>
    </xf>
    <xf numFmtId="0" fontId="38" fillId="11" borderId="103" xfId="0" applyFont="1" applyFill="1" applyBorder="1" applyAlignment="1">
      <alignment vertical="top" indent="2"/>
    </xf>
    <xf numFmtId="0" fontId="37" fillId="11" borderId="98" xfId="0" applyFont="1" applyFill="1" applyBorder="1" applyAlignment="1">
      <alignment vertical="top" indent="6"/>
    </xf>
    <xf numFmtId="0" fontId="38" fillId="11" borderId="103" xfId="0" applyFont="1" applyFill="1" applyBorder="1" applyAlignment="1">
      <alignment vertical="top" indent="4"/>
    </xf>
    <xf numFmtId="0" fontId="32" fillId="11" borderId="98" xfId="0" applyFont="1" applyFill="1" applyBorder="1"/>
    <xf numFmtId="0" fontId="38" fillId="11" borderId="18" xfId="0" applyFont="1" applyFill="1" applyBorder="1" applyAlignment="1">
      <alignment vertical="top"/>
    </xf>
    <xf numFmtId="0" fontId="32" fillId="2" borderId="54" xfId="0" applyFont="1" applyFill="1" applyBorder="1" applyAlignment="1">
      <alignment vertical="center"/>
    </xf>
    <xf numFmtId="0" fontId="31" fillId="2" borderId="15" xfId="26" applyNumberFormat="1" applyFont="1" applyFill="1" applyBorder="1"/>
    <xf numFmtId="0" fontId="31" fillId="2" borderId="0" xfId="26" applyNumberFormat="1" applyFont="1" applyFill="1" applyBorder="1"/>
    <xf numFmtId="9" fontId="31" fillId="2" borderId="0" xfId="26" quotePrefix="1" applyNumberFormat="1" applyFont="1" applyFill="1" applyBorder="1" applyAlignment="1">
      <alignment horizontal="right"/>
    </xf>
    <xf numFmtId="9" fontId="31" fillId="2" borderId="16" xfId="26" applyNumberFormat="1" applyFont="1" applyFill="1" applyBorder="1" applyAlignment="1">
      <alignment horizontal="right"/>
    </xf>
    <xf numFmtId="0" fontId="58" fillId="4" borderId="64" xfId="0" applyFont="1" applyFill="1" applyBorder="1" applyAlignment="1">
      <alignment horizontal="left"/>
    </xf>
    <xf numFmtId="169" fontId="58" fillId="4" borderId="65" xfId="0" applyNumberFormat="1" applyFont="1" applyFill="1" applyBorder="1"/>
    <xf numFmtId="9" fontId="58" fillId="4" borderId="65" xfId="0" applyNumberFormat="1" applyFont="1" applyFill="1" applyBorder="1"/>
    <xf numFmtId="9" fontId="58" fillId="4" borderId="66" xfId="0" applyNumberFormat="1" applyFont="1" applyFill="1" applyBorder="1"/>
    <xf numFmtId="169" fontId="0" fillId="0" borderId="68" xfId="0" applyNumberFormat="1" applyBorder="1"/>
    <xf numFmtId="9" fontId="0" fillId="0" borderId="68" xfId="0" applyNumberFormat="1" applyBorder="1"/>
    <xf numFmtId="9" fontId="0" fillId="0" borderId="69" xfId="0" applyNumberFormat="1" applyBorder="1"/>
    <xf numFmtId="0" fontId="58" fillId="0" borderId="67" xfId="0" applyFont="1" applyBorder="1" applyAlignment="1">
      <alignment horizontal="left" indent="1"/>
    </xf>
    <xf numFmtId="0" fontId="59" fillId="0" borderId="0" xfId="0" applyFont="1" applyFill="1"/>
    <xf numFmtId="0" fontId="60" fillId="0" borderId="0" xfId="0" applyFont="1" applyFill="1"/>
    <xf numFmtId="0" fontId="31" fillId="2" borderId="16" xfId="26" applyNumberFormat="1" applyFont="1" applyFill="1" applyBorder="1"/>
    <xf numFmtId="3" fontId="32" fillId="0" borderId="27" xfId="0" applyNumberFormat="1" applyFont="1" applyFill="1" applyBorder="1"/>
    <xf numFmtId="169" fontId="32" fillId="0" borderId="27" xfId="0" applyNumberFormat="1" applyFont="1" applyFill="1" applyBorder="1"/>
    <xf numFmtId="169" fontId="32" fillId="0" borderId="20" xfId="0" applyNumberFormat="1" applyFont="1" applyFill="1" applyBorder="1"/>
    <xf numFmtId="0" fontId="39" fillId="0" borderId="19" xfId="0" applyFont="1" applyFill="1" applyBorder="1"/>
    <xf numFmtId="0" fontId="32" fillId="2" borderId="31" xfId="0" applyFont="1" applyFill="1" applyBorder="1" applyAlignment="1">
      <alignment horizontal="center" vertical="top" wrapText="1"/>
    </xf>
    <xf numFmtId="0" fontId="31" fillId="2" borderId="31" xfId="0" applyFont="1" applyFill="1" applyBorder="1" applyAlignment="1">
      <alignment horizontal="center" vertical="top" wrapText="1"/>
    </xf>
    <xf numFmtId="0" fontId="31" fillId="2" borderId="31" xfId="0" applyFont="1" applyFill="1" applyBorder="1" applyAlignment="1">
      <alignment horizontal="center" vertical="top"/>
    </xf>
    <xf numFmtId="0" fontId="0" fillId="0" borderId="31" xfId="0" applyNumberFormat="1" applyBorder="1" applyAlignment="1">
      <alignment horizontal="center" vertical="top"/>
    </xf>
    <xf numFmtId="0" fontId="31" fillId="2" borderId="31" xfId="0" applyFont="1" applyFill="1" applyBorder="1" applyAlignment="1">
      <alignment horizontal="center" vertical="center"/>
    </xf>
    <xf numFmtId="3" fontId="31" fillId="2" borderId="15" xfId="0" applyNumberFormat="1" applyFont="1" applyFill="1" applyBorder="1" applyAlignment="1">
      <alignment horizontal="left"/>
    </xf>
    <xf numFmtId="3" fontId="31" fillId="2" borderId="16" xfId="0" applyNumberFormat="1" applyFont="1" applyFill="1" applyBorder="1" applyAlignment="1">
      <alignment horizontal="center"/>
    </xf>
    <xf numFmtId="3" fontId="31" fillId="2" borderId="0" xfId="0" applyNumberFormat="1" applyFont="1" applyFill="1" applyBorder="1" applyAlignment="1">
      <alignment horizontal="center"/>
    </xf>
    <xf numFmtId="9" fontId="43" fillId="2" borderId="16" xfId="0" applyNumberFormat="1" applyFont="1" applyFill="1" applyBorder="1" applyAlignment="1">
      <alignment horizontal="center" vertical="top"/>
    </xf>
    <xf numFmtId="3" fontId="31" fillId="2" borderId="16" xfId="0" applyNumberFormat="1" applyFont="1" applyFill="1" applyBorder="1" applyAlignment="1">
      <alignment horizontal="center" vertical="top"/>
    </xf>
    <xf numFmtId="0" fontId="32" fillId="0" borderId="64" xfId="0" applyFont="1" applyFill="1" applyBorder="1"/>
    <xf numFmtId="0" fontId="32" fillId="0" borderId="65" xfId="0" applyFont="1" applyFill="1" applyBorder="1"/>
    <xf numFmtId="3" fontId="32" fillId="0" borderId="65" xfId="0" applyNumberFormat="1" applyFont="1" applyFill="1" applyBorder="1"/>
    <xf numFmtId="9" fontId="32" fillId="0" borderId="65" xfId="0" applyNumberFormat="1" applyFont="1" applyFill="1" applyBorder="1"/>
    <xf numFmtId="3" fontId="32" fillId="0" borderId="66" xfId="0" applyNumberFormat="1" applyFont="1" applyFill="1" applyBorder="1"/>
    <xf numFmtId="0" fontId="32" fillId="0" borderId="72" xfId="0" applyFont="1" applyFill="1" applyBorder="1"/>
    <xf numFmtId="0" fontId="32" fillId="0" borderId="73" xfId="0" applyFont="1" applyFill="1" applyBorder="1"/>
    <xf numFmtId="3" fontId="32" fillId="0" borderId="73" xfId="0" applyNumberFormat="1" applyFont="1" applyFill="1" applyBorder="1"/>
    <xf numFmtId="9" fontId="32" fillId="0" borderId="73" xfId="0" applyNumberFormat="1" applyFont="1" applyFill="1" applyBorder="1"/>
    <xf numFmtId="3" fontId="32" fillId="0" borderId="74" xfId="0" applyNumberFormat="1" applyFont="1" applyFill="1" applyBorder="1"/>
    <xf numFmtId="0" fontId="32" fillId="0" borderId="67" xfId="0" applyFont="1" applyFill="1" applyBorder="1"/>
    <xf numFmtId="0" fontId="32" fillId="0" borderId="68" xfId="0" applyFont="1" applyFill="1" applyBorder="1"/>
    <xf numFmtId="3" fontId="32" fillId="0" borderId="68" xfId="0" applyNumberFormat="1" applyFont="1" applyFill="1" applyBorder="1"/>
    <xf numFmtId="9" fontId="32" fillId="0" borderId="68" xfId="0" applyNumberFormat="1" applyFont="1" applyFill="1" applyBorder="1"/>
    <xf numFmtId="3" fontId="32" fillId="0" borderId="69" xfId="0" applyNumberFormat="1" applyFont="1" applyFill="1" applyBorder="1"/>
    <xf numFmtId="0" fontId="31" fillId="2" borderId="31" xfId="0" applyFont="1" applyFill="1" applyBorder="1" applyAlignment="1">
      <alignment horizontal="center" vertical="top" wrapText="1"/>
    </xf>
    <xf numFmtId="0" fontId="31" fillId="2" borderId="16" xfId="26" applyNumberFormat="1" applyFont="1" applyFill="1" applyBorder="1" applyAlignment="1">
      <alignment horizontal="right"/>
    </xf>
    <xf numFmtId="169" fontId="32" fillId="0" borderId="65" xfId="0" applyNumberFormat="1" applyFont="1" applyFill="1" applyBorder="1"/>
    <xf numFmtId="9" fontId="32" fillId="0" borderId="66" xfId="0" applyNumberFormat="1" applyFont="1" applyFill="1" applyBorder="1"/>
    <xf numFmtId="169" fontId="32" fillId="0" borderId="73" xfId="0" applyNumberFormat="1" applyFont="1" applyFill="1" applyBorder="1"/>
    <xf numFmtId="9" fontId="32" fillId="0" borderId="74" xfId="0" applyNumberFormat="1" applyFont="1" applyFill="1" applyBorder="1"/>
    <xf numFmtId="169" fontId="32" fillId="0" borderId="68" xfId="0" applyNumberFormat="1" applyFont="1" applyFill="1" applyBorder="1"/>
    <xf numFmtId="9" fontId="32" fillId="0" borderId="69" xfId="0" applyNumberFormat="1" applyFont="1" applyFill="1" applyBorder="1"/>
    <xf numFmtId="0" fontId="39" fillId="0" borderId="64" xfId="0" applyFont="1" applyFill="1" applyBorder="1"/>
    <xf numFmtId="0" fontId="39" fillId="0" borderId="72" xfId="0" applyFont="1" applyFill="1" applyBorder="1"/>
    <xf numFmtId="0" fontId="39" fillId="0" borderId="67" xfId="0" applyFont="1" applyFill="1" applyBorder="1"/>
    <xf numFmtId="49" fontId="31" fillId="2" borderId="31" xfId="0" applyNumberFormat="1" applyFont="1" applyFill="1" applyBorder="1" applyAlignment="1">
      <alignment horizontal="center" vertical="top"/>
    </xf>
    <xf numFmtId="0" fontId="31" fillId="2" borderId="15" xfId="0" applyNumberFormat="1" applyFont="1" applyFill="1" applyBorder="1" applyAlignment="1">
      <alignment horizontal="left"/>
    </xf>
    <xf numFmtId="0" fontId="31" fillId="2" borderId="16" xfId="0" applyNumberFormat="1" applyFont="1" applyFill="1" applyBorder="1" applyAlignment="1">
      <alignment horizontal="left"/>
    </xf>
    <xf numFmtId="0" fontId="31" fillId="2" borderId="0" xfId="0" applyNumberFormat="1" applyFont="1" applyFill="1" applyBorder="1" applyAlignment="1">
      <alignment horizontal="left"/>
    </xf>
    <xf numFmtId="0" fontId="43" fillId="2" borderId="16" xfId="0" applyNumberFormat="1" applyFont="1" applyFill="1" applyBorder="1" applyAlignment="1">
      <alignment horizontal="center" vertical="top"/>
    </xf>
  </cellXfs>
  <cellStyles count="95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4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Manažerské tabulky" xfId="78"/>
    <cellStyle name="normální_Sestava hospodaření" xfId="79"/>
    <cellStyle name="Procenta 10" xfId="80"/>
    <cellStyle name="Procenta 11" xfId="81"/>
    <cellStyle name="Procenta 2" xfId="82"/>
    <cellStyle name="Procenta 2 2" xfId="83"/>
    <cellStyle name="Procenta 2 2 2" xfId="84"/>
    <cellStyle name="Procenta 2 3" xfId="85"/>
    <cellStyle name="Procenta 3" xfId="86"/>
    <cellStyle name="Procenta 3 2" xfId="87"/>
    <cellStyle name="Procenta 4" xfId="88"/>
    <cellStyle name="Procenta 5" xfId="89"/>
    <cellStyle name="Procenta 6" xfId="90"/>
    <cellStyle name="Procenta 7" xfId="91"/>
    <cellStyle name="Procenta 8" xfId="92"/>
    <cellStyle name="Procenta 9" xfId="93"/>
  </cellStyles>
  <dxfs count="54">
    <dxf>
      <font>
        <b/>
        <i val="0"/>
        <color rgb="FFFF0000"/>
      </font>
    </dxf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>
      <tableStyleElement type="wholeTable" dxfId="53"/>
      <tableStyleElement type="headerRow" dxfId="52"/>
      <tableStyleElement type="totalRow" dxfId="51"/>
      <tableStyleElement type="firstColumn" dxfId="50"/>
      <tableStyleElement type="lastColumn" dxfId="49"/>
      <tableStyleElement type="firstRowStripe" dxfId="48"/>
      <tableStyleElement type="firstColumnStripe" dxfId="47"/>
    </tableStyle>
    <tableStyle name="TableStyleMedium2 2" pivot="0" count="7">
      <tableStyleElement type="wholeTable" dxfId="46"/>
      <tableStyleElement type="headerRow" dxfId="45"/>
      <tableStyleElement type="totalRow" dxfId="44"/>
      <tableStyleElement type="firstColumn" dxfId="43"/>
      <tableStyleElement type="lastColumn" dxfId="42"/>
      <tableStyleElement type="firstRowStripe" dxfId="41"/>
      <tableStyleElement type="firstColumnStripe" dxfId="40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Graf'!$B$4:$E$4</c:f>
              <c:numCache>
                <c:formatCode>General</c:formatCode>
                <c:ptCount val="4"/>
                <c:pt idx="0">
                  <c:v>0.33123895821809163</c:v>
                </c:pt>
                <c:pt idx="1">
                  <c:v>0.30689103429246584</c:v>
                </c:pt>
                <c:pt idx="2">
                  <c:v>0.3200188698340819</c:v>
                </c:pt>
                <c:pt idx="3">
                  <c:v>0.31878676709450976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78790560"/>
        <c:axId val="-585227104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0.20659886649411671</c:v>
                </c:pt>
                <c:pt idx="1">
                  <c:v>0.20659886649411671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585219488"/>
        <c:axId val="-585228192"/>
      </c:scatterChart>
      <c:catAx>
        <c:axId val="-1978790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585227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58522710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1978790560"/>
        <c:crosses val="autoZero"/>
        <c:crossBetween val="between"/>
      </c:valAx>
      <c:valAx>
        <c:axId val="-585219488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585228192"/>
        <c:crosses val="max"/>
        <c:crossBetween val="midCat"/>
      </c:valAx>
      <c:valAx>
        <c:axId val="-58522819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585219488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6" name="Tabulka" displayName="Tabulka" ref="A7:S12" totalsRowShown="0" headerRowDxfId="39" tableBorderDxfId="38">
  <autoFilter ref="A7:S1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name="kat" dataDxfId="37"/>
    <tableColumn id="2" name="popis" dataDxfId="36"/>
    <tableColumn id="3" name="01 uv_sk" dataDxfId="3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name="02 uv_pla" dataDxfId="3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name="03 uv_pln" dataDxfId="3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name="04 uv_rozd" dataDxfId="3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name="05 h_vram" dataDxfId="3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name="06 h_naduv" dataDxfId="3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name="07 h_nadzk" dataDxfId="2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name="08 h_oon" dataDxfId="2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name="09 m_kl" dataDxfId="2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name="10 m_gr" dataDxfId="2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name="11 m_jo" dataDxfId="2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name="12 m_oc" dataDxfId="2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name="13 m_sk" dataDxfId="2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name="14_vzsk" dataDxfId="2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name="15_vzpl" dataDxfId="2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name="16_vzpln" dataDxfId="20">
      <calculatedColumnFormula>IF(Tabulka[[#This Row],[15_vzpl]]=0,"",Tabulka[[#This Row],[14_vzsk]]/Tabulka[[#This Row],[15_vzpl]])</calculatedColumnFormula>
    </tableColumn>
    <tableColumn id="20" name="17_vzroz" dataDxfId="19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id="7" name="ONData" displayName="ONData" ref="C3:S27" totalsRowShown="0">
  <autoFilter ref="C3:S27"/>
  <tableColumns count="17">
    <tableColumn id="1" name="mesic"/>
    <tableColumn id="2" name="kat"/>
    <tableColumn id="3" name="01 uv_sk"/>
    <tableColumn id="4" name="02 uv_pla"/>
    <tableColumn id="5" name="03 uv_pln"/>
    <tableColumn id="6" name="04 uv_rozd"/>
    <tableColumn id="7" name="05 h_vram"/>
    <tableColumn id="8" name="06 h_naduv"/>
    <tableColumn id="9" name="07 h_nadzk"/>
    <tableColumn id="10" name="08 h_oon"/>
    <tableColumn id="11" name="09 m_kl"/>
    <tableColumn id="12" name="10 m_gr"/>
    <tableColumn id="13" name="11 m_jo"/>
    <tableColumn id="14" name="12 m_oc"/>
    <tableColumn id="15" name="13 m_sk"/>
    <tableColumn id="16" name="14_vzsk"/>
    <tableColumn id="17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19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01" bestFit="1" customWidth="1"/>
    <col min="2" max="2" width="102.21875" style="101" bestFit="1" customWidth="1"/>
    <col min="3" max="3" width="16.109375" style="42" hidden="1" customWidth="1"/>
    <col min="4" max="16384" width="8.88671875" style="101"/>
  </cols>
  <sheetData>
    <row r="1" spans="1:3" ht="18.600000000000001" customHeight="1" thickBot="1" x14ac:dyDescent="0.4">
      <c r="A1" s="263" t="s">
        <v>82</v>
      </c>
      <c r="B1" s="263"/>
    </row>
    <row r="2" spans="1:3" ht="14.4" customHeight="1" thickBot="1" x14ac:dyDescent="0.35">
      <c r="A2" s="189" t="s">
        <v>202</v>
      </c>
      <c r="B2" s="41"/>
    </row>
    <row r="3" spans="1:3" ht="14.4" customHeight="1" thickBot="1" x14ac:dyDescent="0.35">
      <c r="A3" s="259" t="s">
        <v>99</v>
      </c>
      <c r="B3" s="260"/>
    </row>
    <row r="4" spans="1:3" ht="14.4" customHeight="1" x14ac:dyDescent="0.3">
      <c r="A4" s="113" t="str">
        <f t="shared" ref="A4:A8" si="0">HYPERLINK("#'"&amp;C4&amp;"'!A1",C4)</f>
        <v>Motivace</v>
      </c>
      <c r="B4" s="63" t="s">
        <v>89</v>
      </c>
      <c r="C4" s="42" t="s">
        <v>90</v>
      </c>
    </row>
    <row r="5" spans="1:3" ht="14.4" customHeight="1" x14ac:dyDescent="0.3">
      <c r="A5" s="114" t="str">
        <f t="shared" si="0"/>
        <v>HI</v>
      </c>
      <c r="B5" s="64" t="s">
        <v>98</v>
      </c>
      <c r="C5" s="42" t="s">
        <v>85</v>
      </c>
    </row>
    <row r="6" spans="1:3" ht="14.4" customHeight="1" x14ac:dyDescent="0.3">
      <c r="A6" s="115" t="str">
        <f t="shared" si="0"/>
        <v>HI Graf</v>
      </c>
      <c r="B6" s="65" t="s">
        <v>78</v>
      </c>
      <c r="C6" s="42" t="s">
        <v>86</v>
      </c>
    </row>
    <row r="7" spans="1:3" ht="14.4" customHeight="1" x14ac:dyDescent="0.3">
      <c r="A7" s="115" t="str">
        <f t="shared" si="0"/>
        <v>Man Tab</v>
      </c>
      <c r="B7" s="65" t="s">
        <v>204</v>
      </c>
      <c r="C7" s="42" t="s">
        <v>87</v>
      </c>
    </row>
    <row r="8" spans="1:3" ht="14.4" customHeight="1" thickBot="1" x14ac:dyDescent="0.35">
      <c r="A8" s="116" t="str">
        <f t="shared" si="0"/>
        <v>HV</v>
      </c>
      <c r="B8" s="66" t="s">
        <v>36</v>
      </c>
      <c r="C8" s="42" t="s">
        <v>41</v>
      </c>
    </row>
    <row r="9" spans="1:3" ht="14.4" customHeight="1" thickBot="1" x14ac:dyDescent="0.35">
      <c r="A9" s="67"/>
      <c r="B9" s="67"/>
    </row>
    <row r="10" spans="1:3" ht="14.4" customHeight="1" thickBot="1" x14ac:dyDescent="0.35">
      <c r="A10" s="261" t="s">
        <v>83</v>
      </c>
      <c r="B10" s="260"/>
    </row>
    <row r="11" spans="1:3" ht="14.4" customHeight="1" thickBot="1" x14ac:dyDescent="0.35">
      <c r="A11" s="117" t="str">
        <f t="shared" ref="A11" si="1">HYPERLINK("#'"&amp;C11&amp;"'!A1",C11)</f>
        <v>Osobní náklady</v>
      </c>
      <c r="B11" s="65" t="s">
        <v>80</v>
      </c>
      <c r="C11" s="42" t="s">
        <v>88</v>
      </c>
    </row>
    <row r="12" spans="1:3" ht="14.4" customHeight="1" thickBot="1" x14ac:dyDescent="0.35">
      <c r="A12" s="68"/>
      <c r="B12" s="68"/>
    </row>
    <row r="13" spans="1:3" ht="14.4" customHeight="1" thickBot="1" x14ac:dyDescent="0.35">
      <c r="A13" s="262" t="s">
        <v>84</v>
      </c>
      <c r="B13" s="260"/>
    </row>
    <row r="14" spans="1:3" ht="14.4" customHeight="1" x14ac:dyDescent="0.3">
      <c r="A14" s="118" t="str">
        <f t="shared" ref="A14:A19" si="2">HYPERLINK("#'"&amp;C14&amp;"'!A1",C14)</f>
        <v>ZV Vykáz.-A</v>
      </c>
      <c r="B14" s="64" t="s">
        <v>320</v>
      </c>
      <c r="C14" s="42" t="s">
        <v>91</v>
      </c>
    </row>
    <row r="15" spans="1:3" ht="14.4" customHeight="1" x14ac:dyDescent="0.3">
      <c r="A15" s="115" t="str">
        <f t="shared" ref="A15" si="3">HYPERLINK("#'"&amp;C15&amp;"'!A1",C15)</f>
        <v>ZV Vykáz.-A Lékaři</v>
      </c>
      <c r="B15" s="65" t="s">
        <v>326</v>
      </c>
      <c r="C15" s="42" t="s">
        <v>142</v>
      </c>
    </row>
    <row r="16" spans="1:3" ht="14.4" customHeight="1" x14ac:dyDescent="0.3">
      <c r="A16" s="115" t="str">
        <f t="shared" si="2"/>
        <v>ZV Vykáz.-A Detail</v>
      </c>
      <c r="B16" s="65" t="s">
        <v>344</v>
      </c>
      <c r="C16" s="42" t="s">
        <v>92</v>
      </c>
    </row>
    <row r="17" spans="1:3" ht="14.4" customHeight="1" x14ac:dyDescent="0.3">
      <c r="A17" s="205" t="str">
        <f>HYPERLINK("#'"&amp;C17&amp;"'!A1",C17)</f>
        <v>ZV Vykáz.-A Det.Lék.</v>
      </c>
      <c r="B17" s="65" t="s">
        <v>345</v>
      </c>
      <c r="C17" s="42" t="s">
        <v>146</v>
      </c>
    </row>
    <row r="18" spans="1:3" ht="14.4" customHeight="1" x14ac:dyDescent="0.3">
      <c r="A18" s="115" t="str">
        <f t="shared" si="2"/>
        <v>ZV Vykáz.-H</v>
      </c>
      <c r="B18" s="65" t="s">
        <v>95</v>
      </c>
      <c r="C18" s="42" t="s">
        <v>93</v>
      </c>
    </row>
    <row r="19" spans="1:3" ht="14.4" customHeight="1" x14ac:dyDescent="0.3">
      <c r="A19" s="115" t="str">
        <f t="shared" si="2"/>
        <v>ZV Vykáz.-H Detail</v>
      </c>
      <c r="B19" s="65" t="s">
        <v>371</v>
      </c>
      <c r="C19" s="42" t="s">
        <v>94</v>
      </c>
    </row>
  </sheetData>
  <mergeCells count="4">
    <mergeCell ref="A3:B3"/>
    <mergeCell ref="A10:B10"/>
    <mergeCell ref="A13:B13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9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outlineLevelCol="1" x14ac:dyDescent="0.3"/>
  <cols>
    <col min="1" max="1" width="46.6640625" style="101" bestFit="1" customWidth="1"/>
    <col min="2" max="2" width="7.77734375" style="175" hidden="1" customWidth="1" outlineLevel="1"/>
    <col min="3" max="3" width="7.77734375" style="175" customWidth="1" collapsed="1"/>
    <col min="4" max="4" width="7.77734375" style="175" customWidth="1"/>
    <col min="5" max="5" width="7.77734375" style="78" hidden="1" customWidth="1" outlineLevel="1"/>
    <col min="6" max="6" width="7.77734375" style="78" customWidth="1" collapsed="1"/>
    <col min="7" max="7" width="7.77734375" style="78" customWidth="1"/>
    <col min="8" max="16384" width="8.88671875" style="101"/>
  </cols>
  <sheetData>
    <row r="1" spans="1:7" ht="18.600000000000001" customHeight="1" thickBot="1" x14ac:dyDescent="0.4">
      <c r="A1" s="330" t="s">
        <v>326</v>
      </c>
      <c r="B1" s="263"/>
      <c r="C1" s="263"/>
      <c r="D1" s="263"/>
      <c r="E1" s="263"/>
      <c r="F1" s="263"/>
      <c r="G1" s="263"/>
    </row>
    <row r="2" spans="1:7" ht="14.4" customHeight="1" thickBot="1" x14ac:dyDescent="0.35">
      <c r="A2" s="189" t="s">
        <v>202</v>
      </c>
      <c r="B2" s="83"/>
      <c r="C2" s="83"/>
      <c r="D2" s="83"/>
      <c r="E2" s="83"/>
      <c r="F2" s="83"/>
      <c r="G2" s="83"/>
    </row>
    <row r="3" spans="1:7" ht="14.4" customHeight="1" thickBot="1" x14ac:dyDescent="0.35">
      <c r="A3" s="209" t="s">
        <v>96</v>
      </c>
      <c r="B3" s="197">
        <f t="shared" ref="B3:G3" si="0">SUBTOTAL(9,B6:B1048576)</f>
        <v>592</v>
      </c>
      <c r="C3" s="198">
        <f t="shared" si="0"/>
        <v>628</v>
      </c>
      <c r="D3" s="208">
        <f t="shared" si="0"/>
        <v>969</v>
      </c>
      <c r="E3" s="181">
        <f t="shared" si="0"/>
        <v>267176</v>
      </c>
      <c r="F3" s="179">
        <f t="shared" si="0"/>
        <v>284522.32</v>
      </c>
      <c r="G3" s="199">
        <f t="shared" si="0"/>
        <v>461026.66</v>
      </c>
    </row>
    <row r="4" spans="1:7" ht="14.4" customHeight="1" x14ac:dyDescent="0.3">
      <c r="A4" s="331" t="s">
        <v>97</v>
      </c>
      <c r="B4" s="336" t="s">
        <v>141</v>
      </c>
      <c r="C4" s="334"/>
      <c r="D4" s="337"/>
      <c r="E4" s="336" t="s">
        <v>73</v>
      </c>
      <c r="F4" s="334"/>
      <c r="G4" s="337"/>
    </row>
    <row r="5" spans="1:7" ht="14.4" customHeight="1" thickBot="1" x14ac:dyDescent="0.35">
      <c r="A5" s="379"/>
      <c r="B5" s="380">
        <v>2015</v>
      </c>
      <c r="C5" s="381">
        <v>2018</v>
      </c>
      <c r="D5" s="394">
        <v>2019</v>
      </c>
      <c r="E5" s="380">
        <v>2015</v>
      </c>
      <c r="F5" s="381">
        <v>2018</v>
      </c>
      <c r="G5" s="394">
        <v>2019</v>
      </c>
    </row>
    <row r="6" spans="1:7" ht="14.4" customHeight="1" thickBot="1" x14ac:dyDescent="0.35">
      <c r="A6" s="398" t="s">
        <v>322</v>
      </c>
      <c r="B6" s="395">
        <v>592</v>
      </c>
      <c r="C6" s="395">
        <v>628</v>
      </c>
      <c r="D6" s="395">
        <v>969</v>
      </c>
      <c r="E6" s="396">
        <v>267176</v>
      </c>
      <c r="F6" s="396">
        <v>284522.32</v>
      </c>
      <c r="G6" s="397">
        <v>461026.66</v>
      </c>
    </row>
    <row r="7" spans="1:7" ht="14.4" customHeight="1" x14ac:dyDescent="0.3">
      <c r="A7" s="392" t="s">
        <v>179</v>
      </c>
    </row>
    <row r="8" spans="1:7" ht="14.4" customHeight="1" x14ac:dyDescent="0.3">
      <c r="A8" s="393" t="s">
        <v>323</v>
      </c>
    </row>
    <row r="9" spans="1:7" ht="14.4" customHeight="1" x14ac:dyDescent="0.3">
      <c r="A9" s="392" t="s">
        <v>324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outlinePr summaryRight="0"/>
    <pageSetUpPr fitToPage="1"/>
  </sheetPr>
  <dimension ref="A1:R12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RowHeight="14.4" customHeight="1" outlineLevelCol="1" x14ac:dyDescent="0.3"/>
  <cols>
    <col min="1" max="1" width="3.33203125" style="101" customWidth="1"/>
    <col min="2" max="2" width="8.6640625" style="101" bestFit="1" customWidth="1"/>
    <col min="3" max="3" width="6.109375" style="101" customWidth="1"/>
    <col min="4" max="4" width="2.109375" style="101" bestFit="1" customWidth="1"/>
    <col min="5" max="5" width="8" style="101" customWidth="1"/>
    <col min="6" max="6" width="50.88671875" style="101" bestFit="1" customWidth="1" collapsed="1"/>
    <col min="7" max="8" width="11.109375" style="175" hidden="1" customWidth="1" outlineLevel="1"/>
    <col min="9" max="10" width="9.33203125" style="101" hidden="1" customWidth="1"/>
    <col min="11" max="12" width="11.109375" style="175" customWidth="1"/>
    <col min="13" max="14" width="9.33203125" style="101" hidden="1" customWidth="1"/>
    <col min="15" max="16" width="11.109375" style="175" customWidth="1"/>
    <col min="17" max="17" width="11.109375" style="176" customWidth="1"/>
    <col min="18" max="18" width="11.109375" style="175" customWidth="1"/>
    <col min="19" max="16384" width="8.88671875" style="101"/>
  </cols>
  <sheetData>
    <row r="1" spans="1:18" ht="18.600000000000001" customHeight="1" thickBot="1" x14ac:dyDescent="0.4">
      <c r="A1" s="263" t="s">
        <v>344</v>
      </c>
      <c r="B1" s="290"/>
      <c r="C1" s="290"/>
      <c r="D1" s="290"/>
      <c r="E1" s="290"/>
      <c r="F1" s="290"/>
      <c r="G1" s="290"/>
      <c r="H1" s="290"/>
      <c r="I1" s="290"/>
      <c r="J1" s="290"/>
      <c r="K1" s="290"/>
      <c r="L1" s="290"/>
      <c r="M1" s="290"/>
      <c r="N1" s="290"/>
      <c r="O1" s="290"/>
      <c r="P1" s="290"/>
      <c r="Q1" s="290"/>
      <c r="R1" s="290"/>
    </row>
    <row r="2" spans="1:18" ht="14.4" customHeight="1" thickBot="1" x14ac:dyDescent="0.35">
      <c r="A2" s="189" t="s">
        <v>202</v>
      </c>
      <c r="B2" s="166"/>
      <c r="C2" s="166"/>
      <c r="D2" s="83"/>
      <c r="E2" s="83"/>
      <c r="F2" s="83"/>
      <c r="G2" s="187"/>
      <c r="H2" s="187"/>
      <c r="I2" s="83"/>
      <c r="J2" s="83"/>
      <c r="K2" s="187"/>
      <c r="L2" s="187"/>
      <c r="M2" s="83"/>
      <c r="N2" s="83"/>
      <c r="O2" s="187"/>
      <c r="P2" s="187"/>
      <c r="Q2" s="184"/>
      <c r="R2" s="187"/>
    </row>
    <row r="3" spans="1:18" ht="14.4" customHeight="1" thickBot="1" x14ac:dyDescent="0.35">
      <c r="F3" s="62" t="s">
        <v>96</v>
      </c>
      <c r="G3" s="74">
        <f t="shared" ref="G3:P3" si="0">SUBTOTAL(9,G6:G1048576)</f>
        <v>592</v>
      </c>
      <c r="H3" s="75">
        <f t="shared" si="0"/>
        <v>267176</v>
      </c>
      <c r="I3" s="57"/>
      <c r="J3" s="57"/>
      <c r="K3" s="75">
        <f t="shared" si="0"/>
        <v>628</v>
      </c>
      <c r="L3" s="75">
        <f t="shared" si="0"/>
        <v>284522.32</v>
      </c>
      <c r="M3" s="57"/>
      <c r="N3" s="57"/>
      <c r="O3" s="75">
        <f t="shared" si="0"/>
        <v>969</v>
      </c>
      <c r="P3" s="75">
        <f t="shared" si="0"/>
        <v>461026.66</v>
      </c>
      <c r="Q3" s="58">
        <f>IF(L3=0,0,P3/L3)</f>
        <v>1.6203532292299598</v>
      </c>
      <c r="R3" s="76">
        <f>IF(O3=0,0,P3/O3)</f>
        <v>475.77570691434465</v>
      </c>
    </row>
    <row r="4" spans="1:18" ht="14.4" customHeight="1" x14ac:dyDescent="0.3">
      <c r="A4" s="338" t="s">
        <v>145</v>
      </c>
      <c r="B4" s="338" t="s">
        <v>69</v>
      </c>
      <c r="C4" s="346" t="s">
        <v>0</v>
      </c>
      <c r="D4" s="340" t="s">
        <v>70</v>
      </c>
      <c r="E4" s="345" t="s">
        <v>45</v>
      </c>
      <c r="F4" s="341" t="s">
        <v>44</v>
      </c>
      <c r="G4" s="342">
        <v>2015</v>
      </c>
      <c r="H4" s="343"/>
      <c r="I4" s="73"/>
      <c r="J4" s="73"/>
      <c r="K4" s="342">
        <v>2018</v>
      </c>
      <c r="L4" s="343"/>
      <c r="M4" s="73"/>
      <c r="N4" s="73"/>
      <c r="O4" s="342">
        <v>2019</v>
      </c>
      <c r="P4" s="343"/>
      <c r="Q4" s="344" t="s">
        <v>1</v>
      </c>
      <c r="R4" s="339" t="s">
        <v>72</v>
      </c>
    </row>
    <row r="5" spans="1:18" ht="14.4" customHeight="1" thickBot="1" x14ac:dyDescent="0.35">
      <c r="A5" s="399"/>
      <c r="B5" s="399"/>
      <c r="C5" s="400"/>
      <c r="D5" s="401"/>
      <c r="E5" s="402"/>
      <c r="F5" s="403"/>
      <c r="G5" s="404" t="s">
        <v>46</v>
      </c>
      <c r="H5" s="405" t="s">
        <v>3</v>
      </c>
      <c r="I5" s="406"/>
      <c r="J5" s="406"/>
      <c r="K5" s="404" t="s">
        <v>46</v>
      </c>
      <c r="L5" s="405" t="s">
        <v>3</v>
      </c>
      <c r="M5" s="406"/>
      <c r="N5" s="406"/>
      <c r="O5" s="404" t="s">
        <v>46</v>
      </c>
      <c r="P5" s="405" t="s">
        <v>3</v>
      </c>
      <c r="Q5" s="407"/>
      <c r="R5" s="408"/>
    </row>
    <row r="6" spans="1:18" ht="14.4" customHeight="1" x14ac:dyDescent="0.3">
      <c r="A6" s="409" t="s">
        <v>327</v>
      </c>
      <c r="B6" s="410" t="s">
        <v>328</v>
      </c>
      <c r="C6" s="410" t="s">
        <v>321</v>
      </c>
      <c r="D6" s="410" t="s">
        <v>329</v>
      </c>
      <c r="E6" s="410" t="s">
        <v>330</v>
      </c>
      <c r="F6" s="410" t="s">
        <v>331</v>
      </c>
      <c r="G6" s="411">
        <v>5</v>
      </c>
      <c r="H6" s="411">
        <v>705</v>
      </c>
      <c r="I6" s="410">
        <v>4.964788732394366</v>
      </c>
      <c r="J6" s="410">
        <v>141</v>
      </c>
      <c r="K6" s="411">
        <v>1</v>
      </c>
      <c r="L6" s="411">
        <v>142</v>
      </c>
      <c r="M6" s="410">
        <v>1</v>
      </c>
      <c r="N6" s="410">
        <v>142</v>
      </c>
      <c r="O6" s="411">
        <v>1</v>
      </c>
      <c r="P6" s="411">
        <v>143</v>
      </c>
      <c r="Q6" s="412">
        <v>1.0070422535211268</v>
      </c>
      <c r="R6" s="413">
        <v>143</v>
      </c>
    </row>
    <row r="7" spans="1:18" ht="14.4" customHeight="1" x14ac:dyDescent="0.3">
      <c r="A7" s="414" t="s">
        <v>327</v>
      </c>
      <c r="B7" s="415" t="s">
        <v>328</v>
      </c>
      <c r="C7" s="415" t="s">
        <v>321</v>
      </c>
      <c r="D7" s="415" t="s">
        <v>329</v>
      </c>
      <c r="E7" s="415" t="s">
        <v>332</v>
      </c>
      <c r="F7" s="415" t="s">
        <v>333</v>
      </c>
      <c r="G7" s="416">
        <v>87</v>
      </c>
      <c r="H7" s="416">
        <v>24273</v>
      </c>
      <c r="I7" s="415">
        <v>0.8841012566017119</v>
      </c>
      <c r="J7" s="415">
        <v>279</v>
      </c>
      <c r="K7" s="416">
        <v>95</v>
      </c>
      <c r="L7" s="416">
        <v>27455</v>
      </c>
      <c r="M7" s="415">
        <v>1</v>
      </c>
      <c r="N7" s="415">
        <v>289</v>
      </c>
      <c r="O7" s="416">
        <v>96</v>
      </c>
      <c r="P7" s="416">
        <v>28032</v>
      </c>
      <c r="Q7" s="417">
        <v>1.0210162083409215</v>
      </c>
      <c r="R7" s="418">
        <v>292</v>
      </c>
    </row>
    <row r="8" spans="1:18" ht="14.4" customHeight="1" x14ac:dyDescent="0.3">
      <c r="A8" s="414" t="s">
        <v>327</v>
      </c>
      <c r="B8" s="415" t="s">
        <v>328</v>
      </c>
      <c r="C8" s="415" t="s">
        <v>321</v>
      </c>
      <c r="D8" s="415" t="s">
        <v>329</v>
      </c>
      <c r="E8" s="415" t="s">
        <v>334</v>
      </c>
      <c r="F8" s="415" t="s">
        <v>335</v>
      </c>
      <c r="G8" s="416">
        <v>284</v>
      </c>
      <c r="H8" s="416">
        <v>157336</v>
      </c>
      <c r="I8" s="415">
        <v>0.95450602117268779</v>
      </c>
      <c r="J8" s="415">
        <v>554</v>
      </c>
      <c r="K8" s="416">
        <v>297</v>
      </c>
      <c r="L8" s="416">
        <v>164835</v>
      </c>
      <c r="M8" s="415">
        <v>1</v>
      </c>
      <c r="N8" s="415">
        <v>555</v>
      </c>
      <c r="O8" s="416">
        <v>596</v>
      </c>
      <c r="P8" s="416">
        <v>332568</v>
      </c>
      <c r="Q8" s="417">
        <v>2.0175812175812178</v>
      </c>
      <c r="R8" s="418">
        <v>558</v>
      </c>
    </row>
    <row r="9" spans="1:18" ht="14.4" customHeight="1" x14ac:dyDescent="0.3">
      <c r="A9" s="414" t="s">
        <v>327</v>
      </c>
      <c r="B9" s="415" t="s">
        <v>328</v>
      </c>
      <c r="C9" s="415" t="s">
        <v>321</v>
      </c>
      <c r="D9" s="415" t="s">
        <v>329</v>
      </c>
      <c r="E9" s="415" t="s">
        <v>336</v>
      </c>
      <c r="F9" s="415" t="s">
        <v>337</v>
      </c>
      <c r="G9" s="416">
        <v>18</v>
      </c>
      <c r="H9" s="416">
        <v>599.99999999999989</v>
      </c>
      <c r="I9" s="415">
        <v>0.94738836607086441</v>
      </c>
      <c r="J9" s="415">
        <v>33.333333333333329</v>
      </c>
      <c r="K9" s="416">
        <v>19</v>
      </c>
      <c r="L9" s="416">
        <v>633.32000000000005</v>
      </c>
      <c r="M9" s="415">
        <v>1</v>
      </c>
      <c r="N9" s="415">
        <v>33.332631578947371</v>
      </c>
      <c r="O9" s="416">
        <v>41</v>
      </c>
      <c r="P9" s="416">
        <v>1366.6599999999999</v>
      </c>
      <c r="Q9" s="417">
        <v>2.1579296406240127</v>
      </c>
      <c r="R9" s="418">
        <v>33.333170731707312</v>
      </c>
    </row>
    <row r="10" spans="1:18" ht="14.4" customHeight="1" x14ac:dyDescent="0.3">
      <c r="A10" s="414" t="s">
        <v>327</v>
      </c>
      <c r="B10" s="415" t="s">
        <v>328</v>
      </c>
      <c r="C10" s="415" t="s">
        <v>321</v>
      </c>
      <c r="D10" s="415" t="s">
        <v>329</v>
      </c>
      <c r="E10" s="415" t="s">
        <v>338</v>
      </c>
      <c r="F10" s="415" t="s">
        <v>339</v>
      </c>
      <c r="G10" s="416">
        <v>16</v>
      </c>
      <c r="H10" s="416">
        <v>5968</v>
      </c>
      <c r="I10" s="415">
        <v>1.1398013750954927</v>
      </c>
      <c r="J10" s="415">
        <v>373</v>
      </c>
      <c r="K10" s="416">
        <v>14</v>
      </c>
      <c r="L10" s="416">
        <v>5236</v>
      </c>
      <c r="M10" s="415">
        <v>1</v>
      </c>
      <c r="N10" s="415">
        <v>374</v>
      </c>
      <c r="O10" s="416">
        <v>33</v>
      </c>
      <c r="P10" s="416">
        <v>12441</v>
      </c>
      <c r="Q10" s="417">
        <v>2.3760504201680672</v>
      </c>
      <c r="R10" s="418">
        <v>377</v>
      </c>
    </row>
    <row r="11" spans="1:18" ht="14.4" customHeight="1" x14ac:dyDescent="0.3">
      <c r="A11" s="414" t="s">
        <v>327</v>
      </c>
      <c r="B11" s="415" t="s">
        <v>328</v>
      </c>
      <c r="C11" s="415" t="s">
        <v>321</v>
      </c>
      <c r="D11" s="415" t="s">
        <v>329</v>
      </c>
      <c r="E11" s="415" t="s">
        <v>340</v>
      </c>
      <c r="F11" s="415" t="s">
        <v>341</v>
      </c>
      <c r="G11" s="416">
        <v>181</v>
      </c>
      <c r="H11" s="416">
        <v>78011</v>
      </c>
      <c r="I11" s="415">
        <v>0.92605650522317184</v>
      </c>
      <c r="J11" s="415">
        <v>431</v>
      </c>
      <c r="K11" s="416">
        <v>195</v>
      </c>
      <c r="L11" s="416">
        <v>84240</v>
      </c>
      <c r="M11" s="415">
        <v>1</v>
      </c>
      <c r="N11" s="415">
        <v>432</v>
      </c>
      <c r="O11" s="416">
        <v>194</v>
      </c>
      <c r="P11" s="416">
        <v>84196</v>
      </c>
      <c r="Q11" s="417">
        <v>0.99947768281101612</v>
      </c>
      <c r="R11" s="418">
        <v>434</v>
      </c>
    </row>
    <row r="12" spans="1:18" ht="14.4" customHeight="1" thickBot="1" x14ac:dyDescent="0.35">
      <c r="A12" s="419" t="s">
        <v>327</v>
      </c>
      <c r="B12" s="420" t="s">
        <v>328</v>
      </c>
      <c r="C12" s="420" t="s">
        <v>321</v>
      </c>
      <c r="D12" s="420" t="s">
        <v>329</v>
      </c>
      <c r="E12" s="420" t="s">
        <v>342</v>
      </c>
      <c r="F12" s="420" t="s">
        <v>343</v>
      </c>
      <c r="G12" s="421">
        <v>1</v>
      </c>
      <c r="H12" s="421">
        <v>283</v>
      </c>
      <c r="I12" s="420">
        <v>0.14285714285714285</v>
      </c>
      <c r="J12" s="420">
        <v>283</v>
      </c>
      <c r="K12" s="421">
        <v>7</v>
      </c>
      <c r="L12" s="421">
        <v>1981</v>
      </c>
      <c r="M12" s="420">
        <v>1</v>
      </c>
      <c r="N12" s="420">
        <v>283</v>
      </c>
      <c r="O12" s="421">
        <v>8</v>
      </c>
      <c r="P12" s="421">
        <v>2280</v>
      </c>
      <c r="Q12" s="422">
        <v>1.1509338717819284</v>
      </c>
      <c r="R12" s="423">
        <v>285</v>
      </c>
    </row>
  </sheetData>
  <autoFilter ref="A5:R5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8">
    <tabColor theme="0" tint="-0.249977111117893"/>
    <outlinePr summaryRight="0"/>
    <pageSetUpPr fitToPage="1"/>
  </sheetPr>
  <dimension ref="A1:S12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RowHeight="14.4" customHeight="1" outlineLevelCol="1" x14ac:dyDescent="0.3"/>
  <cols>
    <col min="1" max="1" width="3.33203125" style="101" customWidth="1"/>
    <col min="2" max="2" width="8.6640625" style="101" bestFit="1" customWidth="1"/>
    <col min="3" max="3" width="6.109375" style="101" customWidth="1"/>
    <col min="4" max="4" width="27.77734375" style="101" customWidth="1"/>
    <col min="5" max="5" width="2.109375" style="101" bestFit="1" customWidth="1"/>
    <col min="6" max="6" width="8" style="101" customWidth="1"/>
    <col min="7" max="7" width="50.88671875" style="101" bestFit="1" customWidth="1" collapsed="1"/>
    <col min="8" max="9" width="11.109375" style="175" hidden="1" customWidth="1" outlineLevel="1"/>
    <col min="10" max="11" width="9.33203125" style="101" hidden="1" customWidth="1"/>
    <col min="12" max="13" width="11.109375" style="175" customWidth="1"/>
    <col min="14" max="15" width="9.33203125" style="101" hidden="1" customWidth="1"/>
    <col min="16" max="17" width="11.109375" style="175" customWidth="1"/>
    <col min="18" max="18" width="11.109375" style="176" customWidth="1"/>
    <col min="19" max="19" width="11.109375" style="175" customWidth="1"/>
    <col min="20" max="16384" width="8.88671875" style="101"/>
  </cols>
  <sheetData>
    <row r="1" spans="1:19" ht="18.600000000000001" customHeight="1" thickBot="1" x14ac:dyDescent="0.4">
      <c r="A1" s="263" t="s">
        <v>345</v>
      </c>
      <c r="B1" s="290"/>
      <c r="C1" s="290"/>
      <c r="D1" s="290"/>
      <c r="E1" s="290"/>
      <c r="F1" s="290"/>
      <c r="G1" s="290"/>
      <c r="H1" s="290"/>
      <c r="I1" s="290"/>
      <c r="J1" s="290"/>
      <c r="K1" s="290"/>
      <c r="L1" s="290"/>
      <c r="M1" s="290"/>
      <c r="N1" s="290"/>
      <c r="O1" s="290"/>
      <c r="P1" s="290"/>
      <c r="Q1" s="290"/>
      <c r="R1" s="290"/>
      <c r="S1" s="290"/>
    </row>
    <row r="2" spans="1:19" ht="14.4" customHeight="1" thickBot="1" x14ac:dyDescent="0.35">
      <c r="A2" s="189" t="s">
        <v>202</v>
      </c>
      <c r="B2" s="166"/>
      <c r="C2" s="166"/>
      <c r="D2" s="166"/>
      <c r="E2" s="83"/>
      <c r="F2" s="83"/>
      <c r="G2" s="83"/>
      <c r="H2" s="187"/>
      <c r="I2" s="187"/>
      <c r="J2" s="83"/>
      <c r="K2" s="83"/>
      <c r="L2" s="187"/>
      <c r="M2" s="187"/>
      <c r="N2" s="83"/>
      <c r="O2" s="83"/>
      <c r="P2" s="187"/>
      <c r="Q2" s="187"/>
      <c r="R2" s="184"/>
      <c r="S2" s="187"/>
    </row>
    <row r="3" spans="1:19" ht="14.4" customHeight="1" thickBot="1" x14ac:dyDescent="0.35">
      <c r="G3" s="62" t="s">
        <v>96</v>
      </c>
      <c r="H3" s="74">
        <f t="shared" ref="H3:Q3" si="0">SUBTOTAL(9,H6:H1048576)</f>
        <v>592</v>
      </c>
      <c r="I3" s="75">
        <f t="shared" si="0"/>
        <v>267176</v>
      </c>
      <c r="J3" s="57"/>
      <c r="K3" s="57"/>
      <c r="L3" s="75">
        <f t="shared" si="0"/>
        <v>628</v>
      </c>
      <c r="M3" s="75">
        <f t="shared" si="0"/>
        <v>284522.32</v>
      </c>
      <c r="N3" s="57"/>
      <c r="O3" s="57"/>
      <c r="P3" s="75">
        <f t="shared" si="0"/>
        <v>969</v>
      </c>
      <c r="Q3" s="75">
        <f t="shared" si="0"/>
        <v>461026.66</v>
      </c>
      <c r="R3" s="58">
        <f>IF(M3=0,0,Q3/M3)</f>
        <v>1.6203532292299598</v>
      </c>
      <c r="S3" s="76">
        <f>IF(P3=0,0,Q3/P3)</f>
        <v>475.77570691434465</v>
      </c>
    </row>
    <row r="4" spans="1:19" ht="14.4" customHeight="1" x14ac:dyDescent="0.3">
      <c r="A4" s="338" t="s">
        <v>145</v>
      </c>
      <c r="B4" s="338" t="s">
        <v>69</v>
      </c>
      <c r="C4" s="346" t="s">
        <v>0</v>
      </c>
      <c r="D4" s="204" t="s">
        <v>97</v>
      </c>
      <c r="E4" s="340" t="s">
        <v>70</v>
      </c>
      <c r="F4" s="345" t="s">
        <v>45</v>
      </c>
      <c r="G4" s="341" t="s">
        <v>44</v>
      </c>
      <c r="H4" s="342">
        <v>2015</v>
      </c>
      <c r="I4" s="343"/>
      <c r="J4" s="73"/>
      <c r="K4" s="73"/>
      <c r="L4" s="342">
        <v>2018</v>
      </c>
      <c r="M4" s="343"/>
      <c r="N4" s="73"/>
      <c r="O4" s="73"/>
      <c r="P4" s="342">
        <v>2019</v>
      </c>
      <c r="Q4" s="343"/>
      <c r="R4" s="344" t="s">
        <v>1</v>
      </c>
      <c r="S4" s="339" t="s">
        <v>72</v>
      </c>
    </row>
    <row r="5" spans="1:19" ht="14.4" customHeight="1" thickBot="1" x14ac:dyDescent="0.35">
      <c r="A5" s="399"/>
      <c r="B5" s="399"/>
      <c r="C5" s="400"/>
      <c r="D5" s="424"/>
      <c r="E5" s="401"/>
      <c r="F5" s="402"/>
      <c r="G5" s="403"/>
      <c r="H5" s="404" t="s">
        <v>46</v>
      </c>
      <c r="I5" s="405" t="s">
        <v>3</v>
      </c>
      <c r="J5" s="406"/>
      <c r="K5" s="406"/>
      <c r="L5" s="404" t="s">
        <v>46</v>
      </c>
      <c r="M5" s="405" t="s">
        <v>3</v>
      </c>
      <c r="N5" s="406"/>
      <c r="O5" s="406"/>
      <c r="P5" s="404" t="s">
        <v>46</v>
      </c>
      <c r="Q5" s="405" t="s">
        <v>3</v>
      </c>
      <c r="R5" s="407"/>
      <c r="S5" s="408"/>
    </row>
    <row r="6" spans="1:19" ht="14.4" customHeight="1" x14ac:dyDescent="0.3">
      <c r="A6" s="409" t="s">
        <v>327</v>
      </c>
      <c r="B6" s="410" t="s">
        <v>328</v>
      </c>
      <c r="C6" s="410" t="s">
        <v>321</v>
      </c>
      <c r="D6" s="410" t="s">
        <v>322</v>
      </c>
      <c r="E6" s="410" t="s">
        <v>329</v>
      </c>
      <c r="F6" s="410" t="s">
        <v>330</v>
      </c>
      <c r="G6" s="410" t="s">
        <v>331</v>
      </c>
      <c r="H6" s="411">
        <v>5</v>
      </c>
      <c r="I6" s="411">
        <v>705</v>
      </c>
      <c r="J6" s="410">
        <v>4.964788732394366</v>
      </c>
      <c r="K6" s="410">
        <v>141</v>
      </c>
      <c r="L6" s="411">
        <v>1</v>
      </c>
      <c r="M6" s="411">
        <v>142</v>
      </c>
      <c r="N6" s="410">
        <v>1</v>
      </c>
      <c r="O6" s="410">
        <v>142</v>
      </c>
      <c r="P6" s="411">
        <v>1</v>
      </c>
      <c r="Q6" s="411">
        <v>143</v>
      </c>
      <c r="R6" s="412">
        <v>1.0070422535211268</v>
      </c>
      <c r="S6" s="413">
        <v>143</v>
      </c>
    </row>
    <row r="7" spans="1:19" ht="14.4" customHeight="1" x14ac:dyDescent="0.3">
      <c r="A7" s="414" t="s">
        <v>327</v>
      </c>
      <c r="B7" s="415" t="s">
        <v>328</v>
      </c>
      <c r="C7" s="415" t="s">
        <v>321</v>
      </c>
      <c r="D7" s="415" t="s">
        <v>322</v>
      </c>
      <c r="E7" s="415" t="s">
        <v>329</v>
      </c>
      <c r="F7" s="415" t="s">
        <v>332</v>
      </c>
      <c r="G7" s="415" t="s">
        <v>333</v>
      </c>
      <c r="H7" s="416">
        <v>87</v>
      </c>
      <c r="I7" s="416">
        <v>24273</v>
      </c>
      <c r="J7" s="415">
        <v>0.8841012566017119</v>
      </c>
      <c r="K7" s="415">
        <v>279</v>
      </c>
      <c r="L7" s="416">
        <v>95</v>
      </c>
      <c r="M7" s="416">
        <v>27455</v>
      </c>
      <c r="N7" s="415">
        <v>1</v>
      </c>
      <c r="O7" s="415">
        <v>289</v>
      </c>
      <c r="P7" s="416">
        <v>96</v>
      </c>
      <c r="Q7" s="416">
        <v>28032</v>
      </c>
      <c r="R7" s="417">
        <v>1.0210162083409215</v>
      </c>
      <c r="S7" s="418">
        <v>292</v>
      </c>
    </row>
    <row r="8" spans="1:19" ht="14.4" customHeight="1" x14ac:dyDescent="0.3">
      <c r="A8" s="414" t="s">
        <v>327</v>
      </c>
      <c r="B8" s="415" t="s">
        <v>328</v>
      </c>
      <c r="C8" s="415" t="s">
        <v>321</v>
      </c>
      <c r="D8" s="415" t="s">
        <v>322</v>
      </c>
      <c r="E8" s="415" t="s">
        <v>329</v>
      </c>
      <c r="F8" s="415" t="s">
        <v>334</v>
      </c>
      <c r="G8" s="415" t="s">
        <v>335</v>
      </c>
      <c r="H8" s="416">
        <v>284</v>
      </c>
      <c r="I8" s="416">
        <v>157336</v>
      </c>
      <c r="J8" s="415">
        <v>0.95450602117268779</v>
      </c>
      <c r="K8" s="415">
        <v>554</v>
      </c>
      <c r="L8" s="416">
        <v>297</v>
      </c>
      <c r="M8" s="416">
        <v>164835</v>
      </c>
      <c r="N8" s="415">
        <v>1</v>
      </c>
      <c r="O8" s="415">
        <v>555</v>
      </c>
      <c r="P8" s="416">
        <v>596</v>
      </c>
      <c r="Q8" s="416">
        <v>332568</v>
      </c>
      <c r="R8" s="417">
        <v>2.0175812175812178</v>
      </c>
      <c r="S8" s="418">
        <v>558</v>
      </c>
    </row>
    <row r="9" spans="1:19" ht="14.4" customHeight="1" x14ac:dyDescent="0.3">
      <c r="A9" s="414" t="s">
        <v>327</v>
      </c>
      <c r="B9" s="415" t="s">
        <v>328</v>
      </c>
      <c r="C9" s="415" t="s">
        <v>321</v>
      </c>
      <c r="D9" s="415" t="s">
        <v>322</v>
      </c>
      <c r="E9" s="415" t="s">
        <v>329</v>
      </c>
      <c r="F9" s="415" t="s">
        <v>336</v>
      </c>
      <c r="G9" s="415" t="s">
        <v>337</v>
      </c>
      <c r="H9" s="416">
        <v>18</v>
      </c>
      <c r="I9" s="416">
        <v>599.99999999999989</v>
      </c>
      <c r="J9" s="415">
        <v>0.94738836607086441</v>
      </c>
      <c r="K9" s="415">
        <v>33.333333333333329</v>
      </c>
      <c r="L9" s="416">
        <v>19</v>
      </c>
      <c r="M9" s="416">
        <v>633.32000000000005</v>
      </c>
      <c r="N9" s="415">
        <v>1</v>
      </c>
      <c r="O9" s="415">
        <v>33.332631578947371</v>
      </c>
      <c r="P9" s="416">
        <v>41</v>
      </c>
      <c r="Q9" s="416">
        <v>1366.6599999999999</v>
      </c>
      <c r="R9" s="417">
        <v>2.1579296406240127</v>
      </c>
      <c r="S9" s="418">
        <v>33.333170731707312</v>
      </c>
    </row>
    <row r="10" spans="1:19" ht="14.4" customHeight="1" x14ac:dyDescent="0.3">
      <c r="A10" s="414" t="s">
        <v>327</v>
      </c>
      <c r="B10" s="415" t="s">
        <v>328</v>
      </c>
      <c r="C10" s="415" t="s">
        <v>321</v>
      </c>
      <c r="D10" s="415" t="s">
        <v>322</v>
      </c>
      <c r="E10" s="415" t="s">
        <v>329</v>
      </c>
      <c r="F10" s="415" t="s">
        <v>338</v>
      </c>
      <c r="G10" s="415" t="s">
        <v>339</v>
      </c>
      <c r="H10" s="416">
        <v>16</v>
      </c>
      <c r="I10" s="416">
        <v>5968</v>
      </c>
      <c r="J10" s="415">
        <v>1.1398013750954927</v>
      </c>
      <c r="K10" s="415">
        <v>373</v>
      </c>
      <c r="L10" s="416">
        <v>14</v>
      </c>
      <c r="M10" s="416">
        <v>5236</v>
      </c>
      <c r="N10" s="415">
        <v>1</v>
      </c>
      <c r="O10" s="415">
        <v>374</v>
      </c>
      <c r="P10" s="416">
        <v>33</v>
      </c>
      <c r="Q10" s="416">
        <v>12441</v>
      </c>
      <c r="R10" s="417">
        <v>2.3760504201680672</v>
      </c>
      <c r="S10" s="418">
        <v>377</v>
      </c>
    </row>
    <row r="11" spans="1:19" ht="14.4" customHeight="1" x14ac:dyDescent="0.3">
      <c r="A11" s="414" t="s">
        <v>327</v>
      </c>
      <c r="B11" s="415" t="s">
        <v>328</v>
      </c>
      <c r="C11" s="415" t="s">
        <v>321</v>
      </c>
      <c r="D11" s="415" t="s">
        <v>322</v>
      </c>
      <c r="E11" s="415" t="s">
        <v>329</v>
      </c>
      <c r="F11" s="415" t="s">
        <v>340</v>
      </c>
      <c r="G11" s="415" t="s">
        <v>341</v>
      </c>
      <c r="H11" s="416">
        <v>181</v>
      </c>
      <c r="I11" s="416">
        <v>78011</v>
      </c>
      <c r="J11" s="415">
        <v>0.92605650522317184</v>
      </c>
      <c r="K11" s="415">
        <v>431</v>
      </c>
      <c r="L11" s="416">
        <v>195</v>
      </c>
      <c r="M11" s="416">
        <v>84240</v>
      </c>
      <c r="N11" s="415">
        <v>1</v>
      </c>
      <c r="O11" s="415">
        <v>432</v>
      </c>
      <c r="P11" s="416">
        <v>194</v>
      </c>
      <c r="Q11" s="416">
        <v>84196</v>
      </c>
      <c r="R11" s="417">
        <v>0.99947768281101612</v>
      </c>
      <c r="S11" s="418">
        <v>434</v>
      </c>
    </row>
    <row r="12" spans="1:19" ht="14.4" customHeight="1" thickBot="1" x14ac:dyDescent="0.35">
      <c r="A12" s="419" t="s">
        <v>327</v>
      </c>
      <c r="B12" s="420" t="s">
        <v>328</v>
      </c>
      <c r="C12" s="420" t="s">
        <v>321</v>
      </c>
      <c r="D12" s="420" t="s">
        <v>322</v>
      </c>
      <c r="E12" s="420" t="s">
        <v>329</v>
      </c>
      <c r="F12" s="420" t="s">
        <v>342</v>
      </c>
      <c r="G12" s="420" t="s">
        <v>343</v>
      </c>
      <c r="H12" s="421">
        <v>1</v>
      </c>
      <c r="I12" s="421">
        <v>283</v>
      </c>
      <c r="J12" s="420">
        <v>0.14285714285714285</v>
      </c>
      <c r="K12" s="420">
        <v>283</v>
      </c>
      <c r="L12" s="421">
        <v>7</v>
      </c>
      <c r="M12" s="421">
        <v>1981</v>
      </c>
      <c r="N12" s="420">
        <v>1</v>
      </c>
      <c r="O12" s="420">
        <v>283</v>
      </c>
      <c r="P12" s="421">
        <v>8</v>
      </c>
      <c r="Q12" s="421">
        <v>2280</v>
      </c>
      <c r="R12" s="422">
        <v>1.1509338717819284</v>
      </c>
      <c r="S12" s="423">
        <v>285</v>
      </c>
    </row>
  </sheetData>
  <autoFilter ref="A5:S5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outlinePr summaryRight="0"/>
    <pageSetUpPr fitToPage="1"/>
  </sheetPr>
  <dimension ref="A1:S18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outlineLevelCol="1" x14ac:dyDescent="0.3"/>
  <cols>
    <col min="1" max="1" width="46.6640625" style="101" bestFit="1" customWidth="1" collapsed="1"/>
    <col min="2" max="2" width="7.77734375" style="78" hidden="1" customWidth="1" outlineLevel="1"/>
    <col min="3" max="3" width="0.109375" style="101" hidden="1" customWidth="1"/>
    <col min="4" max="4" width="7.77734375" style="78" customWidth="1"/>
    <col min="5" max="5" width="5.44140625" style="101" hidden="1" customWidth="1"/>
    <col min="6" max="6" width="7.77734375" style="78" customWidth="1"/>
    <col min="7" max="7" width="7.77734375" style="176" customWidth="1" collapsed="1"/>
    <col min="8" max="8" width="7.77734375" style="78" hidden="1" customWidth="1" outlineLevel="1"/>
    <col min="9" max="9" width="5.44140625" style="101" hidden="1" customWidth="1"/>
    <col min="10" max="10" width="7.77734375" style="78" customWidth="1"/>
    <col min="11" max="11" width="5.44140625" style="101" hidden="1" customWidth="1"/>
    <col min="12" max="12" width="7.77734375" style="78" customWidth="1"/>
    <col min="13" max="13" width="7.77734375" style="176" customWidth="1" collapsed="1"/>
    <col min="14" max="14" width="7.77734375" style="78" hidden="1" customWidth="1" outlineLevel="1"/>
    <col min="15" max="15" width="5" style="101" hidden="1" customWidth="1"/>
    <col min="16" max="16" width="7.77734375" style="78" customWidth="1"/>
    <col min="17" max="17" width="5" style="101" hidden="1" customWidth="1"/>
    <col min="18" max="18" width="7.77734375" style="78" customWidth="1"/>
    <col min="19" max="19" width="7.77734375" style="176" customWidth="1"/>
    <col min="20" max="16384" width="8.88671875" style="101"/>
  </cols>
  <sheetData>
    <row r="1" spans="1:19" ht="18.600000000000001" customHeight="1" thickBot="1" x14ac:dyDescent="0.4">
      <c r="A1" s="275" t="s">
        <v>95</v>
      </c>
      <c r="B1" s="263"/>
      <c r="C1" s="263"/>
      <c r="D1" s="263"/>
      <c r="E1" s="263"/>
      <c r="F1" s="263"/>
      <c r="G1" s="263"/>
      <c r="H1" s="263"/>
      <c r="I1" s="263"/>
      <c r="J1" s="263"/>
      <c r="K1" s="263"/>
      <c r="L1" s="263"/>
      <c r="M1" s="263"/>
      <c r="N1" s="263"/>
      <c r="O1" s="263"/>
      <c r="P1" s="263"/>
      <c r="Q1" s="263"/>
      <c r="R1" s="263"/>
      <c r="S1" s="263"/>
    </row>
    <row r="2" spans="1:19" ht="14.4" customHeight="1" thickBot="1" x14ac:dyDescent="0.35">
      <c r="A2" s="189" t="s">
        <v>202</v>
      </c>
      <c r="B2" s="183"/>
      <c r="C2" s="83"/>
      <c r="D2" s="183"/>
      <c r="E2" s="83"/>
      <c r="F2" s="183"/>
      <c r="G2" s="184"/>
      <c r="H2" s="183"/>
      <c r="I2" s="83"/>
      <c r="J2" s="183"/>
      <c r="K2" s="83"/>
      <c r="L2" s="183"/>
      <c r="M2" s="184"/>
      <c r="N2" s="183"/>
      <c r="O2" s="83"/>
      <c r="P2" s="183"/>
      <c r="Q2" s="83"/>
      <c r="R2" s="183"/>
      <c r="S2" s="184"/>
    </row>
    <row r="3" spans="1:19" ht="14.4" customHeight="1" thickBot="1" x14ac:dyDescent="0.35">
      <c r="A3" s="177" t="s">
        <v>96</v>
      </c>
      <c r="B3" s="178">
        <f>SUBTOTAL(9,B6:B1048576)</f>
        <v>209711</v>
      </c>
      <c r="C3" s="179">
        <f t="shared" ref="C3:R3" si="0">SUBTOTAL(9,C6:C1048576)</f>
        <v>6.1398180078105309</v>
      </c>
      <c r="D3" s="179">
        <f t="shared" si="0"/>
        <v>356913.31</v>
      </c>
      <c r="E3" s="179">
        <f t="shared" si="0"/>
        <v>8</v>
      </c>
      <c r="F3" s="179">
        <f t="shared" si="0"/>
        <v>449887.30000000005</v>
      </c>
      <c r="G3" s="182">
        <f>IF(D3&lt;&gt;0,F3/D3,"")</f>
        <v>1.2604946002153858</v>
      </c>
      <c r="H3" s="178">
        <f t="shared" si="0"/>
        <v>0</v>
      </c>
      <c r="I3" s="179">
        <f t="shared" si="0"/>
        <v>0</v>
      </c>
      <c r="J3" s="179">
        <f t="shared" si="0"/>
        <v>0</v>
      </c>
      <c r="K3" s="179">
        <f t="shared" si="0"/>
        <v>0</v>
      </c>
      <c r="L3" s="179">
        <f t="shared" si="0"/>
        <v>0</v>
      </c>
      <c r="M3" s="180" t="str">
        <f>IF(J3&lt;&gt;0,L3/J3,"")</f>
        <v/>
      </c>
      <c r="N3" s="181">
        <f t="shared" si="0"/>
        <v>0</v>
      </c>
      <c r="O3" s="179">
        <f t="shared" si="0"/>
        <v>0</v>
      </c>
      <c r="P3" s="179">
        <f t="shared" si="0"/>
        <v>0</v>
      </c>
      <c r="Q3" s="179">
        <f t="shared" si="0"/>
        <v>0</v>
      </c>
      <c r="R3" s="179">
        <f t="shared" si="0"/>
        <v>0</v>
      </c>
      <c r="S3" s="180" t="str">
        <f>IF(P3&lt;&gt;0,R3/P3,"")</f>
        <v/>
      </c>
    </row>
    <row r="4" spans="1:19" ht="14.4" customHeight="1" x14ac:dyDescent="0.3">
      <c r="A4" s="331" t="s">
        <v>79</v>
      </c>
      <c r="B4" s="332" t="s">
        <v>73</v>
      </c>
      <c r="C4" s="333"/>
      <c r="D4" s="333"/>
      <c r="E4" s="333"/>
      <c r="F4" s="333"/>
      <c r="G4" s="335"/>
      <c r="H4" s="332" t="s">
        <v>74</v>
      </c>
      <c r="I4" s="333"/>
      <c r="J4" s="333"/>
      <c r="K4" s="333"/>
      <c r="L4" s="333"/>
      <c r="M4" s="335"/>
      <c r="N4" s="332" t="s">
        <v>75</v>
      </c>
      <c r="O4" s="333"/>
      <c r="P4" s="333"/>
      <c r="Q4" s="333"/>
      <c r="R4" s="333"/>
      <c r="S4" s="335"/>
    </row>
    <row r="5" spans="1:19" ht="14.4" customHeight="1" thickBot="1" x14ac:dyDescent="0.35">
      <c r="A5" s="379"/>
      <c r="B5" s="380">
        <v>2015</v>
      </c>
      <c r="C5" s="381"/>
      <c r="D5" s="381">
        <v>2018</v>
      </c>
      <c r="E5" s="381"/>
      <c r="F5" s="381">
        <v>2019</v>
      </c>
      <c r="G5" s="425" t="s">
        <v>1</v>
      </c>
      <c r="H5" s="380">
        <v>2015</v>
      </c>
      <c r="I5" s="381"/>
      <c r="J5" s="381">
        <v>2018</v>
      </c>
      <c r="K5" s="381"/>
      <c r="L5" s="381">
        <v>2019</v>
      </c>
      <c r="M5" s="425" t="s">
        <v>1</v>
      </c>
      <c r="N5" s="380">
        <v>2015</v>
      </c>
      <c r="O5" s="381"/>
      <c r="P5" s="381">
        <v>2018</v>
      </c>
      <c r="Q5" s="381"/>
      <c r="R5" s="381">
        <v>2019</v>
      </c>
      <c r="S5" s="425" t="s">
        <v>1</v>
      </c>
    </row>
    <row r="6" spans="1:19" ht="14.4" customHeight="1" x14ac:dyDescent="0.3">
      <c r="A6" s="432" t="s">
        <v>346</v>
      </c>
      <c r="B6" s="426">
        <v>554</v>
      </c>
      <c r="C6" s="410">
        <v>6.6186159924399635E-2</v>
      </c>
      <c r="D6" s="426">
        <v>8370.33</v>
      </c>
      <c r="E6" s="410">
        <v>1</v>
      </c>
      <c r="F6" s="426">
        <v>558</v>
      </c>
      <c r="G6" s="412">
        <v>6.6664038335406128E-2</v>
      </c>
      <c r="H6" s="426"/>
      <c r="I6" s="410"/>
      <c r="J6" s="426"/>
      <c r="K6" s="410"/>
      <c r="L6" s="426"/>
      <c r="M6" s="412"/>
      <c r="N6" s="426"/>
      <c r="O6" s="410"/>
      <c r="P6" s="426"/>
      <c r="Q6" s="410"/>
      <c r="R6" s="426"/>
      <c r="S6" s="427"/>
    </row>
    <row r="7" spans="1:19" ht="14.4" customHeight="1" x14ac:dyDescent="0.3">
      <c r="A7" s="433" t="s">
        <v>347</v>
      </c>
      <c r="B7" s="428">
        <v>1108</v>
      </c>
      <c r="C7" s="415"/>
      <c r="D7" s="428"/>
      <c r="E7" s="415"/>
      <c r="F7" s="428"/>
      <c r="G7" s="417"/>
      <c r="H7" s="428"/>
      <c r="I7" s="415"/>
      <c r="J7" s="428"/>
      <c r="K7" s="415"/>
      <c r="L7" s="428"/>
      <c r="M7" s="417"/>
      <c r="N7" s="428"/>
      <c r="O7" s="415"/>
      <c r="P7" s="428"/>
      <c r="Q7" s="415"/>
      <c r="R7" s="428"/>
      <c r="S7" s="429"/>
    </row>
    <row r="8" spans="1:19" ht="14.4" customHeight="1" x14ac:dyDescent="0.3">
      <c r="A8" s="433" t="s">
        <v>348</v>
      </c>
      <c r="B8" s="428">
        <v>4263</v>
      </c>
      <c r="C8" s="415">
        <v>1.6807749780194219</v>
      </c>
      <c r="D8" s="428">
        <v>2536.33</v>
      </c>
      <c r="E8" s="415">
        <v>1</v>
      </c>
      <c r="F8" s="428">
        <v>4076.66</v>
      </c>
      <c r="G8" s="417">
        <v>1.6073066201953217</v>
      </c>
      <c r="H8" s="428"/>
      <c r="I8" s="415"/>
      <c r="J8" s="428"/>
      <c r="K8" s="415"/>
      <c r="L8" s="428"/>
      <c r="M8" s="417"/>
      <c r="N8" s="428"/>
      <c r="O8" s="415"/>
      <c r="P8" s="428"/>
      <c r="Q8" s="415"/>
      <c r="R8" s="428"/>
      <c r="S8" s="429"/>
    </row>
    <row r="9" spans="1:19" ht="14.4" customHeight="1" x14ac:dyDescent="0.3">
      <c r="A9" s="433" t="s">
        <v>349</v>
      </c>
      <c r="B9" s="428">
        <v>554</v>
      </c>
      <c r="C9" s="415"/>
      <c r="D9" s="428"/>
      <c r="E9" s="415"/>
      <c r="F9" s="428">
        <v>558</v>
      </c>
      <c r="G9" s="417"/>
      <c r="H9" s="428"/>
      <c r="I9" s="415"/>
      <c r="J9" s="428"/>
      <c r="K9" s="415"/>
      <c r="L9" s="428"/>
      <c r="M9" s="417"/>
      <c r="N9" s="428"/>
      <c r="O9" s="415"/>
      <c r="P9" s="428"/>
      <c r="Q9" s="415"/>
      <c r="R9" s="428"/>
      <c r="S9" s="429"/>
    </row>
    <row r="10" spans="1:19" ht="14.4" customHeight="1" x14ac:dyDescent="0.3">
      <c r="A10" s="433" t="s">
        <v>350</v>
      </c>
      <c r="B10" s="428">
        <v>9158</v>
      </c>
      <c r="C10" s="415">
        <v>2.6606624055781523</v>
      </c>
      <c r="D10" s="428">
        <v>3442</v>
      </c>
      <c r="E10" s="415">
        <v>1</v>
      </c>
      <c r="F10" s="428">
        <v>6367.33</v>
      </c>
      <c r="G10" s="417">
        <v>1.8498925043579315</v>
      </c>
      <c r="H10" s="428"/>
      <c r="I10" s="415"/>
      <c r="J10" s="428"/>
      <c r="K10" s="415"/>
      <c r="L10" s="428"/>
      <c r="M10" s="417"/>
      <c r="N10" s="428"/>
      <c r="O10" s="415"/>
      <c r="P10" s="428"/>
      <c r="Q10" s="415"/>
      <c r="R10" s="428"/>
      <c r="S10" s="429"/>
    </row>
    <row r="11" spans="1:19" ht="14.4" customHeight="1" x14ac:dyDescent="0.3">
      <c r="A11" s="433" t="s">
        <v>351</v>
      </c>
      <c r="B11" s="428"/>
      <c r="C11" s="415"/>
      <c r="D11" s="428"/>
      <c r="E11" s="415"/>
      <c r="F11" s="428">
        <v>3200.33</v>
      </c>
      <c r="G11" s="417"/>
      <c r="H11" s="428"/>
      <c r="I11" s="415"/>
      <c r="J11" s="428"/>
      <c r="K11" s="415"/>
      <c r="L11" s="428"/>
      <c r="M11" s="417"/>
      <c r="N11" s="428"/>
      <c r="O11" s="415"/>
      <c r="P11" s="428"/>
      <c r="Q11" s="415"/>
      <c r="R11" s="428"/>
      <c r="S11" s="429"/>
    </row>
    <row r="12" spans="1:19" ht="14.4" customHeight="1" x14ac:dyDescent="0.3">
      <c r="A12" s="433" t="s">
        <v>352</v>
      </c>
      <c r="B12" s="428"/>
      <c r="C12" s="415"/>
      <c r="D12" s="428">
        <v>432</v>
      </c>
      <c r="E12" s="415">
        <v>1</v>
      </c>
      <c r="F12" s="428"/>
      <c r="G12" s="417"/>
      <c r="H12" s="428"/>
      <c r="I12" s="415"/>
      <c r="J12" s="428"/>
      <c r="K12" s="415"/>
      <c r="L12" s="428"/>
      <c r="M12" s="417"/>
      <c r="N12" s="428"/>
      <c r="O12" s="415"/>
      <c r="P12" s="428"/>
      <c r="Q12" s="415"/>
      <c r="R12" s="428"/>
      <c r="S12" s="429"/>
    </row>
    <row r="13" spans="1:19" ht="14.4" customHeight="1" x14ac:dyDescent="0.3">
      <c r="A13" s="433" t="s">
        <v>353</v>
      </c>
      <c r="B13" s="428"/>
      <c r="C13" s="415"/>
      <c r="D13" s="428">
        <v>1981.33</v>
      </c>
      <c r="E13" s="415">
        <v>1</v>
      </c>
      <c r="F13" s="428"/>
      <c r="G13" s="417"/>
      <c r="H13" s="428"/>
      <c r="I13" s="415"/>
      <c r="J13" s="428"/>
      <c r="K13" s="415"/>
      <c r="L13" s="428"/>
      <c r="M13" s="417"/>
      <c r="N13" s="428"/>
      <c r="O13" s="415"/>
      <c r="P13" s="428"/>
      <c r="Q13" s="415"/>
      <c r="R13" s="428"/>
      <c r="S13" s="429"/>
    </row>
    <row r="14" spans="1:19" ht="14.4" customHeight="1" x14ac:dyDescent="0.3">
      <c r="A14" s="433" t="s">
        <v>354</v>
      </c>
      <c r="B14" s="428">
        <v>109410</v>
      </c>
      <c r="C14" s="415">
        <v>0.62968338165932192</v>
      </c>
      <c r="D14" s="428">
        <v>173753.99</v>
      </c>
      <c r="E14" s="415">
        <v>1</v>
      </c>
      <c r="F14" s="428">
        <v>241187.99</v>
      </c>
      <c r="G14" s="417">
        <v>1.3881004401683092</v>
      </c>
      <c r="H14" s="428"/>
      <c r="I14" s="415"/>
      <c r="J14" s="428"/>
      <c r="K14" s="415"/>
      <c r="L14" s="428"/>
      <c r="M14" s="417"/>
      <c r="N14" s="428"/>
      <c r="O14" s="415"/>
      <c r="P14" s="428"/>
      <c r="Q14" s="415"/>
      <c r="R14" s="428"/>
      <c r="S14" s="429"/>
    </row>
    <row r="15" spans="1:19" ht="14.4" customHeight="1" x14ac:dyDescent="0.3">
      <c r="A15" s="433" t="s">
        <v>355</v>
      </c>
      <c r="B15" s="428">
        <v>52612</v>
      </c>
      <c r="C15" s="415">
        <v>0.44805913712932838</v>
      </c>
      <c r="D15" s="428">
        <v>117422</v>
      </c>
      <c r="E15" s="415">
        <v>1</v>
      </c>
      <c r="F15" s="428">
        <v>144557.33000000002</v>
      </c>
      <c r="G15" s="417">
        <v>1.2310923847319923</v>
      </c>
      <c r="H15" s="428"/>
      <c r="I15" s="415"/>
      <c r="J15" s="428"/>
      <c r="K15" s="415"/>
      <c r="L15" s="428"/>
      <c r="M15" s="417"/>
      <c r="N15" s="428"/>
      <c r="O15" s="415"/>
      <c r="P15" s="428"/>
      <c r="Q15" s="415"/>
      <c r="R15" s="428"/>
      <c r="S15" s="429"/>
    </row>
    <row r="16" spans="1:19" ht="14.4" customHeight="1" x14ac:dyDescent="0.3">
      <c r="A16" s="433" t="s">
        <v>356</v>
      </c>
      <c r="B16" s="428">
        <v>32052</v>
      </c>
      <c r="C16" s="415">
        <v>0.65445194549990782</v>
      </c>
      <c r="D16" s="428">
        <v>48975.33</v>
      </c>
      <c r="E16" s="415">
        <v>1</v>
      </c>
      <c r="F16" s="428">
        <v>33003.660000000003</v>
      </c>
      <c r="G16" s="417">
        <v>0.67388336127597304</v>
      </c>
      <c r="H16" s="428"/>
      <c r="I16" s="415"/>
      <c r="J16" s="428"/>
      <c r="K16" s="415"/>
      <c r="L16" s="428"/>
      <c r="M16" s="417"/>
      <c r="N16" s="428"/>
      <c r="O16" s="415"/>
      <c r="P16" s="428"/>
      <c r="Q16" s="415"/>
      <c r="R16" s="428"/>
      <c r="S16" s="429"/>
    </row>
    <row r="17" spans="1:19" ht="14.4" customHeight="1" x14ac:dyDescent="0.3">
      <c r="A17" s="433" t="s">
        <v>357</v>
      </c>
      <c r="B17" s="428"/>
      <c r="C17" s="415"/>
      <c r="D17" s="428"/>
      <c r="E17" s="415"/>
      <c r="F17" s="428">
        <v>1493</v>
      </c>
      <c r="G17" s="417"/>
      <c r="H17" s="428"/>
      <c r="I17" s="415"/>
      <c r="J17" s="428"/>
      <c r="K17" s="415"/>
      <c r="L17" s="428"/>
      <c r="M17" s="417"/>
      <c r="N17" s="428"/>
      <c r="O17" s="415"/>
      <c r="P17" s="428"/>
      <c r="Q17" s="415"/>
      <c r="R17" s="428"/>
      <c r="S17" s="429"/>
    </row>
    <row r="18" spans="1:19" ht="14.4" customHeight="1" thickBot="1" x14ac:dyDescent="0.35">
      <c r="A18" s="434" t="s">
        <v>358</v>
      </c>
      <c r="B18" s="430"/>
      <c r="C18" s="420"/>
      <c r="D18" s="430"/>
      <c r="E18" s="420"/>
      <c r="F18" s="430">
        <v>14885</v>
      </c>
      <c r="G18" s="422"/>
      <c r="H18" s="430"/>
      <c r="I18" s="420"/>
      <c r="J18" s="430"/>
      <c r="K18" s="420"/>
      <c r="L18" s="430"/>
      <c r="M18" s="422"/>
      <c r="N18" s="430"/>
      <c r="O18" s="420"/>
      <c r="P18" s="430"/>
      <c r="Q18" s="420"/>
      <c r="R18" s="430"/>
      <c r="S18" s="431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M3 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outlinePr summaryRight="0"/>
    <pageSetUpPr fitToPage="1"/>
  </sheetPr>
  <dimension ref="A1:Q43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outlineLevelCol="1" x14ac:dyDescent="0.3"/>
  <cols>
    <col min="1" max="1" width="3" style="101" bestFit="1" customWidth="1"/>
    <col min="2" max="2" width="8.6640625" style="101" bestFit="1" customWidth="1"/>
    <col min="3" max="3" width="2.109375" style="101" bestFit="1" customWidth="1"/>
    <col min="4" max="4" width="8" style="101" bestFit="1" customWidth="1"/>
    <col min="5" max="5" width="52.88671875" style="101" bestFit="1" customWidth="1" collapsed="1"/>
    <col min="6" max="7" width="11.109375" style="175" hidden="1" customWidth="1" outlineLevel="1"/>
    <col min="8" max="9" width="9.33203125" style="175" hidden="1" customWidth="1"/>
    <col min="10" max="11" width="11.109375" style="175" customWidth="1"/>
    <col min="12" max="13" width="9.33203125" style="175" hidden="1" customWidth="1"/>
    <col min="14" max="15" width="11.109375" style="175" customWidth="1"/>
    <col min="16" max="16" width="11.109375" style="176" customWidth="1"/>
    <col min="17" max="17" width="11.109375" style="175" customWidth="1"/>
    <col min="18" max="16384" width="8.88671875" style="101"/>
  </cols>
  <sheetData>
    <row r="1" spans="1:17" ht="18.600000000000001" customHeight="1" thickBot="1" x14ac:dyDescent="0.4">
      <c r="A1" s="263" t="s">
        <v>371</v>
      </c>
      <c r="B1" s="263"/>
      <c r="C1" s="263"/>
      <c r="D1" s="263"/>
      <c r="E1" s="263"/>
      <c r="F1" s="263"/>
      <c r="G1" s="263"/>
      <c r="H1" s="263"/>
      <c r="I1" s="263"/>
      <c r="J1" s="263"/>
      <c r="K1" s="263"/>
      <c r="L1" s="263"/>
      <c r="M1" s="263"/>
      <c r="N1" s="263"/>
      <c r="O1" s="263"/>
      <c r="P1" s="263"/>
      <c r="Q1" s="263"/>
    </row>
    <row r="2" spans="1:17" ht="14.4" customHeight="1" thickBot="1" x14ac:dyDescent="0.35">
      <c r="A2" s="189" t="s">
        <v>202</v>
      </c>
      <c r="B2" s="102"/>
      <c r="C2" s="102"/>
      <c r="D2" s="102"/>
      <c r="E2" s="102"/>
      <c r="F2" s="185"/>
      <c r="G2" s="185"/>
      <c r="H2" s="185"/>
      <c r="I2" s="185"/>
      <c r="J2" s="185"/>
      <c r="K2" s="185"/>
      <c r="L2" s="185"/>
      <c r="M2" s="185"/>
      <c r="N2" s="185"/>
      <c r="O2" s="185"/>
      <c r="P2" s="186"/>
      <c r="Q2" s="185"/>
    </row>
    <row r="3" spans="1:17" ht="14.4" customHeight="1" thickBot="1" x14ac:dyDescent="0.35">
      <c r="E3" s="62" t="s">
        <v>96</v>
      </c>
      <c r="F3" s="74">
        <f t="shared" ref="F3:O3" si="0">SUBTOTAL(9,F6:F1048576)</f>
        <v>410</v>
      </c>
      <c r="G3" s="75">
        <f t="shared" si="0"/>
        <v>209711</v>
      </c>
      <c r="H3" s="75"/>
      <c r="I3" s="75"/>
      <c r="J3" s="75">
        <f t="shared" si="0"/>
        <v>766</v>
      </c>
      <c r="K3" s="75">
        <f t="shared" si="0"/>
        <v>356913.31</v>
      </c>
      <c r="L3" s="75"/>
      <c r="M3" s="75"/>
      <c r="N3" s="75">
        <f t="shared" si="0"/>
        <v>880</v>
      </c>
      <c r="O3" s="75">
        <f t="shared" si="0"/>
        <v>449887.3</v>
      </c>
      <c r="P3" s="58">
        <f>IF(K3=0,0,O3/K3)</f>
        <v>1.2604946002153856</v>
      </c>
      <c r="Q3" s="76">
        <f>IF(N3=0,0,O3/N3)</f>
        <v>511.23556818181817</v>
      </c>
    </row>
    <row r="4" spans="1:17" ht="14.4" customHeight="1" x14ac:dyDescent="0.3">
      <c r="A4" s="340" t="s">
        <v>43</v>
      </c>
      <c r="B4" s="338" t="s">
        <v>69</v>
      </c>
      <c r="C4" s="340" t="s">
        <v>70</v>
      </c>
      <c r="D4" s="349" t="s">
        <v>71</v>
      </c>
      <c r="E4" s="341" t="s">
        <v>44</v>
      </c>
      <c r="F4" s="347">
        <v>2015</v>
      </c>
      <c r="G4" s="348"/>
      <c r="H4" s="77"/>
      <c r="I4" s="77"/>
      <c r="J4" s="347">
        <v>2018</v>
      </c>
      <c r="K4" s="348"/>
      <c r="L4" s="77"/>
      <c r="M4" s="77"/>
      <c r="N4" s="347">
        <v>2019</v>
      </c>
      <c r="O4" s="348"/>
      <c r="P4" s="350" t="s">
        <v>1</v>
      </c>
      <c r="Q4" s="339" t="s">
        <v>72</v>
      </c>
    </row>
    <row r="5" spans="1:17" ht="14.4" customHeight="1" thickBot="1" x14ac:dyDescent="0.35">
      <c r="A5" s="401"/>
      <c r="B5" s="399"/>
      <c r="C5" s="401"/>
      <c r="D5" s="435"/>
      <c r="E5" s="403"/>
      <c r="F5" s="436" t="s">
        <v>46</v>
      </c>
      <c r="G5" s="437" t="s">
        <v>3</v>
      </c>
      <c r="H5" s="438"/>
      <c r="I5" s="438"/>
      <c r="J5" s="436" t="s">
        <v>46</v>
      </c>
      <c r="K5" s="437" t="s">
        <v>3</v>
      </c>
      <c r="L5" s="438"/>
      <c r="M5" s="438"/>
      <c r="N5" s="436" t="s">
        <v>46</v>
      </c>
      <c r="O5" s="437" t="s">
        <v>3</v>
      </c>
      <c r="P5" s="439"/>
      <c r="Q5" s="408"/>
    </row>
    <row r="6" spans="1:17" ht="14.4" customHeight="1" x14ac:dyDescent="0.3">
      <c r="A6" s="409" t="s">
        <v>359</v>
      </c>
      <c r="B6" s="410" t="s">
        <v>328</v>
      </c>
      <c r="C6" s="410" t="s">
        <v>329</v>
      </c>
      <c r="D6" s="410" t="s">
        <v>334</v>
      </c>
      <c r="E6" s="410" t="s">
        <v>335</v>
      </c>
      <c r="F6" s="411">
        <v>1</v>
      </c>
      <c r="G6" s="411">
        <v>554</v>
      </c>
      <c r="H6" s="411">
        <v>7.6784476784476779E-2</v>
      </c>
      <c r="I6" s="411">
        <v>554</v>
      </c>
      <c r="J6" s="411">
        <v>13</v>
      </c>
      <c r="K6" s="411">
        <v>7215</v>
      </c>
      <c r="L6" s="411">
        <v>1</v>
      </c>
      <c r="M6" s="411">
        <v>555</v>
      </c>
      <c r="N6" s="411">
        <v>1</v>
      </c>
      <c r="O6" s="411">
        <v>558</v>
      </c>
      <c r="P6" s="412">
        <v>7.7338877338877343E-2</v>
      </c>
      <c r="Q6" s="413">
        <v>558</v>
      </c>
    </row>
    <row r="7" spans="1:17" ht="14.4" customHeight="1" x14ac:dyDescent="0.3">
      <c r="A7" s="414" t="s">
        <v>359</v>
      </c>
      <c r="B7" s="415" t="s">
        <v>328</v>
      </c>
      <c r="C7" s="415" t="s">
        <v>329</v>
      </c>
      <c r="D7" s="415" t="s">
        <v>336</v>
      </c>
      <c r="E7" s="415" t="s">
        <v>337</v>
      </c>
      <c r="F7" s="416"/>
      <c r="G7" s="416"/>
      <c r="H7" s="416"/>
      <c r="I7" s="416"/>
      <c r="J7" s="416">
        <v>1</v>
      </c>
      <c r="K7" s="416">
        <v>33.33</v>
      </c>
      <c r="L7" s="416">
        <v>1</v>
      </c>
      <c r="M7" s="416">
        <v>33.33</v>
      </c>
      <c r="N7" s="416"/>
      <c r="O7" s="416"/>
      <c r="P7" s="417"/>
      <c r="Q7" s="418"/>
    </row>
    <row r="8" spans="1:17" ht="14.4" customHeight="1" x14ac:dyDescent="0.3">
      <c r="A8" s="414" t="s">
        <v>359</v>
      </c>
      <c r="B8" s="415" t="s">
        <v>328</v>
      </c>
      <c r="C8" s="415" t="s">
        <v>329</v>
      </c>
      <c r="D8" s="415" t="s">
        <v>338</v>
      </c>
      <c r="E8" s="415" t="s">
        <v>339</v>
      </c>
      <c r="F8" s="416"/>
      <c r="G8" s="416"/>
      <c r="H8" s="416"/>
      <c r="I8" s="416"/>
      <c r="J8" s="416">
        <v>3</v>
      </c>
      <c r="K8" s="416">
        <v>1122</v>
      </c>
      <c r="L8" s="416">
        <v>1</v>
      </c>
      <c r="M8" s="416">
        <v>374</v>
      </c>
      <c r="N8" s="416"/>
      <c r="O8" s="416"/>
      <c r="P8" s="417"/>
      <c r="Q8" s="418"/>
    </row>
    <row r="9" spans="1:17" ht="14.4" customHeight="1" x14ac:dyDescent="0.3">
      <c r="A9" s="414" t="s">
        <v>360</v>
      </c>
      <c r="B9" s="415" t="s">
        <v>328</v>
      </c>
      <c r="C9" s="415" t="s">
        <v>329</v>
      </c>
      <c r="D9" s="415" t="s">
        <v>334</v>
      </c>
      <c r="E9" s="415" t="s">
        <v>335</v>
      </c>
      <c r="F9" s="416">
        <v>2</v>
      </c>
      <c r="G9" s="416">
        <v>1108</v>
      </c>
      <c r="H9" s="416"/>
      <c r="I9" s="416">
        <v>554</v>
      </c>
      <c r="J9" s="416"/>
      <c r="K9" s="416"/>
      <c r="L9" s="416"/>
      <c r="M9" s="416"/>
      <c r="N9" s="416"/>
      <c r="O9" s="416"/>
      <c r="P9" s="417"/>
      <c r="Q9" s="418"/>
    </row>
    <row r="10" spans="1:17" ht="14.4" customHeight="1" x14ac:dyDescent="0.3">
      <c r="A10" s="414" t="s">
        <v>361</v>
      </c>
      <c r="B10" s="415" t="s">
        <v>328</v>
      </c>
      <c r="C10" s="415" t="s">
        <v>329</v>
      </c>
      <c r="D10" s="415" t="s">
        <v>334</v>
      </c>
      <c r="E10" s="415" t="s">
        <v>335</v>
      </c>
      <c r="F10" s="416">
        <v>6</v>
      </c>
      <c r="G10" s="416">
        <v>3324</v>
      </c>
      <c r="H10" s="416">
        <v>1.4972972972972973</v>
      </c>
      <c r="I10" s="416">
        <v>554</v>
      </c>
      <c r="J10" s="416">
        <v>4</v>
      </c>
      <c r="K10" s="416">
        <v>2220</v>
      </c>
      <c r="L10" s="416">
        <v>1</v>
      </c>
      <c r="M10" s="416">
        <v>555</v>
      </c>
      <c r="N10" s="416">
        <v>6</v>
      </c>
      <c r="O10" s="416">
        <v>3348</v>
      </c>
      <c r="P10" s="417">
        <v>1.508108108108108</v>
      </c>
      <c r="Q10" s="418">
        <v>558</v>
      </c>
    </row>
    <row r="11" spans="1:17" ht="14.4" customHeight="1" x14ac:dyDescent="0.3">
      <c r="A11" s="414" t="s">
        <v>361</v>
      </c>
      <c r="B11" s="415" t="s">
        <v>328</v>
      </c>
      <c r="C11" s="415" t="s">
        <v>329</v>
      </c>
      <c r="D11" s="415" t="s">
        <v>336</v>
      </c>
      <c r="E11" s="415" t="s">
        <v>337</v>
      </c>
      <c r="F11" s="416"/>
      <c r="G11" s="416"/>
      <c r="H11" s="416"/>
      <c r="I11" s="416"/>
      <c r="J11" s="416">
        <v>1</v>
      </c>
      <c r="K11" s="416">
        <v>33.33</v>
      </c>
      <c r="L11" s="416">
        <v>1</v>
      </c>
      <c r="M11" s="416">
        <v>33.33</v>
      </c>
      <c r="N11" s="416">
        <v>2</v>
      </c>
      <c r="O11" s="416">
        <v>66.66</v>
      </c>
      <c r="P11" s="417">
        <v>2</v>
      </c>
      <c r="Q11" s="418">
        <v>33.33</v>
      </c>
    </row>
    <row r="12" spans="1:17" ht="14.4" customHeight="1" x14ac:dyDescent="0.3">
      <c r="A12" s="414" t="s">
        <v>361</v>
      </c>
      <c r="B12" s="415" t="s">
        <v>328</v>
      </c>
      <c r="C12" s="415" t="s">
        <v>329</v>
      </c>
      <c r="D12" s="415" t="s">
        <v>338</v>
      </c>
      <c r="E12" s="415" t="s">
        <v>339</v>
      </c>
      <c r="F12" s="416">
        <v>1</v>
      </c>
      <c r="G12" s="416">
        <v>373</v>
      </c>
      <c r="H12" s="416"/>
      <c r="I12" s="416">
        <v>373</v>
      </c>
      <c r="J12" s="416"/>
      <c r="K12" s="416"/>
      <c r="L12" s="416"/>
      <c r="M12" s="416"/>
      <c r="N12" s="416">
        <v>1</v>
      </c>
      <c r="O12" s="416">
        <v>377</v>
      </c>
      <c r="P12" s="417"/>
      <c r="Q12" s="418">
        <v>377</v>
      </c>
    </row>
    <row r="13" spans="1:17" ht="14.4" customHeight="1" x14ac:dyDescent="0.3">
      <c r="A13" s="414" t="s">
        <v>361</v>
      </c>
      <c r="B13" s="415" t="s">
        <v>328</v>
      </c>
      <c r="C13" s="415" t="s">
        <v>329</v>
      </c>
      <c r="D13" s="415" t="s">
        <v>342</v>
      </c>
      <c r="E13" s="415" t="s">
        <v>343</v>
      </c>
      <c r="F13" s="416">
        <v>2</v>
      </c>
      <c r="G13" s="416">
        <v>566</v>
      </c>
      <c r="H13" s="416">
        <v>2</v>
      </c>
      <c r="I13" s="416">
        <v>283</v>
      </c>
      <c r="J13" s="416">
        <v>1</v>
      </c>
      <c r="K13" s="416">
        <v>283</v>
      </c>
      <c r="L13" s="416">
        <v>1</v>
      </c>
      <c r="M13" s="416">
        <v>283</v>
      </c>
      <c r="N13" s="416">
        <v>1</v>
      </c>
      <c r="O13" s="416">
        <v>285</v>
      </c>
      <c r="P13" s="417">
        <v>1.0070671378091873</v>
      </c>
      <c r="Q13" s="418">
        <v>285</v>
      </c>
    </row>
    <row r="14" spans="1:17" ht="14.4" customHeight="1" x14ac:dyDescent="0.3">
      <c r="A14" s="414" t="s">
        <v>362</v>
      </c>
      <c r="B14" s="415" t="s">
        <v>328</v>
      </c>
      <c r="C14" s="415" t="s">
        <v>329</v>
      </c>
      <c r="D14" s="415" t="s">
        <v>334</v>
      </c>
      <c r="E14" s="415" t="s">
        <v>335</v>
      </c>
      <c r="F14" s="416">
        <v>1</v>
      </c>
      <c r="G14" s="416">
        <v>554</v>
      </c>
      <c r="H14" s="416"/>
      <c r="I14" s="416">
        <v>554</v>
      </c>
      <c r="J14" s="416"/>
      <c r="K14" s="416"/>
      <c r="L14" s="416"/>
      <c r="M14" s="416"/>
      <c r="N14" s="416">
        <v>1</v>
      </c>
      <c r="O14" s="416">
        <v>558</v>
      </c>
      <c r="P14" s="417"/>
      <c r="Q14" s="418">
        <v>558</v>
      </c>
    </row>
    <row r="15" spans="1:17" ht="14.4" customHeight="1" x14ac:dyDescent="0.3">
      <c r="A15" s="414" t="s">
        <v>327</v>
      </c>
      <c r="B15" s="415" t="s">
        <v>328</v>
      </c>
      <c r="C15" s="415" t="s">
        <v>329</v>
      </c>
      <c r="D15" s="415" t="s">
        <v>334</v>
      </c>
      <c r="E15" s="415" t="s">
        <v>335</v>
      </c>
      <c r="F15" s="416">
        <v>14</v>
      </c>
      <c r="G15" s="416">
        <v>7756</v>
      </c>
      <c r="H15" s="416">
        <v>3.4936936936936935</v>
      </c>
      <c r="I15" s="416">
        <v>554</v>
      </c>
      <c r="J15" s="416">
        <v>4</v>
      </c>
      <c r="K15" s="416">
        <v>2220</v>
      </c>
      <c r="L15" s="416">
        <v>1</v>
      </c>
      <c r="M15" s="416">
        <v>555</v>
      </c>
      <c r="N15" s="416">
        <v>10</v>
      </c>
      <c r="O15" s="416">
        <v>5580</v>
      </c>
      <c r="P15" s="417">
        <v>2.5135135135135136</v>
      </c>
      <c r="Q15" s="418">
        <v>558</v>
      </c>
    </row>
    <row r="16" spans="1:17" ht="14.4" customHeight="1" x14ac:dyDescent="0.3">
      <c r="A16" s="414" t="s">
        <v>327</v>
      </c>
      <c r="B16" s="415" t="s">
        <v>328</v>
      </c>
      <c r="C16" s="415" t="s">
        <v>329</v>
      </c>
      <c r="D16" s="415" t="s">
        <v>336</v>
      </c>
      <c r="E16" s="415" t="s">
        <v>337</v>
      </c>
      <c r="F16" s="416"/>
      <c r="G16" s="416"/>
      <c r="H16" s="416"/>
      <c r="I16" s="416"/>
      <c r="J16" s="416">
        <v>3</v>
      </c>
      <c r="K16" s="416">
        <v>100</v>
      </c>
      <c r="L16" s="416">
        <v>1</v>
      </c>
      <c r="M16" s="416">
        <v>33.333333333333336</v>
      </c>
      <c r="N16" s="416">
        <v>1</v>
      </c>
      <c r="O16" s="416">
        <v>33.33</v>
      </c>
      <c r="P16" s="417">
        <v>0.33329999999999999</v>
      </c>
      <c r="Q16" s="418">
        <v>33.33</v>
      </c>
    </row>
    <row r="17" spans="1:17" ht="14.4" customHeight="1" x14ac:dyDescent="0.3">
      <c r="A17" s="414" t="s">
        <v>327</v>
      </c>
      <c r="B17" s="415" t="s">
        <v>328</v>
      </c>
      <c r="C17" s="415" t="s">
        <v>329</v>
      </c>
      <c r="D17" s="415" t="s">
        <v>338</v>
      </c>
      <c r="E17" s="415" t="s">
        <v>339</v>
      </c>
      <c r="F17" s="416">
        <v>3</v>
      </c>
      <c r="G17" s="416">
        <v>1119</v>
      </c>
      <c r="H17" s="416">
        <v>0.99732620320855614</v>
      </c>
      <c r="I17" s="416">
        <v>373</v>
      </c>
      <c r="J17" s="416">
        <v>3</v>
      </c>
      <c r="K17" s="416">
        <v>1122</v>
      </c>
      <c r="L17" s="416">
        <v>1</v>
      </c>
      <c r="M17" s="416">
        <v>374</v>
      </c>
      <c r="N17" s="416">
        <v>2</v>
      </c>
      <c r="O17" s="416">
        <v>754</v>
      </c>
      <c r="P17" s="417">
        <v>0.67201426024955435</v>
      </c>
      <c r="Q17" s="418">
        <v>377</v>
      </c>
    </row>
    <row r="18" spans="1:17" ht="14.4" customHeight="1" x14ac:dyDescent="0.3">
      <c r="A18" s="414" t="s">
        <v>327</v>
      </c>
      <c r="B18" s="415" t="s">
        <v>328</v>
      </c>
      <c r="C18" s="415" t="s">
        <v>329</v>
      </c>
      <c r="D18" s="415" t="s">
        <v>342</v>
      </c>
      <c r="E18" s="415" t="s">
        <v>343</v>
      </c>
      <c r="F18" s="416">
        <v>1</v>
      </c>
      <c r="G18" s="416">
        <v>283</v>
      </c>
      <c r="H18" s="416"/>
      <c r="I18" s="416">
        <v>283</v>
      </c>
      <c r="J18" s="416"/>
      <c r="K18" s="416"/>
      <c r="L18" s="416"/>
      <c r="M18" s="416"/>
      <c r="N18" s="416"/>
      <c r="O18" s="416"/>
      <c r="P18" s="417"/>
      <c r="Q18" s="418"/>
    </row>
    <row r="19" spans="1:17" ht="14.4" customHeight="1" x14ac:dyDescent="0.3">
      <c r="A19" s="414" t="s">
        <v>363</v>
      </c>
      <c r="B19" s="415" t="s">
        <v>328</v>
      </c>
      <c r="C19" s="415" t="s">
        <v>329</v>
      </c>
      <c r="D19" s="415" t="s">
        <v>334</v>
      </c>
      <c r="E19" s="415" t="s">
        <v>335</v>
      </c>
      <c r="F19" s="416"/>
      <c r="G19" s="416"/>
      <c r="H19" s="416"/>
      <c r="I19" s="416"/>
      <c r="J19" s="416"/>
      <c r="K19" s="416"/>
      <c r="L19" s="416"/>
      <c r="M19" s="416"/>
      <c r="N19" s="416">
        <v>5</v>
      </c>
      <c r="O19" s="416">
        <v>2790</v>
      </c>
      <c r="P19" s="417"/>
      <c r="Q19" s="418">
        <v>558</v>
      </c>
    </row>
    <row r="20" spans="1:17" ht="14.4" customHeight="1" x14ac:dyDescent="0.3">
      <c r="A20" s="414" t="s">
        <v>363</v>
      </c>
      <c r="B20" s="415" t="s">
        <v>328</v>
      </c>
      <c r="C20" s="415" t="s">
        <v>329</v>
      </c>
      <c r="D20" s="415" t="s">
        <v>336</v>
      </c>
      <c r="E20" s="415" t="s">
        <v>337</v>
      </c>
      <c r="F20" s="416"/>
      <c r="G20" s="416"/>
      <c r="H20" s="416"/>
      <c r="I20" s="416"/>
      <c r="J20" s="416"/>
      <c r="K20" s="416"/>
      <c r="L20" s="416"/>
      <c r="M20" s="416"/>
      <c r="N20" s="416">
        <v>1</v>
      </c>
      <c r="O20" s="416">
        <v>33.33</v>
      </c>
      <c r="P20" s="417"/>
      <c r="Q20" s="418">
        <v>33.33</v>
      </c>
    </row>
    <row r="21" spans="1:17" ht="14.4" customHeight="1" x14ac:dyDescent="0.3">
      <c r="A21" s="414" t="s">
        <v>363</v>
      </c>
      <c r="B21" s="415" t="s">
        <v>328</v>
      </c>
      <c r="C21" s="415" t="s">
        <v>329</v>
      </c>
      <c r="D21" s="415" t="s">
        <v>338</v>
      </c>
      <c r="E21" s="415" t="s">
        <v>339</v>
      </c>
      <c r="F21" s="416"/>
      <c r="G21" s="416"/>
      <c r="H21" s="416"/>
      <c r="I21" s="416"/>
      <c r="J21" s="416"/>
      <c r="K21" s="416"/>
      <c r="L21" s="416"/>
      <c r="M21" s="416"/>
      <c r="N21" s="416">
        <v>1</v>
      </c>
      <c r="O21" s="416">
        <v>377</v>
      </c>
      <c r="P21" s="417"/>
      <c r="Q21" s="418">
        <v>377</v>
      </c>
    </row>
    <row r="22" spans="1:17" ht="14.4" customHeight="1" x14ac:dyDescent="0.3">
      <c r="A22" s="414" t="s">
        <v>364</v>
      </c>
      <c r="B22" s="415" t="s">
        <v>328</v>
      </c>
      <c r="C22" s="415" t="s">
        <v>329</v>
      </c>
      <c r="D22" s="415" t="s">
        <v>340</v>
      </c>
      <c r="E22" s="415" t="s">
        <v>341</v>
      </c>
      <c r="F22" s="416"/>
      <c r="G22" s="416"/>
      <c r="H22" s="416"/>
      <c r="I22" s="416"/>
      <c r="J22" s="416">
        <v>1</v>
      </c>
      <c r="K22" s="416">
        <v>432</v>
      </c>
      <c r="L22" s="416">
        <v>1</v>
      </c>
      <c r="M22" s="416">
        <v>432</v>
      </c>
      <c r="N22" s="416"/>
      <c r="O22" s="416"/>
      <c r="P22" s="417"/>
      <c r="Q22" s="418"/>
    </row>
    <row r="23" spans="1:17" ht="14.4" customHeight="1" x14ac:dyDescent="0.3">
      <c r="A23" s="414" t="s">
        <v>365</v>
      </c>
      <c r="B23" s="415" t="s">
        <v>328</v>
      </c>
      <c r="C23" s="415" t="s">
        <v>329</v>
      </c>
      <c r="D23" s="415" t="s">
        <v>334</v>
      </c>
      <c r="E23" s="415" t="s">
        <v>335</v>
      </c>
      <c r="F23" s="416"/>
      <c r="G23" s="416"/>
      <c r="H23" s="416"/>
      <c r="I23" s="416"/>
      <c r="J23" s="416">
        <v>3</v>
      </c>
      <c r="K23" s="416">
        <v>1665</v>
      </c>
      <c r="L23" s="416">
        <v>1</v>
      </c>
      <c r="M23" s="416">
        <v>555</v>
      </c>
      <c r="N23" s="416"/>
      <c r="O23" s="416"/>
      <c r="P23" s="417"/>
      <c r="Q23" s="418"/>
    </row>
    <row r="24" spans="1:17" ht="14.4" customHeight="1" x14ac:dyDescent="0.3">
      <c r="A24" s="414" t="s">
        <v>365</v>
      </c>
      <c r="B24" s="415" t="s">
        <v>328</v>
      </c>
      <c r="C24" s="415" t="s">
        <v>329</v>
      </c>
      <c r="D24" s="415" t="s">
        <v>336</v>
      </c>
      <c r="E24" s="415" t="s">
        <v>337</v>
      </c>
      <c r="F24" s="416"/>
      <c r="G24" s="416"/>
      <c r="H24" s="416"/>
      <c r="I24" s="416"/>
      <c r="J24" s="416">
        <v>1</v>
      </c>
      <c r="K24" s="416">
        <v>33.33</v>
      </c>
      <c r="L24" s="416">
        <v>1</v>
      </c>
      <c r="M24" s="416">
        <v>33.33</v>
      </c>
      <c r="N24" s="416"/>
      <c r="O24" s="416"/>
      <c r="P24" s="417"/>
      <c r="Q24" s="418"/>
    </row>
    <row r="25" spans="1:17" ht="14.4" customHeight="1" x14ac:dyDescent="0.3">
      <c r="A25" s="414" t="s">
        <v>365</v>
      </c>
      <c r="B25" s="415" t="s">
        <v>328</v>
      </c>
      <c r="C25" s="415" t="s">
        <v>329</v>
      </c>
      <c r="D25" s="415" t="s">
        <v>342</v>
      </c>
      <c r="E25" s="415" t="s">
        <v>343</v>
      </c>
      <c r="F25" s="416"/>
      <c r="G25" s="416"/>
      <c r="H25" s="416"/>
      <c r="I25" s="416"/>
      <c r="J25" s="416">
        <v>1</v>
      </c>
      <c r="K25" s="416">
        <v>283</v>
      </c>
      <c r="L25" s="416">
        <v>1</v>
      </c>
      <c r="M25" s="416">
        <v>283</v>
      </c>
      <c r="N25" s="416"/>
      <c r="O25" s="416"/>
      <c r="P25" s="417"/>
      <c r="Q25" s="418"/>
    </row>
    <row r="26" spans="1:17" ht="14.4" customHeight="1" x14ac:dyDescent="0.3">
      <c r="A26" s="414" t="s">
        <v>366</v>
      </c>
      <c r="B26" s="415" t="s">
        <v>328</v>
      </c>
      <c r="C26" s="415" t="s">
        <v>329</v>
      </c>
      <c r="D26" s="415" t="s">
        <v>334</v>
      </c>
      <c r="E26" s="415" t="s">
        <v>335</v>
      </c>
      <c r="F26" s="416">
        <v>157</v>
      </c>
      <c r="G26" s="416">
        <v>86978</v>
      </c>
      <c r="H26" s="416">
        <v>0.63706145169559802</v>
      </c>
      <c r="I26" s="416">
        <v>554</v>
      </c>
      <c r="J26" s="416">
        <v>246</v>
      </c>
      <c r="K26" s="416">
        <v>136530</v>
      </c>
      <c r="L26" s="416">
        <v>1</v>
      </c>
      <c r="M26" s="416">
        <v>555</v>
      </c>
      <c r="N26" s="416">
        <v>379</v>
      </c>
      <c r="O26" s="416">
        <v>211482</v>
      </c>
      <c r="P26" s="417">
        <v>1.5489782465392221</v>
      </c>
      <c r="Q26" s="418">
        <v>558</v>
      </c>
    </row>
    <row r="27" spans="1:17" ht="14.4" customHeight="1" x14ac:dyDescent="0.3">
      <c r="A27" s="414" t="s">
        <v>366</v>
      </c>
      <c r="B27" s="415" t="s">
        <v>328</v>
      </c>
      <c r="C27" s="415" t="s">
        <v>329</v>
      </c>
      <c r="D27" s="415" t="s">
        <v>336</v>
      </c>
      <c r="E27" s="415" t="s">
        <v>337</v>
      </c>
      <c r="F27" s="416"/>
      <c r="G27" s="416"/>
      <c r="H27" s="416"/>
      <c r="I27" s="416"/>
      <c r="J27" s="416">
        <v>66</v>
      </c>
      <c r="K27" s="416">
        <v>2199.9899999999998</v>
      </c>
      <c r="L27" s="416">
        <v>1</v>
      </c>
      <c r="M27" s="416">
        <v>33.333181818181814</v>
      </c>
      <c r="N27" s="416">
        <v>30</v>
      </c>
      <c r="O27" s="416">
        <v>999.99</v>
      </c>
      <c r="P27" s="417">
        <v>0.45454297519534187</v>
      </c>
      <c r="Q27" s="418">
        <v>33.332999999999998</v>
      </c>
    </row>
    <row r="28" spans="1:17" ht="14.4" customHeight="1" x14ac:dyDescent="0.3">
      <c r="A28" s="414" t="s">
        <v>366</v>
      </c>
      <c r="B28" s="415" t="s">
        <v>328</v>
      </c>
      <c r="C28" s="415" t="s">
        <v>329</v>
      </c>
      <c r="D28" s="415" t="s">
        <v>338</v>
      </c>
      <c r="E28" s="415" t="s">
        <v>339</v>
      </c>
      <c r="F28" s="416">
        <v>48</v>
      </c>
      <c r="G28" s="416">
        <v>17904</v>
      </c>
      <c r="H28" s="416">
        <v>0.62170984096117787</v>
      </c>
      <c r="I28" s="416">
        <v>373</v>
      </c>
      <c r="J28" s="416">
        <v>77</v>
      </c>
      <c r="K28" s="416">
        <v>28798</v>
      </c>
      <c r="L28" s="416">
        <v>1</v>
      </c>
      <c r="M28" s="416">
        <v>374</v>
      </c>
      <c r="N28" s="416">
        <v>58</v>
      </c>
      <c r="O28" s="416">
        <v>21866</v>
      </c>
      <c r="P28" s="417">
        <v>0.75928883950274328</v>
      </c>
      <c r="Q28" s="418">
        <v>377</v>
      </c>
    </row>
    <row r="29" spans="1:17" ht="14.4" customHeight="1" x14ac:dyDescent="0.3">
      <c r="A29" s="414" t="s">
        <v>366</v>
      </c>
      <c r="B29" s="415" t="s">
        <v>328</v>
      </c>
      <c r="C29" s="415" t="s">
        <v>329</v>
      </c>
      <c r="D29" s="415" t="s">
        <v>342</v>
      </c>
      <c r="E29" s="415" t="s">
        <v>343</v>
      </c>
      <c r="F29" s="416">
        <v>16</v>
      </c>
      <c r="G29" s="416">
        <v>4528</v>
      </c>
      <c r="H29" s="416">
        <v>0.72727272727272729</v>
      </c>
      <c r="I29" s="416">
        <v>283</v>
      </c>
      <c r="J29" s="416">
        <v>22</v>
      </c>
      <c r="K29" s="416">
        <v>6226</v>
      </c>
      <c r="L29" s="416">
        <v>1</v>
      </c>
      <c r="M29" s="416">
        <v>283</v>
      </c>
      <c r="N29" s="416">
        <v>24</v>
      </c>
      <c r="O29" s="416">
        <v>6840</v>
      </c>
      <c r="P29" s="417">
        <v>1.0986186957918407</v>
      </c>
      <c r="Q29" s="418">
        <v>285</v>
      </c>
    </row>
    <row r="30" spans="1:17" ht="14.4" customHeight="1" x14ac:dyDescent="0.3">
      <c r="A30" s="414" t="s">
        <v>367</v>
      </c>
      <c r="B30" s="415" t="s">
        <v>328</v>
      </c>
      <c r="C30" s="415" t="s">
        <v>329</v>
      </c>
      <c r="D30" s="415" t="s">
        <v>330</v>
      </c>
      <c r="E30" s="415" t="s">
        <v>331</v>
      </c>
      <c r="F30" s="416">
        <v>1</v>
      </c>
      <c r="G30" s="416">
        <v>141</v>
      </c>
      <c r="H30" s="416">
        <v>0.99295774647887325</v>
      </c>
      <c r="I30" s="416">
        <v>141</v>
      </c>
      <c r="J30" s="416">
        <v>1</v>
      </c>
      <c r="K30" s="416">
        <v>142</v>
      </c>
      <c r="L30" s="416">
        <v>1</v>
      </c>
      <c r="M30" s="416">
        <v>142</v>
      </c>
      <c r="N30" s="416">
        <v>3</v>
      </c>
      <c r="O30" s="416">
        <v>429</v>
      </c>
      <c r="P30" s="417">
        <v>3.0211267605633805</v>
      </c>
      <c r="Q30" s="418">
        <v>143</v>
      </c>
    </row>
    <row r="31" spans="1:17" ht="14.4" customHeight="1" x14ac:dyDescent="0.3">
      <c r="A31" s="414" t="s">
        <v>367</v>
      </c>
      <c r="B31" s="415" t="s">
        <v>328</v>
      </c>
      <c r="C31" s="415" t="s">
        <v>329</v>
      </c>
      <c r="D31" s="415" t="s">
        <v>334</v>
      </c>
      <c r="E31" s="415" t="s">
        <v>335</v>
      </c>
      <c r="F31" s="416">
        <v>90</v>
      </c>
      <c r="G31" s="416">
        <v>49860</v>
      </c>
      <c r="H31" s="416">
        <v>0.44038155802861684</v>
      </c>
      <c r="I31" s="416">
        <v>554</v>
      </c>
      <c r="J31" s="416">
        <v>204</v>
      </c>
      <c r="K31" s="416">
        <v>113220</v>
      </c>
      <c r="L31" s="416">
        <v>1</v>
      </c>
      <c r="M31" s="416">
        <v>555</v>
      </c>
      <c r="N31" s="416">
        <v>254</v>
      </c>
      <c r="O31" s="416">
        <v>141732</v>
      </c>
      <c r="P31" s="417">
        <v>1.2518282988871223</v>
      </c>
      <c r="Q31" s="418">
        <v>558</v>
      </c>
    </row>
    <row r="32" spans="1:17" ht="14.4" customHeight="1" x14ac:dyDescent="0.3">
      <c r="A32" s="414" t="s">
        <v>367</v>
      </c>
      <c r="B32" s="415" t="s">
        <v>328</v>
      </c>
      <c r="C32" s="415" t="s">
        <v>329</v>
      </c>
      <c r="D32" s="415" t="s">
        <v>336</v>
      </c>
      <c r="E32" s="415" t="s">
        <v>337</v>
      </c>
      <c r="F32" s="416"/>
      <c r="G32" s="416"/>
      <c r="H32" s="416"/>
      <c r="I32" s="416"/>
      <c r="J32" s="416">
        <v>9</v>
      </c>
      <c r="K32" s="416">
        <v>299.99999999999994</v>
      </c>
      <c r="L32" s="416">
        <v>1</v>
      </c>
      <c r="M32" s="416">
        <v>33.333333333333329</v>
      </c>
      <c r="N32" s="416">
        <v>1</v>
      </c>
      <c r="O32" s="416">
        <v>33.33</v>
      </c>
      <c r="P32" s="417">
        <v>0.11110000000000002</v>
      </c>
      <c r="Q32" s="418">
        <v>33.33</v>
      </c>
    </row>
    <row r="33" spans="1:17" ht="14.4" customHeight="1" x14ac:dyDescent="0.3">
      <c r="A33" s="414" t="s">
        <v>367</v>
      </c>
      <c r="B33" s="415" t="s">
        <v>328</v>
      </c>
      <c r="C33" s="415" t="s">
        <v>329</v>
      </c>
      <c r="D33" s="415" t="s">
        <v>338</v>
      </c>
      <c r="E33" s="415" t="s">
        <v>339</v>
      </c>
      <c r="F33" s="416">
        <v>7</v>
      </c>
      <c r="G33" s="416">
        <v>2611</v>
      </c>
      <c r="H33" s="416">
        <v>1.7453208556149733</v>
      </c>
      <c r="I33" s="416">
        <v>373</v>
      </c>
      <c r="J33" s="416">
        <v>4</v>
      </c>
      <c r="K33" s="416">
        <v>1496</v>
      </c>
      <c r="L33" s="416">
        <v>1</v>
      </c>
      <c r="M33" s="416">
        <v>374</v>
      </c>
      <c r="N33" s="416">
        <v>4</v>
      </c>
      <c r="O33" s="416">
        <v>1508</v>
      </c>
      <c r="P33" s="417">
        <v>1.0080213903743316</v>
      </c>
      <c r="Q33" s="418">
        <v>377</v>
      </c>
    </row>
    <row r="34" spans="1:17" ht="14.4" customHeight="1" x14ac:dyDescent="0.3">
      <c r="A34" s="414" t="s">
        <v>367</v>
      </c>
      <c r="B34" s="415" t="s">
        <v>328</v>
      </c>
      <c r="C34" s="415" t="s">
        <v>329</v>
      </c>
      <c r="D34" s="415" t="s">
        <v>342</v>
      </c>
      <c r="E34" s="415" t="s">
        <v>343</v>
      </c>
      <c r="F34" s="416"/>
      <c r="G34" s="416"/>
      <c r="H34" s="416"/>
      <c r="I34" s="416"/>
      <c r="J34" s="416">
        <v>8</v>
      </c>
      <c r="K34" s="416">
        <v>2264</v>
      </c>
      <c r="L34" s="416">
        <v>1</v>
      </c>
      <c r="M34" s="416">
        <v>283</v>
      </c>
      <c r="N34" s="416">
        <v>3</v>
      </c>
      <c r="O34" s="416">
        <v>855</v>
      </c>
      <c r="P34" s="417">
        <v>0.37765017667844525</v>
      </c>
      <c r="Q34" s="418">
        <v>285</v>
      </c>
    </row>
    <row r="35" spans="1:17" ht="14.4" customHeight="1" x14ac:dyDescent="0.3">
      <c r="A35" s="414" t="s">
        <v>368</v>
      </c>
      <c r="B35" s="415" t="s">
        <v>328</v>
      </c>
      <c r="C35" s="415" t="s">
        <v>329</v>
      </c>
      <c r="D35" s="415" t="s">
        <v>330</v>
      </c>
      <c r="E35" s="415" t="s">
        <v>331</v>
      </c>
      <c r="F35" s="416">
        <v>2</v>
      </c>
      <c r="G35" s="416">
        <v>282</v>
      </c>
      <c r="H35" s="416"/>
      <c r="I35" s="416">
        <v>141</v>
      </c>
      <c r="J35" s="416"/>
      <c r="K35" s="416"/>
      <c r="L35" s="416"/>
      <c r="M35" s="416"/>
      <c r="N35" s="416"/>
      <c r="O35" s="416"/>
      <c r="P35" s="417"/>
      <c r="Q35" s="418"/>
    </row>
    <row r="36" spans="1:17" ht="14.4" customHeight="1" x14ac:dyDescent="0.3">
      <c r="A36" s="414" t="s">
        <v>368</v>
      </c>
      <c r="B36" s="415" t="s">
        <v>328</v>
      </c>
      <c r="C36" s="415" t="s">
        <v>329</v>
      </c>
      <c r="D36" s="415" t="s">
        <v>334</v>
      </c>
      <c r="E36" s="415" t="s">
        <v>335</v>
      </c>
      <c r="F36" s="416">
        <v>56</v>
      </c>
      <c r="G36" s="416">
        <v>31024</v>
      </c>
      <c r="H36" s="416">
        <v>0.64251838044941489</v>
      </c>
      <c r="I36" s="416">
        <v>554</v>
      </c>
      <c r="J36" s="416">
        <v>87</v>
      </c>
      <c r="K36" s="416">
        <v>48285</v>
      </c>
      <c r="L36" s="416">
        <v>1</v>
      </c>
      <c r="M36" s="416">
        <v>555</v>
      </c>
      <c r="N36" s="416">
        <v>57</v>
      </c>
      <c r="O36" s="416">
        <v>31806</v>
      </c>
      <c r="P36" s="417">
        <v>0.6587138863000932</v>
      </c>
      <c r="Q36" s="418">
        <v>558</v>
      </c>
    </row>
    <row r="37" spans="1:17" ht="14.4" customHeight="1" x14ac:dyDescent="0.3">
      <c r="A37" s="414" t="s">
        <v>368</v>
      </c>
      <c r="B37" s="415" t="s">
        <v>328</v>
      </c>
      <c r="C37" s="415" t="s">
        <v>329</v>
      </c>
      <c r="D37" s="415" t="s">
        <v>336</v>
      </c>
      <c r="E37" s="415" t="s">
        <v>337</v>
      </c>
      <c r="F37" s="416"/>
      <c r="G37" s="416"/>
      <c r="H37" s="416"/>
      <c r="I37" s="416"/>
      <c r="J37" s="416">
        <v>1</v>
      </c>
      <c r="K37" s="416">
        <v>33.33</v>
      </c>
      <c r="L37" s="416">
        <v>1</v>
      </c>
      <c r="M37" s="416">
        <v>33.33</v>
      </c>
      <c r="N37" s="416">
        <v>2</v>
      </c>
      <c r="O37" s="416">
        <v>66.66</v>
      </c>
      <c r="P37" s="417">
        <v>2</v>
      </c>
      <c r="Q37" s="418">
        <v>33.33</v>
      </c>
    </row>
    <row r="38" spans="1:17" ht="14.4" customHeight="1" x14ac:dyDescent="0.3">
      <c r="A38" s="414" t="s">
        <v>368</v>
      </c>
      <c r="B38" s="415" t="s">
        <v>328</v>
      </c>
      <c r="C38" s="415" t="s">
        <v>329</v>
      </c>
      <c r="D38" s="415" t="s">
        <v>338</v>
      </c>
      <c r="E38" s="415" t="s">
        <v>339</v>
      </c>
      <c r="F38" s="416">
        <v>2</v>
      </c>
      <c r="G38" s="416">
        <v>746</v>
      </c>
      <c r="H38" s="416">
        <v>1.9946524064171123</v>
      </c>
      <c r="I38" s="416">
        <v>373</v>
      </c>
      <c r="J38" s="416">
        <v>1</v>
      </c>
      <c r="K38" s="416">
        <v>374</v>
      </c>
      <c r="L38" s="416">
        <v>1</v>
      </c>
      <c r="M38" s="416">
        <v>374</v>
      </c>
      <c r="N38" s="416">
        <v>3</v>
      </c>
      <c r="O38" s="416">
        <v>1131</v>
      </c>
      <c r="P38" s="417">
        <v>3.0240641711229945</v>
      </c>
      <c r="Q38" s="418">
        <v>377</v>
      </c>
    </row>
    <row r="39" spans="1:17" ht="14.4" customHeight="1" x14ac:dyDescent="0.3">
      <c r="A39" s="414" t="s">
        <v>368</v>
      </c>
      <c r="B39" s="415" t="s">
        <v>328</v>
      </c>
      <c r="C39" s="415" t="s">
        <v>329</v>
      </c>
      <c r="D39" s="415" t="s">
        <v>342</v>
      </c>
      <c r="E39" s="415" t="s">
        <v>343</v>
      </c>
      <c r="F39" s="416"/>
      <c r="G39" s="416"/>
      <c r="H39" s="416"/>
      <c r="I39" s="416"/>
      <c r="J39" s="416">
        <v>1</v>
      </c>
      <c r="K39" s="416">
        <v>283</v>
      </c>
      <c r="L39" s="416">
        <v>1</v>
      </c>
      <c r="M39" s="416">
        <v>283</v>
      </c>
      <c r="N39" s="416"/>
      <c r="O39" s="416"/>
      <c r="P39" s="417"/>
      <c r="Q39" s="418"/>
    </row>
    <row r="40" spans="1:17" ht="14.4" customHeight="1" x14ac:dyDescent="0.3">
      <c r="A40" s="414" t="s">
        <v>369</v>
      </c>
      <c r="B40" s="415" t="s">
        <v>328</v>
      </c>
      <c r="C40" s="415" t="s">
        <v>329</v>
      </c>
      <c r="D40" s="415" t="s">
        <v>334</v>
      </c>
      <c r="E40" s="415" t="s">
        <v>335</v>
      </c>
      <c r="F40" s="416"/>
      <c r="G40" s="416"/>
      <c r="H40" s="416"/>
      <c r="I40" s="416"/>
      <c r="J40" s="416"/>
      <c r="K40" s="416"/>
      <c r="L40" s="416"/>
      <c r="M40" s="416"/>
      <c r="N40" s="416">
        <v>2</v>
      </c>
      <c r="O40" s="416">
        <v>1116</v>
      </c>
      <c r="P40" s="417"/>
      <c r="Q40" s="418">
        <v>558</v>
      </c>
    </row>
    <row r="41" spans="1:17" ht="14.4" customHeight="1" x14ac:dyDescent="0.3">
      <c r="A41" s="414" t="s">
        <v>369</v>
      </c>
      <c r="B41" s="415" t="s">
        <v>328</v>
      </c>
      <c r="C41" s="415" t="s">
        <v>329</v>
      </c>
      <c r="D41" s="415" t="s">
        <v>338</v>
      </c>
      <c r="E41" s="415" t="s">
        <v>339</v>
      </c>
      <c r="F41" s="416"/>
      <c r="G41" s="416"/>
      <c r="H41" s="416"/>
      <c r="I41" s="416"/>
      <c r="J41" s="416"/>
      <c r="K41" s="416"/>
      <c r="L41" s="416"/>
      <c r="M41" s="416"/>
      <c r="N41" s="416">
        <v>1</v>
      </c>
      <c r="O41" s="416">
        <v>377</v>
      </c>
      <c r="P41" s="417"/>
      <c r="Q41" s="418">
        <v>377</v>
      </c>
    </row>
    <row r="42" spans="1:17" ht="14.4" customHeight="1" x14ac:dyDescent="0.3">
      <c r="A42" s="414" t="s">
        <v>370</v>
      </c>
      <c r="B42" s="415" t="s">
        <v>328</v>
      </c>
      <c r="C42" s="415" t="s">
        <v>329</v>
      </c>
      <c r="D42" s="415" t="s">
        <v>334</v>
      </c>
      <c r="E42" s="415" t="s">
        <v>335</v>
      </c>
      <c r="F42" s="416"/>
      <c r="G42" s="416"/>
      <c r="H42" s="416"/>
      <c r="I42" s="416"/>
      <c r="J42" s="416"/>
      <c r="K42" s="416"/>
      <c r="L42" s="416"/>
      <c r="M42" s="416"/>
      <c r="N42" s="416">
        <v>26</v>
      </c>
      <c r="O42" s="416">
        <v>14508</v>
      </c>
      <c r="P42" s="417"/>
      <c r="Q42" s="418">
        <v>558</v>
      </c>
    </row>
    <row r="43" spans="1:17" ht="14.4" customHeight="1" thickBot="1" x14ac:dyDescent="0.35">
      <c r="A43" s="419" t="s">
        <v>370</v>
      </c>
      <c r="B43" s="420" t="s">
        <v>328</v>
      </c>
      <c r="C43" s="420" t="s">
        <v>329</v>
      </c>
      <c r="D43" s="420" t="s">
        <v>338</v>
      </c>
      <c r="E43" s="420" t="s">
        <v>339</v>
      </c>
      <c r="F43" s="421"/>
      <c r="G43" s="421"/>
      <c r="H43" s="421"/>
      <c r="I43" s="421"/>
      <c r="J43" s="421"/>
      <c r="K43" s="421"/>
      <c r="L43" s="421"/>
      <c r="M43" s="421"/>
      <c r="N43" s="421">
        <v>1</v>
      </c>
      <c r="O43" s="421">
        <v>377</v>
      </c>
      <c r="P43" s="422"/>
      <c r="Q43" s="423">
        <v>377</v>
      </c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3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19" bestFit="1" customWidth="1"/>
    <col min="2" max="2" width="11.6640625" style="119" hidden="1" customWidth="1"/>
    <col min="3" max="4" width="11" style="121" customWidth="1"/>
    <col min="5" max="5" width="11" style="122" customWidth="1"/>
    <col min="6" max="16384" width="8.88671875" style="119"/>
  </cols>
  <sheetData>
    <row r="1" spans="1:5" ht="18.600000000000001" thickBot="1" x14ac:dyDescent="0.4">
      <c r="A1" s="263" t="s">
        <v>89</v>
      </c>
      <c r="B1" s="263"/>
      <c r="C1" s="264"/>
      <c r="D1" s="264"/>
      <c r="E1" s="264"/>
    </row>
    <row r="2" spans="1:5" ht="14.4" customHeight="1" thickBot="1" x14ac:dyDescent="0.35">
      <c r="A2" s="189" t="s">
        <v>202</v>
      </c>
      <c r="B2" s="120"/>
    </row>
    <row r="3" spans="1:5" ht="14.4" customHeight="1" thickBot="1" x14ac:dyDescent="0.35">
      <c r="A3" s="123"/>
      <c r="C3" s="124" t="s">
        <v>81</v>
      </c>
      <c r="D3" s="125" t="s">
        <v>47</v>
      </c>
      <c r="E3" s="126" t="s">
        <v>49</v>
      </c>
    </row>
    <row r="4" spans="1:5" ht="14.4" customHeight="1" thickBot="1" x14ac:dyDescent="0.35">
      <c r="A4" s="127" t="str">
        <f>HYPERLINK("#HI!A1","NÁKLADY CELKEM (v tisících Kč)")</f>
        <v>NÁKLADY CELKEM (v tisících Kč)</v>
      </c>
      <c r="B4" s="128"/>
      <c r="C4" s="129">
        <f ca="1">IF(ISERROR(VLOOKUP("Náklady celkem",INDIRECT("HI!$A:$G"),6,0)),0,VLOOKUP("Náklady celkem",INDIRECT("HI!$A:$G"),6,0))</f>
        <v>1377.1727058730125</v>
      </c>
      <c r="D4" s="129">
        <f ca="1">IF(ISERROR(VLOOKUP("Náklady celkem",INDIRECT("HI!$A:$G"),5,0)),0,VLOOKUP("Náklady celkem",INDIRECT("HI!$A:$G"),5,0))</f>
        <v>1446.1912399999999</v>
      </c>
      <c r="E4" s="130">
        <f ca="1">IF(C4=0,0,D4/C4)</f>
        <v>1.0501161065948046</v>
      </c>
    </row>
    <row r="5" spans="1:5" ht="14.4" customHeight="1" x14ac:dyDescent="0.3">
      <c r="A5" s="131" t="s">
        <v>101</v>
      </c>
      <c r="B5" s="132"/>
      <c r="C5" s="133"/>
      <c r="D5" s="133"/>
      <c r="E5" s="134"/>
    </row>
    <row r="6" spans="1:5" ht="14.4" customHeight="1" x14ac:dyDescent="0.3">
      <c r="A6" s="135" t="s">
        <v>106</v>
      </c>
      <c r="B6" s="136"/>
      <c r="C6" s="137"/>
      <c r="D6" s="137"/>
      <c r="E6" s="134"/>
    </row>
    <row r="7" spans="1:5" ht="14.4" customHeight="1" x14ac:dyDescent="0.3">
      <c r="A7" s="196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36" t="s">
        <v>85</v>
      </c>
      <c r="C7" s="137">
        <f>IF(ISERROR(HI!F5),"",HI!F5)</f>
        <v>0</v>
      </c>
      <c r="D7" s="137">
        <f>IF(ISERROR(HI!E5),"",HI!E5)</f>
        <v>0</v>
      </c>
      <c r="E7" s="134">
        <f t="shared" ref="E7:E11" si="0">IF(C7=0,0,D7/C7)</f>
        <v>0</v>
      </c>
    </row>
    <row r="8" spans="1:5" ht="14.4" customHeight="1" x14ac:dyDescent="0.3">
      <c r="A8" s="139" t="s">
        <v>102</v>
      </c>
      <c r="B8" s="136"/>
      <c r="C8" s="137"/>
      <c r="D8" s="137"/>
      <c r="E8" s="134"/>
    </row>
    <row r="9" spans="1:5" ht="14.4" customHeight="1" x14ac:dyDescent="0.3">
      <c r="A9" s="139" t="s">
        <v>103</v>
      </c>
      <c r="B9" s="136"/>
      <c r="C9" s="137"/>
      <c r="D9" s="137"/>
      <c r="E9" s="134"/>
    </row>
    <row r="10" spans="1:5" ht="14.4" customHeight="1" x14ac:dyDescent="0.3">
      <c r="A10" s="140" t="s">
        <v>107</v>
      </c>
      <c r="B10" s="136"/>
      <c r="C10" s="133"/>
      <c r="D10" s="133"/>
      <c r="E10" s="134"/>
    </row>
    <row r="11" spans="1:5" ht="14.4" customHeight="1" x14ac:dyDescent="0.3">
      <c r="A11" s="141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1" s="136" t="s">
        <v>85</v>
      </c>
      <c r="C11" s="137">
        <f>IF(ISERROR(HI!F6),"",HI!F6)</f>
        <v>0</v>
      </c>
      <c r="D11" s="137">
        <f>IF(ISERROR(HI!E6),"",HI!E6)</f>
        <v>0</v>
      </c>
      <c r="E11" s="134">
        <f t="shared" si="0"/>
        <v>0</v>
      </c>
    </row>
    <row r="12" spans="1:5" ht="14.4" customHeight="1" thickBot="1" x14ac:dyDescent="0.35">
      <c r="A12" s="142" t="str">
        <f>HYPERLINK("#HI!A1","Osobní náklady")</f>
        <v>Osobní náklady</v>
      </c>
      <c r="B12" s="136"/>
      <c r="C12" s="133">
        <f ca="1">IF(ISERROR(VLOOKUP("Osobní náklady (Kč) *",INDIRECT("HI!$A:$G"),6,0)),0,VLOOKUP("Osobní náklady (Kč) *",INDIRECT("HI!$A:$G"),6,0))</f>
        <v>1296.5702075195313</v>
      </c>
      <c r="D12" s="133">
        <f ca="1">IF(ISERROR(VLOOKUP("Osobní náklady (Kč) *",INDIRECT("HI!$A:$G"),5,0)),0,VLOOKUP("Osobní náklady (Kč) *",INDIRECT("HI!$A:$G"),5,0))</f>
        <v>1357.81701</v>
      </c>
      <c r="E12" s="134">
        <f ca="1">IF(C12=0,0,D12/C12)</f>
        <v>1.0472375519083073</v>
      </c>
    </row>
    <row r="13" spans="1:5" ht="14.4" customHeight="1" thickBot="1" x14ac:dyDescent="0.35">
      <c r="A13" s="146"/>
      <c r="B13" s="147"/>
      <c r="C13" s="148"/>
      <c r="D13" s="148"/>
      <c r="E13" s="149"/>
    </row>
    <row r="14" spans="1:5" ht="14.4" customHeight="1" thickBot="1" x14ac:dyDescent="0.35">
      <c r="A14" s="150" t="str">
        <f>HYPERLINK("#HI!A1","VÝNOSY CELKEM (v tisících)")</f>
        <v>VÝNOSY CELKEM (v tisících)</v>
      </c>
      <c r="B14" s="151"/>
      <c r="C14" s="152">
        <f ca="1">IF(ISERROR(VLOOKUP("Výnosy celkem",INDIRECT("HI!$A:$G"),6,0)),0,VLOOKUP("Výnosy celkem",INDIRECT("HI!$A:$G"),6,0))</f>
        <v>284.52231999999998</v>
      </c>
      <c r="D14" s="152">
        <f ca="1">IF(ISERROR(VLOOKUP("Výnosy celkem",INDIRECT("HI!$A:$G"),5,0)),0,VLOOKUP("Výnosy celkem",INDIRECT("HI!$A:$G"),5,0))</f>
        <v>461.02665999999999</v>
      </c>
      <c r="E14" s="153">
        <f t="shared" ref="E14:E19" ca="1" si="1">IF(C14=0,0,D14/C14)</f>
        <v>1.6203532292299601</v>
      </c>
    </row>
    <row r="15" spans="1:5" ht="14.4" customHeight="1" x14ac:dyDescent="0.3">
      <c r="A15" s="154" t="str">
        <f>HYPERLINK("#HI!A1","Ambulance (body za výkony + Kč za ZUM a ZULP)")</f>
        <v>Ambulance (body za výkony + Kč za ZUM a ZULP)</v>
      </c>
      <c r="B15" s="132"/>
      <c r="C15" s="133">
        <f ca="1">IF(ISERROR(VLOOKUP("Ambulance *",INDIRECT("HI!$A:$G"),6,0)),0,VLOOKUP("Ambulance *",INDIRECT("HI!$A:$G"),6,0))</f>
        <v>284.52231999999998</v>
      </c>
      <c r="D15" s="133">
        <f ca="1">IF(ISERROR(VLOOKUP("Ambulance *",INDIRECT("HI!$A:$G"),5,0)),0,VLOOKUP("Ambulance *",INDIRECT("HI!$A:$G"),5,0))</f>
        <v>461.02665999999999</v>
      </c>
      <c r="E15" s="134">
        <f t="shared" ca="1" si="1"/>
        <v>1.6203532292299601</v>
      </c>
    </row>
    <row r="16" spans="1:5" ht="14.4" customHeight="1" x14ac:dyDescent="0.3">
      <c r="A16" s="202" t="str">
        <f>HYPERLINK("#'ZV Vykáz.-A'!A1","Zdravotní výkony vykázané u ambulantních pacientů (min. 100 % 2016)")</f>
        <v>Zdravotní výkony vykázané u ambulantních pacientů (min. 100 % 2016)</v>
      </c>
      <c r="B16" s="203" t="s">
        <v>91</v>
      </c>
      <c r="C16" s="138">
        <v>1</v>
      </c>
      <c r="D16" s="138">
        <f>IF(ISERROR(VLOOKUP("Celkem:",'ZV Vykáz.-A'!$A:$AB,10,0)),"",VLOOKUP("Celkem:",'ZV Vykáz.-A'!$A:$AB,10,0))</f>
        <v>1.6203532292299598</v>
      </c>
      <c r="E16" s="134">
        <f t="shared" si="1"/>
        <v>1.6203532292299598</v>
      </c>
    </row>
    <row r="17" spans="1:5" ht="14.4" customHeight="1" x14ac:dyDescent="0.3">
      <c r="A17" s="201" t="str">
        <f>HYPERLINK("#'ZV Vykáz.-A'!A1","Specializovaná ambulantní péče")</f>
        <v>Specializovaná ambulantní péče</v>
      </c>
      <c r="B17" s="203" t="s">
        <v>91</v>
      </c>
      <c r="C17" s="138">
        <v>1</v>
      </c>
      <c r="D17" s="195">
        <f>IF(ISERROR(VLOOKUP("Specializovaná ambulantní péče",'ZV Vykáz.-A'!$A:$AB,10,0)),"",VLOOKUP("Specializovaná ambulantní péče",'ZV Vykáz.-A'!$A:$AB,10,0))</f>
        <v>1.6203532292299598</v>
      </c>
      <c r="E17" s="134">
        <f t="shared" si="1"/>
        <v>1.6203532292299598</v>
      </c>
    </row>
    <row r="18" spans="1:5" ht="14.4" customHeight="1" x14ac:dyDescent="0.3">
      <c r="A18" s="201" t="str">
        <f>HYPERLINK("#'ZV Vykáz.-A'!A1","Ambulantní péče ve vyjmenovaných odbornostech (§9)")</f>
        <v>Ambulantní péče ve vyjmenovaných odbornostech (§9)</v>
      </c>
      <c r="B18" s="203" t="s">
        <v>91</v>
      </c>
      <c r="C18" s="138">
        <v>1</v>
      </c>
      <c r="D18" s="195" t="str">
        <f>IF(ISERROR(VLOOKUP("Ambulantní péče ve vyjmenovaných odbornostech (§9) *",'ZV Vykáz.-A'!$A:$AB,10,0)),"",VLOOKUP("Ambulantní péče ve vyjmenovaných odbornostech (§9) *",'ZV Vykáz.-A'!$A:$AB,10,0))</f>
        <v/>
      </c>
      <c r="E18" s="134">
        <f>IF(OR(C18=0,D18=""),0,IF(C18="","",D18/C18))</f>
        <v>0</v>
      </c>
    </row>
    <row r="19" spans="1:5" ht="14.4" customHeight="1" x14ac:dyDescent="0.3">
      <c r="A19" s="155" t="str">
        <f>HYPERLINK("#'ZV Vykáz.-H'!A1","Zdravotní výkony vykázané u hospitalizovaných pacientů (max. 85 %)")</f>
        <v>Zdravotní výkony vykázané u hospitalizovaných pacientů (max. 85 %)</v>
      </c>
      <c r="B19" s="203" t="s">
        <v>93</v>
      </c>
      <c r="C19" s="138">
        <v>0.85</v>
      </c>
      <c r="D19" s="138">
        <f>IF(ISERROR(VLOOKUP("Celkem:",'ZV Vykáz.-H'!$A:$S,7,0)),"",VLOOKUP("Celkem:",'ZV Vykáz.-H'!$A:$S,7,0))</f>
        <v>1.2604946002153858</v>
      </c>
      <c r="E19" s="134">
        <f t="shared" si="1"/>
        <v>1.4829348237828068</v>
      </c>
    </row>
    <row r="20" spans="1:5" ht="14.4" customHeight="1" x14ac:dyDescent="0.3">
      <c r="A20" s="156" t="str">
        <f>HYPERLINK("#HI!A1","Hospitalizace (casemix * 30000)")</f>
        <v>Hospitalizace (casemix * 30000)</v>
      </c>
      <c r="B20" s="136"/>
      <c r="C20" s="133">
        <f ca="1">IF(ISERROR(VLOOKUP("Hospitalizace *",INDIRECT("HI!$A:$G"),6,0)),0,VLOOKUP("Hospitalizace *",INDIRECT("HI!$A:$G"),6,0))</f>
        <v>0</v>
      </c>
      <c r="D20" s="133">
        <f ca="1">IF(ISERROR(VLOOKUP("Hospitalizace *",INDIRECT("HI!$A:$G"),5,0)),0,VLOOKUP("Hospitalizace *",INDIRECT("HI!$A:$G"),5,0))</f>
        <v>0</v>
      </c>
      <c r="E20" s="134">
        <f ca="1">IF(C20=0,0,D20/C20)</f>
        <v>0</v>
      </c>
    </row>
    <row r="21" spans="1:5" ht="14.4" customHeight="1" thickBot="1" x14ac:dyDescent="0.35">
      <c r="A21" s="157" t="s">
        <v>104</v>
      </c>
      <c r="B21" s="143"/>
      <c r="C21" s="144"/>
      <c r="D21" s="144"/>
      <c r="E21" s="145"/>
    </row>
    <row r="22" spans="1:5" ht="14.4" customHeight="1" thickBot="1" x14ac:dyDescent="0.35">
      <c r="A22" s="158"/>
      <c r="B22" s="159"/>
      <c r="C22" s="160"/>
      <c r="D22" s="160"/>
      <c r="E22" s="161"/>
    </row>
    <row r="23" spans="1:5" ht="14.4" customHeight="1" thickBot="1" x14ac:dyDescent="0.35">
      <c r="A23" s="162" t="s">
        <v>105</v>
      </c>
      <c r="B23" s="163"/>
      <c r="C23" s="164"/>
      <c r="D23" s="164"/>
      <c r="E23" s="165"/>
    </row>
  </sheetData>
  <mergeCells count="1">
    <mergeCell ref="A1:E1"/>
  </mergeCells>
  <conditionalFormatting sqref="E5">
    <cfRule type="cellIs" dxfId="18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0">
    <cfRule type="cellIs" dxfId="17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2">
    <cfRule type="cellIs" dxfId="16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5">
    <cfRule type="cellIs" dxfId="15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20">
    <cfRule type="cellIs" dxfId="14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13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4 E16:E17">
    <cfRule type="cellIs" dxfId="12" priority="48" operator="lessThan">
      <formula>1</formula>
    </cfRule>
    <cfRule type="iconSet" priority="49">
      <iconSet iconSet="3Symbols2">
        <cfvo type="percent" val="0"/>
        <cfvo type="num" val="1"/>
        <cfvo type="num" val="1"/>
      </iconSet>
    </cfRule>
  </conditionalFormatting>
  <conditionalFormatting sqref="E4 E7 E11 E18:E19">
    <cfRule type="cellIs" dxfId="11" priority="54" operator="greaterThan">
      <formula>1</formula>
    </cfRule>
    <cfRule type="iconSet" priority="5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E16:E17 E19" evalError="1"/>
    <ignoredError sqref="E18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RowHeight="14.4" customHeight="1" outlineLevelCol="1" x14ac:dyDescent="0.3"/>
  <cols>
    <col min="1" max="1" width="34.21875" style="101" bestFit="1" customWidth="1"/>
    <col min="2" max="2" width="9.5546875" style="101" hidden="1" customWidth="1" outlineLevel="1"/>
    <col min="3" max="3" width="9.5546875" style="101" customWidth="1" collapsed="1"/>
    <col min="4" max="4" width="2.21875" style="101" customWidth="1"/>
    <col min="5" max="8" width="9.5546875" style="101" customWidth="1"/>
    <col min="9" max="10" width="9.77734375" style="101" hidden="1" customWidth="1" outlineLevel="1"/>
    <col min="11" max="11" width="8.88671875" style="101" collapsed="1"/>
    <col min="12" max="16384" width="8.88671875" style="101"/>
  </cols>
  <sheetData>
    <row r="1" spans="1:10" ht="18.600000000000001" customHeight="1" thickBot="1" x14ac:dyDescent="0.4">
      <c r="A1" s="274" t="s">
        <v>98</v>
      </c>
      <c r="B1" s="274"/>
      <c r="C1" s="274"/>
      <c r="D1" s="274"/>
      <c r="E1" s="274"/>
      <c r="F1" s="274"/>
      <c r="G1" s="274"/>
      <c r="H1" s="274"/>
      <c r="I1" s="274"/>
      <c r="J1" s="274"/>
    </row>
    <row r="2" spans="1:10" ht="14.4" customHeight="1" thickBot="1" x14ac:dyDescent="0.35">
      <c r="A2" s="189" t="s">
        <v>202</v>
      </c>
      <c r="B2" s="83"/>
      <c r="C2" s="83"/>
      <c r="D2" s="83"/>
      <c r="E2" s="83"/>
      <c r="F2" s="83"/>
    </row>
    <row r="3" spans="1:10" ht="14.4" customHeight="1" x14ac:dyDescent="0.3">
      <c r="A3" s="265"/>
      <c r="B3" s="79">
        <v>2015</v>
      </c>
      <c r="C3" s="40">
        <v>2018</v>
      </c>
      <c r="D3" s="7"/>
      <c r="E3" s="269">
        <v>2019</v>
      </c>
      <c r="F3" s="270"/>
      <c r="G3" s="270"/>
      <c r="H3" s="271"/>
      <c r="I3" s="272">
        <v>2017</v>
      </c>
      <c r="J3" s="273"/>
    </row>
    <row r="4" spans="1:10" ht="14.4" customHeight="1" thickBot="1" x14ac:dyDescent="0.35">
      <c r="A4" s="266"/>
      <c r="B4" s="267" t="s">
        <v>47</v>
      </c>
      <c r="C4" s="268"/>
      <c r="D4" s="7"/>
      <c r="E4" s="100" t="s">
        <v>47</v>
      </c>
      <c r="F4" s="81" t="s">
        <v>48</v>
      </c>
      <c r="G4" s="81" t="s">
        <v>42</v>
      </c>
      <c r="H4" s="82" t="s">
        <v>49</v>
      </c>
      <c r="I4" s="206" t="s">
        <v>147</v>
      </c>
      <c r="J4" s="207" t="s">
        <v>148</v>
      </c>
    </row>
    <row r="5" spans="1:10" ht="14.4" customHeight="1" x14ac:dyDescent="0.3">
      <c r="A5" s="84" t="str">
        <f>HYPERLINK("#'Léky Žádanky'!A1","Léky (Kč)")</f>
        <v>Léky (Kč)</v>
      </c>
      <c r="B5" s="27">
        <v>0</v>
      </c>
      <c r="C5" s="29">
        <v>0</v>
      </c>
      <c r="D5" s="8"/>
      <c r="E5" s="89">
        <v>0</v>
      </c>
      <c r="F5" s="28">
        <v>0</v>
      </c>
      <c r="G5" s="88">
        <f>E5-F5</f>
        <v>0</v>
      </c>
      <c r="H5" s="94" t="str">
        <f>IF(F5&lt;0.00000001,"",E5/F5)</f>
        <v/>
      </c>
    </row>
    <row r="6" spans="1:10" ht="14.4" customHeight="1" x14ac:dyDescent="0.3">
      <c r="A6" s="84" t="str">
        <f>HYPERLINK("#'Materiál Žádanky'!A1","Materiál - SZM (Kč)")</f>
        <v>Materiál - SZM (Kč)</v>
      </c>
      <c r="B6" s="10">
        <v>0</v>
      </c>
      <c r="C6" s="31">
        <v>0</v>
      </c>
      <c r="D6" s="8"/>
      <c r="E6" s="90">
        <v>0</v>
      </c>
      <c r="F6" s="30">
        <v>0</v>
      </c>
      <c r="G6" s="91">
        <f>E6-F6</f>
        <v>0</v>
      </c>
      <c r="H6" s="95" t="str">
        <f>IF(F6&lt;0.00000001,"",E6/F6)</f>
        <v/>
      </c>
    </row>
    <row r="7" spans="1:10" ht="14.4" customHeight="1" x14ac:dyDescent="0.3">
      <c r="A7" s="84" t="str">
        <f>HYPERLINK("#'Osobní náklady'!A1","Osobní náklady (Kč) *")</f>
        <v>Osobní náklady (Kč) *</v>
      </c>
      <c r="B7" s="10">
        <v>1185.9989599999999</v>
      </c>
      <c r="C7" s="31">
        <v>1286.8529599999999</v>
      </c>
      <c r="D7" s="8"/>
      <c r="E7" s="90">
        <v>1357.81701</v>
      </c>
      <c r="F7" s="30">
        <v>1296.5702075195313</v>
      </c>
      <c r="G7" s="91">
        <f>E7-F7</f>
        <v>61.246802480468659</v>
      </c>
      <c r="H7" s="95">
        <f>IF(F7&lt;0.00000001,"",E7/F7)</f>
        <v>1.0472375519083073</v>
      </c>
    </row>
    <row r="8" spans="1:10" ht="14.4" customHeight="1" thickBot="1" x14ac:dyDescent="0.35">
      <c r="A8" s="1" t="s">
        <v>50</v>
      </c>
      <c r="B8" s="11">
        <v>81.752930000000333</v>
      </c>
      <c r="C8" s="33">
        <v>93.120870000000195</v>
      </c>
      <c r="D8" s="8"/>
      <c r="E8" s="92">
        <v>88.374229999999898</v>
      </c>
      <c r="F8" s="32">
        <v>80.602498353481224</v>
      </c>
      <c r="G8" s="93">
        <f>E8-F8</f>
        <v>7.7717316465186741</v>
      </c>
      <c r="H8" s="96">
        <f>IF(F8&lt;0.00000001,"",E8/F8)</f>
        <v>1.0964204808197862</v>
      </c>
    </row>
    <row r="9" spans="1:10" ht="14.4" customHeight="1" thickBot="1" x14ac:dyDescent="0.35">
      <c r="A9" s="2" t="s">
        <v>51</v>
      </c>
      <c r="B9" s="3">
        <v>1267.7518900000002</v>
      </c>
      <c r="C9" s="35">
        <v>1379.9738300000001</v>
      </c>
      <c r="D9" s="8"/>
      <c r="E9" s="3">
        <v>1446.1912399999999</v>
      </c>
      <c r="F9" s="34">
        <v>1377.1727058730125</v>
      </c>
      <c r="G9" s="34">
        <f>E9-F9</f>
        <v>69.018534126987333</v>
      </c>
      <c r="H9" s="97">
        <f>IF(F9&lt;0.00000001,"",E9/F9)</f>
        <v>1.0501161065948046</v>
      </c>
    </row>
    <row r="10" spans="1:10" ht="14.4" customHeight="1" thickBot="1" x14ac:dyDescent="0.35">
      <c r="A10" s="12"/>
      <c r="B10" s="12"/>
      <c r="C10" s="80"/>
      <c r="D10" s="8"/>
      <c r="E10" s="12"/>
      <c r="F10" s="13"/>
    </row>
    <row r="11" spans="1:10" ht="14.4" customHeight="1" x14ac:dyDescent="0.3">
      <c r="A11" s="104" t="str">
        <f>HYPERLINK("#'ZV Vykáz.-A'!A1","Ambulance *")</f>
        <v>Ambulance *</v>
      </c>
      <c r="B11" s="9">
        <f>IF(ISERROR(VLOOKUP("Celkem:",'ZV Vykáz.-A'!A:H,2,0)),0,VLOOKUP("Celkem:",'ZV Vykáz.-A'!A:H,2,0)/1000)</f>
        <v>267.17599999999999</v>
      </c>
      <c r="C11" s="29">
        <f>IF(ISERROR(VLOOKUP("Celkem:",'ZV Vykáz.-A'!A:H,5,0)),0,VLOOKUP("Celkem:",'ZV Vykáz.-A'!A:H,5,0)/1000)</f>
        <v>284.52231999999998</v>
      </c>
      <c r="D11" s="8"/>
      <c r="E11" s="89">
        <f>IF(ISERROR(VLOOKUP("Celkem:",'ZV Vykáz.-A'!A:H,8,0)),0,VLOOKUP("Celkem:",'ZV Vykáz.-A'!A:H,8,0)/1000)</f>
        <v>461.02665999999999</v>
      </c>
      <c r="F11" s="28">
        <f>C11</f>
        <v>284.52231999999998</v>
      </c>
      <c r="G11" s="88">
        <f>E11-F11</f>
        <v>176.50434000000001</v>
      </c>
      <c r="H11" s="94">
        <f>IF(F11&lt;0.00000001,"",E11/F11)</f>
        <v>1.6203532292299601</v>
      </c>
      <c r="I11" s="88">
        <f>E11-B11</f>
        <v>193.85066</v>
      </c>
      <c r="J11" s="94">
        <f>IF(B11&lt;0.00000001,"",E11/B11)</f>
        <v>1.725554166541905</v>
      </c>
    </row>
    <row r="12" spans="1:10" ht="14.4" customHeight="1" thickBot="1" x14ac:dyDescent="0.35">
      <c r="A12" s="105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92">
        <f>IF(ISERROR(VLOOKUP("Celkem",#REF!,4,0)),0,VLOOKUP("Celkem",#REF!,4,0)*30)</f>
        <v>0</v>
      </c>
      <c r="F12" s="32">
        <f>C12</f>
        <v>0</v>
      </c>
      <c r="G12" s="93">
        <f>E12-F12</f>
        <v>0</v>
      </c>
      <c r="H12" s="96" t="str">
        <f>IF(F12&lt;0.00000001,"",E12/F12)</f>
        <v/>
      </c>
      <c r="I12" s="93">
        <f>E12-B12</f>
        <v>0</v>
      </c>
      <c r="J12" s="96" t="str">
        <f>IF(B12&lt;0.00000001,"",E12/B12)</f>
        <v/>
      </c>
    </row>
    <row r="13" spans="1:10" ht="14.4" customHeight="1" thickBot="1" x14ac:dyDescent="0.35">
      <c r="A13" s="4" t="s">
        <v>54</v>
      </c>
      <c r="B13" s="5">
        <f>SUM(B11:B12)</f>
        <v>267.17599999999999</v>
      </c>
      <c r="C13" s="37">
        <f>SUM(C11:C12)</f>
        <v>284.52231999999998</v>
      </c>
      <c r="D13" s="8"/>
      <c r="E13" s="5">
        <f>SUM(E11:E12)</f>
        <v>461.02665999999999</v>
      </c>
      <c r="F13" s="36">
        <f>SUM(F11:F12)</f>
        <v>284.52231999999998</v>
      </c>
      <c r="G13" s="36">
        <f>E13-F13</f>
        <v>176.50434000000001</v>
      </c>
      <c r="H13" s="98">
        <f>IF(F13&lt;0.00000001,"",E13/F13)</f>
        <v>1.6203532292299601</v>
      </c>
      <c r="I13" s="36">
        <f>SUM(I11:I12)</f>
        <v>193.85066</v>
      </c>
      <c r="J13" s="98">
        <f>IF(B13&lt;0.00000001,"",E13/B13)</f>
        <v>1.725554166541905</v>
      </c>
    </row>
    <row r="14" spans="1:10" ht="14.4" customHeight="1" thickBot="1" x14ac:dyDescent="0.35">
      <c r="A14" s="12"/>
      <c r="B14" s="12"/>
      <c r="C14" s="80"/>
      <c r="D14" s="8"/>
      <c r="E14" s="12"/>
      <c r="F14" s="13"/>
    </row>
    <row r="15" spans="1:10" ht="14.4" customHeight="1" thickBot="1" x14ac:dyDescent="0.35">
      <c r="A15" s="106" t="str">
        <f>HYPERLINK("#'HI Graf'!A1","Hospodářský index (Výnosy / Náklady) *")</f>
        <v>Hospodářský index (Výnosy / Náklady) *</v>
      </c>
      <c r="B15" s="6">
        <f>IF(B9=0,"",B13/B9)</f>
        <v>0.21074786171290971</v>
      </c>
      <c r="C15" s="39">
        <f>IF(C9=0,"",C13/C9)</f>
        <v>0.20617950414320535</v>
      </c>
      <c r="D15" s="8"/>
      <c r="E15" s="6">
        <f>IF(E9=0,"",E13/E9)</f>
        <v>0.31878678783865405</v>
      </c>
      <c r="F15" s="38">
        <f>IF(F9=0,"",F13/F9)</f>
        <v>0.20659886649411671</v>
      </c>
      <c r="G15" s="38">
        <f>IF(ISERROR(F15-E15),"",E15-F15)</f>
        <v>0.11218792134453734</v>
      </c>
      <c r="H15" s="99">
        <f>IF(ISERROR(F15-E15),"",IF(F15&lt;0.00000001,"",E15/F15))</f>
        <v>1.5430229277067795</v>
      </c>
    </row>
    <row r="17" spans="1:8" ht="14.4" customHeight="1" x14ac:dyDescent="0.3">
      <c r="A17" s="85" t="s">
        <v>108</v>
      </c>
    </row>
    <row r="18" spans="1:8" ht="14.4" customHeight="1" x14ac:dyDescent="0.3">
      <c r="A18" s="192" t="s">
        <v>133</v>
      </c>
      <c r="B18" s="193"/>
      <c r="C18" s="193"/>
      <c r="D18" s="193"/>
      <c r="E18" s="193"/>
      <c r="F18" s="193"/>
      <c r="G18" s="193"/>
      <c r="H18" s="193"/>
    </row>
    <row r="19" spans="1:8" x14ac:dyDescent="0.3">
      <c r="A19" s="191" t="s">
        <v>132</v>
      </c>
      <c r="B19" s="193"/>
      <c r="C19" s="193"/>
      <c r="D19" s="193"/>
      <c r="E19" s="193"/>
      <c r="F19" s="193"/>
      <c r="G19" s="193"/>
      <c r="H19" s="193"/>
    </row>
    <row r="20" spans="1:8" ht="14.4" customHeight="1" x14ac:dyDescent="0.3">
      <c r="A20" s="86" t="s">
        <v>140</v>
      </c>
    </row>
    <row r="21" spans="1:8" ht="14.4" customHeight="1" x14ac:dyDescent="0.3">
      <c r="A21" s="86" t="s">
        <v>109</v>
      </c>
    </row>
    <row r="22" spans="1:8" ht="14.4" customHeight="1" x14ac:dyDescent="0.3">
      <c r="A22" s="87" t="s">
        <v>181</v>
      </c>
    </row>
    <row r="23" spans="1:8" ht="14.4" customHeight="1" x14ac:dyDescent="0.3">
      <c r="A23" s="87" t="s">
        <v>110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10" priority="8" operator="greaterThan">
      <formula>0</formula>
    </cfRule>
  </conditionalFormatting>
  <conditionalFormatting sqref="G11:G13 G15">
    <cfRule type="cellIs" dxfId="9" priority="7" operator="lessThan">
      <formula>0</formula>
    </cfRule>
  </conditionalFormatting>
  <conditionalFormatting sqref="H5:H9">
    <cfRule type="cellIs" dxfId="8" priority="6" operator="greaterThan">
      <formula>1</formula>
    </cfRule>
  </conditionalFormatting>
  <conditionalFormatting sqref="H11:H13 H15">
    <cfRule type="cellIs" dxfId="7" priority="5" operator="lessThan">
      <formula>1</formula>
    </cfRule>
  </conditionalFormatting>
  <conditionalFormatting sqref="I11:I13">
    <cfRule type="cellIs" dxfId="6" priority="4" operator="lessThan">
      <formula>0</formula>
    </cfRule>
  </conditionalFormatting>
  <conditionalFormatting sqref="J11:J13">
    <cfRule type="cellIs" dxfId="5" priority="3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01"/>
    <col min="2" max="13" width="8.88671875" style="101" customWidth="1"/>
    <col min="14" max="16384" width="8.88671875" style="101"/>
  </cols>
  <sheetData>
    <row r="1" spans="1:13" ht="18.600000000000001" customHeight="1" thickBot="1" x14ac:dyDescent="0.4">
      <c r="A1" s="263" t="s">
        <v>78</v>
      </c>
      <c r="B1" s="263"/>
      <c r="C1" s="263"/>
      <c r="D1" s="263"/>
      <c r="E1" s="263"/>
      <c r="F1" s="263"/>
      <c r="G1" s="263"/>
      <c r="H1" s="263"/>
      <c r="I1" s="263"/>
      <c r="J1" s="263"/>
      <c r="K1" s="263"/>
      <c r="L1" s="263"/>
      <c r="M1" s="263"/>
    </row>
    <row r="2" spans="1:13" ht="14.4" customHeight="1" x14ac:dyDescent="0.3">
      <c r="A2" s="189" t="s">
        <v>202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</row>
    <row r="3" spans="1:13" ht="14.4" customHeight="1" x14ac:dyDescent="0.3">
      <c r="A3" s="167"/>
      <c r="B3" s="168" t="s">
        <v>56</v>
      </c>
      <c r="C3" s="169" t="s">
        <v>57</v>
      </c>
      <c r="D3" s="169" t="s">
        <v>58</v>
      </c>
      <c r="E3" s="168" t="s">
        <v>59</v>
      </c>
      <c r="F3" s="169" t="s">
        <v>60</v>
      </c>
      <c r="G3" s="169" t="s">
        <v>61</v>
      </c>
      <c r="H3" s="169" t="s">
        <v>62</v>
      </c>
      <c r="I3" s="169" t="s">
        <v>63</v>
      </c>
      <c r="J3" s="169" t="s">
        <v>64</v>
      </c>
      <c r="K3" s="169" t="s">
        <v>65</v>
      </c>
      <c r="L3" s="169" t="s">
        <v>66</v>
      </c>
      <c r="M3" s="169" t="s">
        <v>67</v>
      </c>
    </row>
    <row r="4" spans="1:13" ht="14.4" customHeight="1" x14ac:dyDescent="0.3">
      <c r="A4" s="167" t="s">
        <v>55</v>
      </c>
      <c r="B4" s="170">
        <f>(B10+B8)/B6</f>
        <v>0.33123895821809163</v>
      </c>
      <c r="C4" s="170">
        <f t="shared" ref="C4:M4" si="0">(C10+C8)/C6</f>
        <v>0.30689103429246584</v>
      </c>
      <c r="D4" s="170">
        <f t="shared" si="0"/>
        <v>0.3200188698340819</v>
      </c>
      <c r="E4" s="170">
        <f t="shared" si="0"/>
        <v>0.31878676709450976</v>
      </c>
      <c r="F4" s="170">
        <f t="shared" si="0"/>
        <v>0.31878676709450976</v>
      </c>
      <c r="G4" s="170">
        <f t="shared" si="0"/>
        <v>0.31878676709450976</v>
      </c>
      <c r="H4" s="170">
        <f t="shared" si="0"/>
        <v>0.31878676709450976</v>
      </c>
      <c r="I4" s="170">
        <f t="shared" si="0"/>
        <v>0.31878676709450976</v>
      </c>
      <c r="J4" s="170">
        <f t="shared" si="0"/>
        <v>0.31878676709450976</v>
      </c>
      <c r="K4" s="170">
        <f t="shared" si="0"/>
        <v>0.31878676709450976</v>
      </c>
      <c r="L4" s="170">
        <f t="shared" si="0"/>
        <v>0.31878676709450976</v>
      </c>
      <c r="M4" s="170">
        <f t="shared" si="0"/>
        <v>0.31878676709450976</v>
      </c>
    </row>
    <row r="5" spans="1:13" ht="14.4" customHeight="1" x14ac:dyDescent="0.3">
      <c r="A5" s="171" t="s">
        <v>28</v>
      </c>
      <c r="B5" s="170">
        <f>IF(ISERROR(VLOOKUP($A5,'Man Tab'!$A:$Q,COLUMN()+2,0)),0,VLOOKUP($A5,'Man Tab'!$A:$Q,COLUMN()+2,0))</f>
        <v>373.81874000000101</v>
      </c>
      <c r="C5" s="170">
        <f>IF(ISERROR(VLOOKUP($A5,'Man Tab'!$A:$Q,COLUMN()+2,0)),0,VLOOKUP($A5,'Man Tab'!$A:$Q,COLUMN()+2,0))</f>
        <v>359.71846000000102</v>
      </c>
      <c r="D5" s="170">
        <f>IF(ISERROR(VLOOKUP($A5,'Man Tab'!$A:$Q,COLUMN()+2,0)),0,VLOOKUP($A5,'Man Tab'!$A:$Q,COLUMN()+2,0))</f>
        <v>356.41408999999902</v>
      </c>
      <c r="E5" s="170">
        <f>IF(ISERROR(VLOOKUP($A5,'Man Tab'!$A:$Q,COLUMN()+2,0)),0,VLOOKUP($A5,'Man Tab'!$A:$Q,COLUMN()+2,0))</f>
        <v>356.23994999999798</v>
      </c>
      <c r="F5" s="170">
        <f>IF(ISERROR(VLOOKUP($A5,'Man Tab'!$A:$Q,COLUMN()+2,0)),0,VLOOKUP($A5,'Man Tab'!$A:$Q,COLUMN()+2,0))</f>
        <v>0</v>
      </c>
      <c r="G5" s="170">
        <f>IF(ISERROR(VLOOKUP($A5,'Man Tab'!$A:$Q,COLUMN()+2,0)),0,VLOOKUP($A5,'Man Tab'!$A:$Q,COLUMN()+2,0))</f>
        <v>0</v>
      </c>
      <c r="H5" s="170">
        <f>IF(ISERROR(VLOOKUP($A5,'Man Tab'!$A:$Q,COLUMN()+2,0)),0,VLOOKUP($A5,'Man Tab'!$A:$Q,COLUMN()+2,0))</f>
        <v>0</v>
      </c>
      <c r="I5" s="170">
        <f>IF(ISERROR(VLOOKUP($A5,'Man Tab'!$A:$Q,COLUMN()+2,0)),0,VLOOKUP($A5,'Man Tab'!$A:$Q,COLUMN()+2,0))</f>
        <v>0</v>
      </c>
      <c r="J5" s="170">
        <f>IF(ISERROR(VLOOKUP($A5,'Man Tab'!$A:$Q,COLUMN()+2,0)),0,VLOOKUP($A5,'Man Tab'!$A:$Q,COLUMN()+2,0))</f>
        <v>0</v>
      </c>
      <c r="K5" s="170">
        <f>IF(ISERROR(VLOOKUP($A5,'Man Tab'!$A:$Q,COLUMN()+2,0)),0,VLOOKUP($A5,'Man Tab'!$A:$Q,COLUMN()+2,0))</f>
        <v>0</v>
      </c>
      <c r="L5" s="170">
        <f>IF(ISERROR(VLOOKUP($A5,'Man Tab'!$A:$Q,COLUMN()+2,0)),0,VLOOKUP($A5,'Man Tab'!$A:$Q,COLUMN()+2,0))</f>
        <v>0</v>
      </c>
      <c r="M5" s="170">
        <f>IF(ISERROR(VLOOKUP($A5,'Man Tab'!$A:$Q,COLUMN()+2,0)),0,VLOOKUP($A5,'Man Tab'!$A:$Q,COLUMN()+2,0))</f>
        <v>0</v>
      </c>
    </row>
    <row r="6" spans="1:13" ht="14.4" customHeight="1" x14ac:dyDescent="0.3">
      <c r="A6" s="171" t="s">
        <v>51</v>
      </c>
      <c r="B6" s="172">
        <f>B5</f>
        <v>373.81874000000101</v>
      </c>
      <c r="C6" s="172">
        <f t="shared" ref="C6:M6" si="1">C5+B6</f>
        <v>733.53720000000203</v>
      </c>
      <c r="D6" s="172">
        <f t="shared" si="1"/>
        <v>1089.9512900000011</v>
      </c>
      <c r="E6" s="172">
        <f t="shared" si="1"/>
        <v>1446.1912399999992</v>
      </c>
      <c r="F6" s="172">
        <f t="shared" si="1"/>
        <v>1446.1912399999992</v>
      </c>
      <c r="G6" s="172">
        <f t="shared" si="1"/>
        <v>1446.1912399999992</v>
      </c>
      <c r="H6" s="172">
        <f t="shared" si="1"/>
        <v>1446.1912399999992</v>
      </c>
      <c r="I6" s="172">
        <f t="shared" si="1"/>
        <v>1446.1912399999992</v>
      </c>
      <c r="J6" s="172">
        <f t="shared" si="1"/>
        <v>1446.1912399999992</v>
      </c>
      <c r="K6" s="172">
        <f t="shared" si="1"/>
        <v>1446.1912399999992</v>
      </c>
      <c r="L6" s="172">
        <f t="shared" si="1"/>
        <v>1446.1912399999992</v>
      </c>
      <c r="M6" s="172">
        <f t="shared" si="1"/>
        <v>1446.1912399999992</v>
      </c>
    </row>
    <row r="7" spans="1:13" ht="14.4" customHeight="1" x14ac:dyDescent="0.3">
      <c r="A7" s="171" t="s">
        <v>76</v>
      </c>
      <c r="B7" s="171"/>
      <c r="C7" s="171"/>
      <c r="D7" s="171"/>
      <c r="E7" s="171"/>
      <c r="F7" s="171"/>
      <c r="G7" s="171"/>
      <c r="H7" s="171"/>
      <c r="I7" s="171"/>
      <c r="J7" s="171"/>
      <c r="K7" s="171"/>
      <c r="L7" s="171"/>
      <c r="M7" s="171"/>
    </row>
    <row r="8" spans="1:13" ht="14.4" customHeight="1" x14ac:dyDescent="0.3">
      <c r="A8" s="171" t="s">
        <v>52</v>
      </c>
      <c r="B8" s="172">
        <f>B7*30</f>
        <v>0</v>
      </c>
      <c r="C8" s="172">
        <f t="shared" ref="C8:M8" si="2">C7*30</f>
        <v>0</v>
      </c>
      <c r="D8" s="172">
        <f t="shared" si="2"/>
        <v>0</v>
      </c>
      <c r="E8" s="172">
        <f t="shared" si="2"/>
        <v>0</v>
      </c>
      <c r="F8" s="172">
        <f t="shared" si="2"/>
        <v>0</v>
      </c>
      <c r="G8" s="172">
        <f t="shared" si="2"/>
        <v>0</v>
      </c>
      <c r="H8" s="172">
        <f t="shared" si="2"/>
        <v>0</v>
      </c>
      <c r="I8" s="172">
        <f t="shared" si="2"/>
        <v>0</v>
      </c>
      <c r="J8" s="172">
        <f t="shared" si="2"/>
        <v>0</v>
      </c>
      <c r="K8" s="172">
        <f t="shared" si="2"/>
        <v>0</v>
      </c>
      <c r="L8" s="172">
        <f t="shared" si="2"/>
        <v>0</v>
      </c>
      <c r="M8" s="172">
        <f t="shared" si="2"/>
        <v>0</v>
      </c>
    </row>
    <row r="9" spans="1:13" ht="14.4" customHeight="1" x14ac:dyDescent="0.3">
      <c r="A9" s="171" t="s">
        <v>77</v>
      </c>
      <c r="B9" s="171">
        <v>123823.33</v>
      </c>
      <c r="C9" s="171">
        <v>101292.66</v>
      </c>
      <c r="D9" s="171">
        <v>123688.99</v>
      </c>
      <c r="E9" s="171">
        <v>112221.65000000001</v>
      </c>
      <c r="F9" s="171">
        <v>0</v>
      </c>
      <c r="G9" s="171">
        <v>0</v>
      </c>
      <c r="H9" s="171">
        <v>0</v>
      </c>
      <c r="I9" s="171">
        <v>0</v>
      </c>
      <c r="J9" s="171">
        <v>0</v>
      </c>
      <c r="K9" s="171">
        <v>0</v>
      </c>
      <c r="L9" s="171">
        <v>0</v>
      </c>
      <c r="M9" s="171">
        <v>0</v>
      </c>
    </row>
    <row r="10" spans="1:13" ht="14.4" customHeight="1" x14ac:dyDescent="0.3">
      <c r="A10" s="171" t="s">
        <v>53</v>
      </c>
      <c r="B10" s="172">
        <f>B9/1000</f>
        <v>123.82333</v>
      </c>
      <c r="C10" s="172">
        <f t="shared" ref="C10:M10" si="3">C9/1000+B10</f>
        <v>225.11599000000001</v>
      </c>
      <c r="D10" s="172">
        <f t="shared" si="3"/>
        <v>348.80498</v>
      </c>
      <c r="E10" s="172">
        <f t="shared" si="3"/>
        <v>461.02663000000001</v>
      </c>
      <c r="F10" s="172">
        <f t="shared" si="3"/>
        <v>461.02663000000001</v>
      </c>
      <c r="G10" s="172">
        <f t="shared" si="3"/>
        <v>461.02663000000001</v>
      </c>
      <c r="H10" s="172">
        <f t="shared" si="3"/>
        <v>461.02663000000001</v>
      </c>
      <c r="I10" s="172">
        <f t="shared" si="3"/>
        <v>461.02663000000001</v>
      </c>
      <c r="J10" s="172">
        <f t="shared" si="3"/>
        <v>461.02663000000001</v>
      </c>
      <c r="K10" s="172">
        <f t="shared" si="3"/>
        <v>461.02663000000001</v>
      </c>
      <c r="L10" s="172">
        <f t="shared" si="3"/>
        <v>461.02663000000001</v>
      </c>
      <c r="M10" s="172">
        <f t="shared" si="3"/>
        <v>461.02663000000001</v>
      </c>
    </row>
    <row r="11" spans="1:13" ht="14.4" customHeight="1" x14ac:dyDescent="0.3">
      <c r="A11" s="167"/>
      <c r="B11" s="167" t="s">
        <v>68</v>
      </c>
      <c r="C11" s="167">
        <f ca="1">IF(MONTH(TODAY())=1,12,MONTH(TODAY())-1)</f>
        <v>4</v>
      </c>
      <c r="D11" s="167"/>
      <c r="E11" s="167"/>
      <c r="F11" s="167"/>
      <c r="G11" s="167"/>
      <c r="H11" s="167"/>
      <c r="I11" s="167"/>
      <c r="J11" s="167"/>
      <c r="K11" s="167"/>
      <c r="L11" s="167"/>
      <c r="M11" s="167"/>
    </row>
    <row r="12" spans="1:13" ht="14.4" customHeight="1" x14ac:dyDescent="0.3">
      <c r="A12" s="167">
        <v>0</v>
      </c>
      <c r="B12" s="170">
        <f>IF(ISERROR(HI!F15),#REF!,HI!F15)</f>
        <v>0.20659886649411671</v>
      </c>
      <c r="C12" s="167"/>
      <c r="D12" s="167"/>
      <c r="E12" s="167"/>
      <c r="F12" s="167"/>
      <c r="G12" s="167"/>
      <c r="H12" s="167"/>
      <c r="I12" s="167"/>
      <c r="J12" s="167"/>
      <c r="K12" s="167"/>
      <c r="L12" s="167"/>
      <c r="M12" s="167"/>
    </row>
    <row r="13" spans="1:13" ht="14.4" customHeight="1" x14ac:dyDescent="0.3">
      <c r="A13" s="167">
        <v>1</v>
      </c>
      <c r="B13" s="170">
        <f>IF(ISERROR(HI!F15),#REF!,HI!F15)</f>
        <v>0.20659886649411671</v>
      </c>
      <c r="C13" s="167"/>
      <c r="D13" s="167"/>
      <c r="E13" s="167"/>
      <c r="F13" s="167"/>
      <c r="G13" s="167"/>
      <c r="H13" s="167"/>
      <c r="I13" s="167"/>
      <c r="J13" s="167"/>
      <c r="K13" s="167"/>
      <c r="L13" s="167"/>
      <c r="M13" s="167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01" bestFit="1" customWidth="1"/>
    <col min="2" max="2" width="12.77734375" style="101" bestFit="1" customWidth="1"/>
    <col min="3" max="3" width="13.6640625" style="101" bestFit="1" customWidth="1"/>
    <col min="4" max="15" width="7.77734375" style="101" bestFit="1" customWidth="1"/>
    <col min="16" max="16" width="8.88671875" style="101" customWidth="1"/>
    <col min="17" max="17" width="6.6640625" style="101" bestFit="1" customWidth="1"/>
    <col min="18" max="16384" width="8.88671875" style="101"/>
  </cols>
  <sheetData>
    <row r="1" spans="1:17" s="173" customFormat="1" ht="18.600000000000001" customHeight="1" thickBot="1" x14ac:dyDescent="0.4">
      <c r="A1" s="275" t="s">
        <v>204</v>
      </c>
      <c r="B1" s="275"/>
      <c r="C1" s="275"/>
      <c r="D1" s="275"/>
      <c r="E1" s="275"/>
      <c r="F1" s="275"/>
      <c r="G1" s="275"/>
      <c r="H1" s="263"/>
      <c r="I1" s="263"/>
      <c r="J1" s="263"/>
      <c r="K1" s="263"/>
      <c r="L1" s="263"/>
      <c r="M1" s="263"/>
      <c r="N1" s="263"/>
      <c r="O1" s="263"/>
      <c r="P1" s="263"/>
      <c r="Q1" s="263"/>
    </row>
    <row r="2" spans="1:17" s="173" customFormat="1" ht="14.4" customHeight="1" thickBot="1" x14ac:dyDescent="0.3">
      <c r="A2" s="189" t="s">
        <v>202</v>
      </c>
      <c r="B2" s="174"/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74"/>
      <c r="Q2" s="174"/>
    </row>
    <row r="3" spans="1:17" ht="14.4" customHeight="1" x14ac:dyDescent="0.3">
      <c r="A3" s="59"/>
      <c r="B3" s="276" t="s">
        <v>4</v>
      </c>
      <c r="C3" s="277"/>
      <c r="D3" s="277"/>
      <c r="E3" s="277"/>
      <c r="F3" s="277"/>
      <c r="G3" s="277"/>
      <c r="H3" s="277"/>
      <c r="I3" s="277"/>
      <c r="J3" s="277"/>
      <c r="K3" s="277"/>
      <c r="L3" s="277"/>
      <c r="M3" s="277"/>
      <c r="N3" s="277"/>
      <c r="O3" s="277"/>
      <c r="P3" s="109"/>
      <c r="Q3" s="111"/>
    </row>
    <row r="4" spans="1:17" ht="14.4" customHeight="1" x14ac:dyDescent="0.3">
      <c r="A4" s="60"/>
      <c r="B4" s="20">
        <v>2019</v>
      </c>
      <c r="C4" s="110" t="s">
        <v>5</v>
      </c>
      <c r="D4" s="200" t="s">
        <v>182</v>
      </c>
      <c r="E4" s="200" t="s">
        <v>183</v>
      </c>
      <c r="F4" s="200" t="s">
        <v>184</v>
      </c>
      <c r="G4" s="200" t="s">
        <v>185</v>
      </c>
      <c r="H4" s="200" t="s">
        <v>186</v>
      </c>
      <c r="I4" s="200" t="s">
        <v>187</v>
      </c>
      <c r="J4" s="200" t="s">
        <v>188</v>
      </c>
      <c r="K4" s="200" t="s">
        <v>189</v>
      </c>
      <c r="L4" s="200" t="s">
        <v>190</v>
      </c>
      <c r="M4" s="200" t="s">
        <v>191</v>
      </c>
      <c r="N4" s="200" t="s">
        <v>192</v>
      </c>
      <c r="O4" s="200" t="s">
        <v>193</v>
      </c>
      <c r="P4" s="278" t="s">
        <v>2</v>
      </c>
      <c r="Q4" s="279"/>
    </row>
    <row r="5" spans="1:17" ht="14.4" customHeight="1" thickBot="1" x14ac:dyDescent="0.35">
      <c r="A5" s="61"/>
      <c r="B5" s="21" t="s">
        <v>6</v>
      </c>
      <c r="C5" s="22" t="s">
        <v>6</v>
      </c>
      <c r="D5" s="22" t="s">
        <v>7</v>
      </c>
      <c r="E5" s="22" t="s">
        <v>7</v>
      </c>
      <c r="F5" s="22" t="s">
        <v>7</v>
      </c>
      <c r="G5" s="22" t="s">
        <v>7</v>
      </c>
      <c r="H5" s="22" t="s">
        <v>7</v>
      </c>
      <c r="I5" s="22" t="s">
        <v>7</v>
      </c>
      <c r="J5" s="22" t="s">
        <v>7</v>
      </c>
      <c r="K5" s="22" t="s">
        <v>7</v>
      </c>
      <c r="L5" s="22" t="s">
        <v>7</v>
      </c>
      <c r="M5" s="22" t="s">
        <v>7</v>
      </c>
      <c r="N5" s="22" t="s">
        <v>7</v>
      </c>
      <c r="O5" s="22" t="s">
        <v>7</v>
      </c>
      <c r="P5" s="22" t="s">
        <v>7</v>
      </c>
      <c r="Q5" s="23" t="s">
        <v>8</v>
      </c>
    </row>
    <row r="6" spans="1:17" ht="14.4" customHeight="1" x14ac:dyDescent="0.3">
      <c r="A6" s="14" t="s">
        <v>9</v>
      </c>
      <c r="B6" s="43">
        <v>0</v>
      </c>
      <c r="C6" s="44">
        <v>0</v>
      </c>
      <c r="D6" s="44">
        <v>0</v>
      </c>
      <c r="E6" s="44">
        <v>0</v>
      </c>
      <c r="F6" s="44">
        <v>0</v>
      </c>
      <c r="G6" s="44">
        <v>0</v>
      </c>
      <c r="H6" s="44">
        <v>0</v>
      </c>
      <c r="I6" s="44">
        <v>0</v>
      </c>
      <c r="J6" s="44">
        <v>0</v>
      </c>
      <c r="K6" s="44">
        <v>0</v>
      </c>
      <c r="L6" s="44">
        <v>0</v>
      </c>
      <c r="M6" s="44">
        <v>0</v>
      </c>
      <c r="N6" s="44">
        <v>0</v>
      </c>
      <c r="O6" s="44">
        <v>0</v>
      </c>
      <c r="P6" s="45">
        <v>0</v>
      </c>
      <c r="Q6" s="69" t="s">
        <v>203</v>
      </c>
    </row>
    <row r="7" spans="1:17" ht="14.4" customHeight="1" x14ac:dyDescent="0.3">
      <c r="A7" s="15" t="s">
        <v>10</v>
      </c>
      <c r="B7" s="46">
        <v>0</v>
      </c>
      <c r="C7" s="47">
        <v>0</v>
      </c>
      <c r="D7" s="47">
        <v>0</v>
      </c>
      <c r="E7" s="47">
        <v>0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v>0</v>
      </c>
      <c r="O7" s="47">
        <v>0</v>
      </c>
      <c r="P7" s="48">
        <v>0</v>
      </c>
      <c r="Q7" s="70" t="s">
        <v>203</v>
      </c>
    </row>
    <row r="8" spans="1:17" ht="14.4" customHeight="1" x14ac:dyDescent="0.3">
      <c r="A8" s="15" t="s">
        <v>11</v>
      </c>
      <c r="B8" s="46">
        <v>0</v>
      </c>
      <c r="C8" s="47">
        <v>0</v>
      </c>
      <c r="D8" s="47">
        <v>0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v>0</v>
      </c>
      <c r="P8" s="48">
        <v>0</v>
      </c>
      <c r="Q8" s="70" t="s">
        <v>203</v>
      </c>
    </row>
    <row r="9" spans="1:17" ht="14.4" customHeight="1" x14ac:dyDescent="0.3">
      <c r="A9" s="15" t="s">
        <v>12</v>
      </c>
      <c r="B9" s="46">
        <v>0</v>
      </c>
      <c r="C9" s="47">
        <v>0</v>
      </c>
      <c r="D9" s="47">
        <v>0</v>
      </c>
      <c r="E9" s="47">
        <v>0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v>0</v>
      </c>
      <c r="O9" s="47">
        <v>0</v>
      </c>
      <c r="P9" s="48">
        <v>0</v>
      </c>
      <c r="Q9" s="70" t="s">
        <v>203</v>
      </c>
    </row>
    <row r="10" spans="1:17" ht="14.4" customHeight="1" x14ac:dyDescent="0.3">
      <c r="A10" s="15" t="s">
        <v>13</v>
      </c>
      <c r="B10" s="46">
        <v>0</v>
      </c>
      <c r="C10" s="47">
        <v>0</v>
      </c>
      <c r="D10" s="47">
        <v>0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v>0</v>
      </c>
      <c r="P10" s="48">
        <v>0</v>
      </c>
      <c r="Q10" s="70" t="s">
        <v>203</v>
      </c>
    </row>
    <row r="11" spans="1:17" ht="14.4" customHeight="1" x14ac:dyDescent="0.3">
      <c r="A11" s="15" t="s">
        <v>14</v>
      </c>
      <c r="B11" s="46">
        <v>10.683012961743</v>
      </c>
      <c r="C11" s="47">
        <v>0.89025108014499998</v>
      </c>
      <c r="D11" s="47">
        <v>0.44700000000000001</v>
      </c>
      <c r="E11" s="47">
        <v>3.6787299999999998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v>0</v>
      </c>
      <c r="O11" s="47">
        <v>0</v>
      </c>
      <c r="P11" s="48">
        <v>4.1257299999999999</v>
      </c>
      <c r="Q11" s="70">
        <v>1.158586069709</v>
      </c>
    </row>
    <row r="12" spans="1:17" ht="14.4" customHeight="1" x14ac:dyDescent="0.3">
      <c r="A12" s="15" t="s">
        <v>15</v>
      </c>
      <c r="B12" s="46">
        <v>0</v>
      </c>
      <c r="C12" s="47">
        <v>0</v>
      </c>
      <c r="D12" s="47">
        <v>0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v>0</v>
      </c>
      <c r="O12" s="47">
        <v>0</v>
      </c>
      <c r="P12" s="48">
        <v>0</v>
      </c>
      <c r="Q12" s="70" t="s">
        <v>203</v>
      </c>
    </row>
    <row r="13" spans="1:17" ht="14.4" customHeight="1" x14ac:dyDescent="0.3">
      <c r="A13" s="15" t="s">
        <v>16</v>
      </c>
      <c r="B13" s="46">
        <v>0</v>
      </c>
      <c r="C13" s="47">
        <v>0</v>
      </c>
      <c r="D13" s="47">
        <v>0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v>0</v>
      </c>
      <c r="O13" s="47">
        <v>0</v>
      </c>
      <c r="P13" s="48">
        <v>0</v>
      </c>
      <c r="Q13" s="70" t="s">
        <v>203</v>
      </c>
    </row>
    <row r="14" spans="1:17" ht="14.4" customHeight="1" x14ac:dyDescent="0.3">
      <c r="A14" s="15" t="s">
        <v>17</v>
      </c>
      <c r="B14" s="46">
        <v>158.336532600064</v>
      </c>
      <c r="C14" s="47">
        <v>13.194711050005001</v>
      </c>
      <c r="D14" s="47">
        <v>19.123999999999999</v>
      </c>
      <c r="E14" s="47">
        <v>14.88</v>
      </c>
      <c r="F14" s="47">
        <v>14.238</v>
      </c>
      <c r="G14" s="47">
        <v>12.646999999999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v>0</v>
      </c>
      <c r="O14" s="47">
        <v>0</v>
      </c>
      <c r="P14" s="48">
        <v>60.889000000000003</v>
      </c>
      <c r="Q14" s="70">
        <v>1.1536630049950001</v>
      </c>
    </row>
    <row r="15" spans="1:17" ht="14.4" customHeight="1" x14ac:dyDescent="0.3">
      <c r="A15" s="15" t="s">
        <v>18</v>
      </c>
      <c r="B15" s="46">
        <v>0</v>
      </c>
      <c r="C15" s="47">
        <v>0</v>
      </c>
      <c r="D15" s="47">
        <v>0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v>0</v>
      </c>
      <c r="P15" s="48">
        <v>0</v>
      </c>
      <c r="Q15" s="70" t="s">
        <v>203</v>
      </c>
    </row>
    <row r="16" spans="1:17" ht="14.4" customHeight="1" x14ac:dyDescent="0.3">
      <c r="A16" s="15" t="s">
        <v>19</v>
      </c>
      <c r="B16" s="46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v>0</v>
      </c>
      <c r="P16" s="48">
        <v>0</v>
      </c>
      <c r="Q16" s="70" t="s">
        <v>203</v>
      </c>
    </row>
    <row r="17" spans="1:17" ht="14.4" customHeight="1" x14ac:dyDescent="0.3">
      <c r="A17" s="15" t="s">
        <v>20</v>
      </c>
      <c r="B17" s="46">
        <v>18.935594709282999</v>
      </c>
      <c r="C17" s="47">
        <v>1.5779662257730001</v>
      </c>
      <c r="D17" s="47">
        <v>2.4929999999999999</v>
      </c>
      <c r="E17" s="47">
        <v>1.0955299999999999</v>
      </c>
      <c r="F17" s="47">
        <v>0.58342999999900003</v>
      </c>
      <c r="G17" s="47">
        <v>0.62445999999900004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v>0</v>
      </c>
      <c r="O17" s="47">
        <v>0</v>
      </c>
      <c r="P17" s="48">
        <v>4.7964200000000003</v>
      </c>
      <c r="Q17" s="70">
        <v>0.75990536452199997</v>
      </c>
    </row>
    <row r="18" spans="1:17" ht="14.4" customHeight="1" x14ac:dyDescent="0.3">
      <c r="A18" s="15" t="s">
        <v>21</v>
      </c>
      <c r="B18" s="46">
        <v>0</v>
      </c>
      <c r="C18" s="47">
        <v>0</v>
      </c>
      <c r="D18" s="47">
        <v>1.03</v>
      </c>
      <c r="E18" s="47">
        <v>0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v>0</v>
      </c>
      <c r="O18" s="47">
        <v>0</v>
      </c>
      <c r="P18" s="48">
        <v>1.03</v>
      </c>
      <c r="Q18" s="70" t="s">
        <v>203</v>
      </c>
    </row>
    <row r="19" spans="1:17" ht="14.4" customHeight="1" x14ac:dyDescent="0.3">
      <c r="A19" s="15" t="s">
        <v>22</v>
      </c>
      <c r="B19" s="46">
        <v>31.852353964178</v>
      </c>
      <c r="C19" s="47">
        <v>2.654362830348</v>
      </c>
      <c r="D19" s="47">
        <v>2.5553900000000001</v>
      </c>
      <c r="E19" s="47">
        <v>1.79721</v>
      </c>
      <c r="F19" s="47">
        <v>1.80671</v>
      </c>
      <c r="G19" s="47">
        <v>2.3477199999990002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v>0</v>
      </c>
      <c r="O19" s="47">
        <v>0</v>
      </c>
      <c r="P19" s="48">
        <v>8.5070300000000003</v>
      </c>
      <c r="Q19" s="70">
        <v>0.80123089265799996</v>
      </c>
    </row>
    <row r="20" spans="1:17" ht="14.4" customHeight="1" x14ac:dyDescent="0.3">
      <c r="A20" s="15" t="s">
        <v>23</v>
      </c>
      <c r="B20" s="46">
        <v>3889.7105539999998</v>
      </c>
      <c r="C20" s="47">
        <v>324.14254616666699</v>
      </c>
      <c r="D20" s="47">
        <v>344.46382000000102</v>
      </c>
      <c r="E20" s="47">
        <v>336.49349000000097</v>
      </c>
      <c r="F20" s="47">
        <v>338.01244999999898</v>
      </c>
      <c r="G20" s="47">
        <v>338.84724999999901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v>0</v>
      </c>
      <c r="O20" s="47">
        <v>0</v>
      </c>
      <c r="P20" s="48">
        <v>1357.81701</v>
      </c>
      <c r="Q20" s="70">
        <v>1.047237570366</v>
      </c>
    </row>
    <row r="21" spans="1:17" ht="14.4" customHeight="1" x14ac:dyDescent="0.3">
      <c r="A21" s="16" t="s">
        <v>24</v>
      </c>
      <c r="B21" s="46">
        <v>21.999999999999002</v>
      </c>
      <c r="C21" s="47">
        <v>1.833333333333</v>
      </c>
      <c r="D21" s="47">
        <v>1.7735300000000001</v>
      </c>
      <c r="E21" s="47">
        <v>1.7735000000000001</v>
      </c>
      <c r="F21" s="47">
        <v>1.7735000000000001</v>
      </c>
      <c r="G21" s="47">
        <v>1.7735199999989999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v>0</v>
      </c>
      <c r="O21" s="47">
        <v>0</v>
      </c>
      <c r="P21" s="48">
        <v>7.0940500000000002</v>
      </c>
      <c r="Q21" s="70">
        <v>0.96737045454500004</v>
      </c>
    </row>
    <row r="22" spans="1:17" ht="14.4" customHeight="1" x14ac:dyDescent="0.3">
      <c r="A22" s="15" t="s">
        <v>25</v>
      </c>
      <c r="B22" s="46">
        <v>0</v>
      </c>
      <c r="C22" s="47">
        <v>0</v>
      </c>
      <c r="D22" s="47">
        <v>0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v>0</v>
      </c>
      <c r="P22" s="48">
        <v>0</v>
      </c>
      <c r="Q22" s="70" t="s">
        <v>203</v>
      </c>
    </row>
    <row r="23" spans="1:17" ht="14.4" customHeight="1" x14ac:dyDescent="0.3">
      <c r="A23" s="16" t="s">
        <v>26</v>
      </c>
      <c r="B23" s="46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v>0</v>
      </c>
      <c r="P23" s="48">
        <v>0</v>
      </c>
      <c r="Q23" s="70" t="s">
        <v>203</v>
      </c>
    </row>
    <row r="24" spans="1:17" ht="14.4" customHeight="1" x14ac:dyDescent="0.3">
      <c r="A24" s="16" t="s">
        <v>27</v>
      </c>
      <c r="B24" s="46">
        <v>9.0949470177292804E-13</v>
      </c>
      <c r="C24" s="47">
        <v>5.6843418860808002E-14</v>
      </c>
      <c r="D24" s="47">
        <v>1.9319999999990001</v>
      </c>
      <c r="E24" s="47">
        <v>5.6843418860808002E-14</v>
      </c>
      <c r="F24" s="47">
        <v>-5.6843418860808002E-14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v>0</v>
      </c>
      <c r="O24" s="47">
        <v>0</v>
      </c>
      <c r="P24" s="48">
        <v>1.9319999999990001</v>
      </c>
      <c r="Q24" s="70"/>
    </row>
    <row r="25" spans="1:17" ht="14.4" customHeight="1" x14ac:dyDescent="0.3">
      <c r="A25" s="17" t="s">
        <v>28</v>
      </c>
      <c r="B25" s="49">
        <v>4131.5180482352698</v>
      </c>
      <c r="C25" s="50">
        <v>344.29317068627302</v>
      </c>
      <c r="D25" s="50">
        <v>373.81874000000101</v>
      </c>
      <c r="E25" s="50">
        <v>359.71846000000102</v>
      </c>
      <c r="F25" s="50">
        <v>356.41408999999902</v>
      </c>
      <c r="G25" s="50">
        <v>356.23994999999798</v>
      </c>
      <c r="H25" s="50">
        <v>0</v>
      </c>
      <c r="I25" s="50">
        <v>0</v>
      </c>
      <c r="J25" s="50">
        <v>0</v>
      </c>
      <c r="K25" s="50">
        <v>0</v>
      </c>
      <c r="L25" s="50">
        <v>0</v>
      </c>
      <c r="M25" s="50">
        <v>0</v>
      </c>
      <c r="N25" s="50">
        <v>0</v>
      </c>
      <c r="O25" s="50">
        <v>0</v>
      </c>
      <c r="P25" s="51">
        <v>1446.1912400000001</v>
      </c>
      <c r="Q25" s="71">
        <v>1.0501161242299999</v>
      </c>
    </row>
    <row r="26" spans="1:17" ht="14.4" customHeight="1" x14ac:dyDescent="0.3">
      <c r="A26" s="15" t="s">
        <v>29</v>
      </c>
      <c r="B26" s="46">
        <v>543.83877935298096</v>
      </c>
      <c r="C26" s="47">
        <v>45.319898279415</v>
      </c>
      <c r="D26" s="47">
        <v>44.441189999999999</v>
      </c>
      <c r="E26" s="47">
        <v>49.175710000000002</v>
      </c>
      <c r="F26" s="47">
        <v>42.843249999999998</v>
      </c>
      <c r="G26" s="47">
        <v>53.08878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v>0</v>
      </c>
      <c r="O26" s="47">
        <v>0</v>
      </c>
      <c r="P26" s="48">
        <v>189.54893000000001</v>
      </c>
      <c r="Q26" s="70">
        <v>1.045616479715</v>
      </c>
    </row>
    <row r="27" spans="1:17" ht="14.4" customHeight="1" x14ac:dyDescent="0.3">
      <c r="A27" s="18" t="s">
        <v>30</v>
      </c>
      <c r="B27" s="49">
        <v>4675.3568275882599</v>
      </c>
      <c r="C27" s="50">
        <v>389.613068965688</v>
      </c>
      <c r="D27" s="50">
        <v>418.25993000000102</v>
      </c>
      <c r="E27" s="50">
        <v>408.894170000001</v>
      </c>
      <c r="F27" s="50">
        <v>399.25733999999898</v>
      </c>
      <c r="G27" s="50">
        <v>409.32872999999802</v>
      </c>
      <c r="H27" s="50">
        <v>0</v>
      </c>
      <c r="I27" s="50">
        <v>0</v>
      </c>
      <c r="J27" s="50">
        <v>0</v>
      </c>
      <c r="K27" s="50">
        <v>0</v>
      </c>
      <c r="L27" s="50">
        <v>0</v>
      </c>
      <c r="M27" s="50">
        <v>0</v>
      </c>
      <c r="N27" s="50">
        <v>0</v>
      </c>
      <c r="O27" s="50">
        <v>0</v>
      </c>
      <c r="P27" s="51">
        <v>1635.74017</v>
      </c>
      <c r="Q27" s="71">
        <v>1.049592724354</v>
      </c>
    </row>
    <row r="28" spans="1:17" ht="14.4" customHeight="1" x14ac:dyDescent="0.3">
      <c r="A28" s="16" t="s">
        <v>31</v>
      </c>
      <c r="B28" s="46">
        <v>0.18192918203799999</v>
      </c>
      <c r="C28" s="47">
        <v>1.5160765168999999E-2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v>0</v>
      </c>
      <c r="O28" s="47">
        <v>0</v>
      </c>
      <c r="P28" s="48">
        <v>0</v>
      </c>
      <c r="Q28" s="70">
        <v>0</v>
      </c>
    </row>
    <row r="29" spans="1:17" ht="14.4" customHeight="1" x14ac:dyDescent="0.3">
      <c r="A29" s="16" t="s">
        <v>32</v>
      </c>
      <c r="B29" s="46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v>0</v>
      </c>
      <c r="P29" s="48">
        <v>0</v>
      </c>
      <c r="Q29" s="70" t="s">
        <v>203</v>
      </c>
    </row>
    <row r="30" spans="1:17" ht="14.4" customHeight="1" x14ac:dyDescent="0.3">
      <c r="A30" s="16" t="s">
        <v>33</v>
      </c>
      <c r="B30" s="46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v>0</v>
      </c>
      <c r="P30" s="48">
        <v>0</v>
      </c>
      <c r="Q30" s="70">
        <v>0</v>
      </c>
    </row>
    <row r="31" spans="1:17" ht="14.4" customHeight="1" thickBot="1" x14ac:dyDescent="0.35">
      <c r="A31" s="19" t="s">
        <v>34</v>
      </c>
      <c r="B31" s="52">
        <v>0</v>
      </c>
      <c r="C31" s="53">
        <v>0</v>
      </c>
      <c r="D31" s="53">
        <v>0</v>
      </c>
      <c r="E31" s="53">
        <v>0</v>
      </c>
      <c r="F31" s="53">
        <v>0</v>
      </c>
      <c r="G31" s="53">
        <v>0</v>
      </c>
      <c r="H31" s="53">
        <v>0</v>
      </c>
      <c r="I31" s="53">
        <v>0</v>
      </c>
      <c r="J31" s="53">
        <v>0</v>
      </c>
      <c r="K31" s="53">
        <v>0</v>
      </c>
      <c r="L31" s="53">
        <v>0</v>
      </c>
      <c r="M31" s="53">
        <v>0</v>
      </c>
      <c r="N31" s="53">
        <v>0</v>
      </c>
      <c r="O31" s="53">
        <v>0</v>
      </c>
      <c r="P31" s="54">
        <v>0</v>
      </c>
      <c r="Q31" s="72" t="s">
        <v>203</v>
      </c>
    </row>
    <row r="32" spans="1:17" ht="14.4" customHeight="1" x14ac:dyDescent="0.3">
      <c r="B32" s="102"/>
      <c r="C32" s="102"/>
      <c r="D32" s="102"/>
      <c r="E32" s="102"/>
      <c r="F32" s="102"/>
      <c r="G32" s="102"/>
      <c r="H32" s="102"/>
      <c r="I32" s="102"/>
      <c r="J32" s="102"/>
      <c r="K32" s="102"/>
      <c r="L32" s="102"/>
      <c r="M32" s="102"/>
      <c r="N32" s="102"/>
      <c r="O32" s="102"/>
      <c r="P32" s="102"/>
      <c r="Q32" s="102"/>
    </row>
    <row r="33" spans="1:17" ht="14.4" customHeight="1" x14ac:dyDescent="0.3">
      <c r="A33" s="85" t="s">
        <v>108</v>
      </c>
      <c r="B33" s="103"/>
      <c r="C33" s="103"/>
      <c r="D33" s="103"/>
      <c r="E33" s="103"/>
      <c r="F33" s="103"/>
      <c r="G33" s="103"/>
      <c r="H33" s="103"/>
      <c r="I33" s="103"/>
      <c r="J33" s="103"/>
      <c r="K33" s="103"/>
      <c r="L33" s="103"/>
      <c r="M33" s="103"/>
      <c r="N33" s="103"/>
      <c r="O33" s="103"/>
      <c r="P33" s="103"/>
      <c r="Q33" s="103"/>
    </row>
    <row r="34" spans="1:17" ht="14.4" customHeight="1" x14ac:dyDescent="0.3">
      <c r="A34" s="107" t="s">
        <v>180</v>
      </c>
      <c r="B34" s="103"/>
      <c r="C34" s="103"/>
      <c r="D34" s="103"/>
      <c r="E34" s="103"/>
      <c r="F34" s="103"/>
      <c r="G34" s="103"/>
      <c r="H34" s="103"/>
      <c r="I34" s="103"/>
      <c r="J34" s="103"/>
      <c r="K34" s="103"/>
      <c r="L34" s="103"/>
      <c r="M34" s="103"/>
      <c r="N34" s="103"/>
      <c r="O34" s="103"/>
      <c r="P34" s="103"/>
      <c r="Q34" s="103"/>
    </row>
    <row r="35" spans="1:17" ht="14.4" customHeight="1" x14ac:dyDescent="0.3">
      <c r="A35" s="108" t="s">
        <v>35</v>
      </c>
      <c r="B35" s="103"/>
      <c r="C35" s="103"/>
      <c r="D35" s="103"/>
      <c r="E35" s="103"/>
      <c r="F35" s="103"/>
      <c r="G35" s="103"/>
      <c r="H35" s="103"/>
      <c r="I35" s="103"/>
      <c r="J35" s="103"/>
      <c r="K35" s="103"/>
      <c r="L35" s="103"/>
      <c r="M35" s="103"/>
      <c r="N35" s="103"/>
      <c r="O35" s="103"/>
      <c r="P35" s="103"/>
      <c r="Q35" s="103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11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01" customWidth="1"/>
    <col min="2" max="11" width="10" style="101" customWidth="1"/>
    <col min="12" max="16384" width="8.88671875" style="101"/>
  </cols>
  <sheetData>
    <row r="1" spans="1:11" s="55" customFormat="1" ht="18.600000000000001" customHeight="1" thickBot="1" x14ac:dyDescent="0.4">
      <c r="A1" s="275" t="s">
        <v>36</v>
      </c>
      <c r="B1" s="275"/>
      <c r="C1" s="275"/>
      <c r="D1" s="275"/>
      <c r="E1" s="275"/>
      <c r="F1" s="275"/>
      <c r="G1" s="275"/>
      <c r="H1" s="280"/>
      <c r="I1" s="280"/>
      <c r="J1" s="280"/>
      <c r="K1" s="280"/>
    </row>
    <row r="2" spans="1:11" s="55" customFormat="1" ht="14.4" customHeight="1" thickBot="1" x14ac:dyDescent="0.35">
      <c r="A2" s="189" t="s">
        <v>202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3" spans="1:11" ht="14.4" customHeight="1" x14ac:dyDescent="0.3">
      <c r="A3" s="59"/>
      <c r="B3" s="276" t="s">
        <v>37</v>
      </c>
      <c r="C3" s="277"/>
      <c r="D3" s="277"/>
      <c r="E3" s="277"/>
      <c r="F3" s="283" t="s">
        <v>38</v>
      </c>
      <c r="G3" s="277"/>
      <c r="H3" s="277"/>
      <c r="I3" s="277"/>
      <c r="J3" s="277"/>
      <c r="K3" s="284"/>
    </row>
    <row r="4" spans="1:11" ht="14.4" customHeight="1" x14ac:dyDescent="0.3">
      <c r="A4" s="60"/>
      <c r="B4" s="281"/>
      <c r="C4" s="282"/>
      <c r="D4" s="282"/>
      <c r="E4" s="282"/>
      <c r="F4" s="285" t="s">
        <v>198</v>
      </c>
      <c r="G4" s="287" t="s">
        <v>39</v>
      </c>
      <c r="H4" s="112" t="s">
        <v>100</v>
      </c>
      <c r="I4" s="285" t="s">
        <v>40</v>
      </c>
      <c r="J4" s="287" t="s">
        <v>200</v>
      </c>
      <c r="K4" s="288" t="s">
        <v>201</v>
      </c>
    </row>
    <row r="5" spans="1:11" ht="42" thickBot="1" x14ac:dyDescent="0.35">
      <c r="A5" s="61"/>
      <c r="B5" s="24" t="s">
        <v>194</v>
      </c>
      <c r="C5" s="25" t="s">
        <v>195</v>
      </c>
      <c r="D5" s="26" t="s">
        <v>196</v>
      </c>
      <c r="E5" s="26" t="s">
        <v>197</v>
      </c>
      <c r="F5" s="286"/>
      <c r="G5" s="286"/>
      <c r="H5" s="25" t="s">
        <v>199</v>
      </c>
      <c r="I5" s="286"/>
      <c r="J5" s="286"/>
      <c r="K5" s="289"/>
    </row>
    <row r="6" spans="1:11" ht="14.4" customHeight="1" thickBot="1" x14ac:dyDescent="0.35">
      <c r="A6" s="369" t="s">
        <v>205</v>
      </c>
      <c r="B6" s="351">
        <v>3890.73705373233</v>
      </c>
      <c r="C6" s="351">
        <v>4280.3619800000097</v>
      </c>
      <c r="D6" s="352">
        <v>389.62492626767403</v>
      </c>
      <c r="E6" s="353">
        <v>1.1001416751849999</v>
      </c>
      <c r="F6" s="351">
        <v>4131.5180482352698</v>
      </c>
      <c r="G6" s="352">
        <v>1377.17268274509</v>
      </c>
      <c r="H6" s="354">
        <v>356.23994999999798</v>
      </c>
      <c r="I6" s="351">
        <v>1446.1912400000001</v>
      </c>
      <c r="J6" s="352">
        <v>69.018557254908004</v>
      </c>
      <c r="K6" s="355">
        <v>0.35003870807600002</v>
      </c>
    </row>
    <row r="7" spans="1:11" ht="14.4" customHeight="1" thickBot="1" x14ac:dyDescent="0.35">
      <c r="A7" s="370" t="s">
        <v>206</v>
      </c>
      <c r="B7" s="351">
        <v>155.92580832235399</v>
      </c>
      <c r="C7" s="351">
        <v>156.29861</v>
      </c>
      <c r="D7" s="352">
        <v>0.37280167764599997</v>
      </c>
      <c r="E7" s="353">
        <v>1.0023908914220001</v>
      </c>
      <c r="F7" s="351">
        <v>169.01954556180701</v>
      </c>
      <c r="G7" s="352">
        <v>56.339848520601997</v>
      </c>
      <c r="H7" s="354">
        <v>12.646999999999</v>
      </c>
      <c r="I7" s="351">
        <v>65.146730000000005</v>
      </c>
      <c r="J7" s="352">
        <v>8.8068814793969992</v>
      </c>
      <c r="K7" s="355">
        <v>0.38543903182</v>
      </c>
    </row>
    <row r="8" spans="1:11" ht="14.4" customHeight="1" thickBot="1" x14ac:dyDescent="0.35">
      <c r="A8" s="371" t="s">
        <v>207</v>
      </c>
      <c r="B8" s="351">
        <v>11.450097574803999</v>
      </c>
      <c r="C8" s="351">
        <v>10.854609999999999</v>
      </c>
      <c r="D8" s="352">
        <v>-0.59548757480400005</v>
      </c>
      <c r="E8" s="353">
        <v>0.94799279474099996</v>
      </c>
      <c r="F8" s="351">
        <v>10.683012961743</v>
      </c>
      <c r="G8" s="352">
        <v>3.561004320581</v>
      </c>
      <c r="H8" s="354">
        <v>0</v>
      </c>
      <c r="I8" s="351">
        <v>4.2577299999999996</v>
      </c>
      <c r="J8" s="352">
        <v>0.69672567941800001</v>
      </c>
      <c r="K8" s="355">
        <v>0.39855142132999999</v>
      </c>
    </row>
    <row r="9" spans="1:11" ht="14.4" customHeight="1" thickBot="1" x14ac:dyDescent="0.35">
      <c r="A9" s="372" t="s">
        <v>208</v>
      </c>
      <c r="B9" s="356">
        <v>9.1628049235080002</v>
      </c>
      <c r="C9" s="356">
        <v>9.6688100000000006</v>
      </c>
      <c r="D9" s="357">
        <v>0.50600507649100002</v>
      </c>
      <c r="E9" s="358">
        <v>1.0552238185480001</v>
      </c>
      <c r="F9" s="356">
        <v>10.683012961743</v>
      </c>
      <c r="G9" s="357">
        <v>3.561004320581</v>
      </c>
      <c r="H9" s="359">
        <v>0</v>
      </c>
      <c r="I9" s="356">
        <v>4.1257299999999999</v>
      </c>
      <c r="J9" s="357">
        <v>0.564725679418</v>
      </c>
      <c r="K9" s="360">
        <v>0.386195356569</v>
      </c>
    </row>
    <row r="10" spans="1:11" ht="14.4" customHeight="1" thickBot="1" x14ac:dyDescent="0.35">
      <c r="A10" s="373" t="s">
        <v>209</v>
      </c>
      <c r="B10" s="351">
        <v>1.7250610238649999</v>
      </c>
      <c r="C10" s="351">
        <v>1.37347</v>
      </c>
      <c r="D10" s="352">
        <v>-0.35159102386500002</v>
      </c>
      <c r="E10" s="353">
        <v>0.79618632674300005</v>
      </c>
      <c r="F10" s="351">
        <v>2</v>
      </c>
      <c r="G10" s="352">
        <v>0.66666666666600005</v>
      </c>
      <c r="H10" s="354">
        <v>0</v>
      </c>
      <c r="I10" s="351">
        <v>0</v>
      </c>
      <c r="J10" s="352">
        <v>-0.66666666666600005</v>
      </c>
      <c r="K10" s="355">
        <v>0</v>
      </c>
    </row>
    <row r="11" spans="1:11" ht="14.4" customHeight="1" thickBot="1" x14ac:dyDescent="0.35">
      <c r="A11" s="373" t="s">
        <v>210</v>
      </c>
      <c r="B11" s="351">
        <v>5</v>
      </c>
      <c r="C11" s="351">
        <v>4.2819599999999998</v>
      </c>
      <c r="D11" s="352">
        <v>-0.71803999999900003</v>
      </c>
      <c r="E11" s="353">
        <v>0.85639200000000004</v>
      </c>
      <c r="F11" s="351">
        <v>5</v>
      </c>
      <c r="G11" s="352">
        <v>1.6666666666659999</v>
      </c>
      <c r="H11" s="354">
        <v>0</v>
      </c>
      <c r="I11" s="351">
        <v>2.5252500000000002</v>
      </c>
      <c r="J11" s="352">
        <v>0.85858333333299997</v>
      </c>
      <c r="K11" s="355">
        <v>0.50505</v>
      </c>
    </row>
    <row r="12" spans="1:11" ht="14.4" customHeight="1" thickBot="1" x14ac:dyDescent="0.35">
      <c r="A12" s="373" t="s">
        <v>211</v>
      </c>
      <c r="B12" s="351">
        <v>0.13108270061800001</v>
      </c>
      <c r="C12" s="351">
        <v>0.31369999999999998</v>
      </c>
      <c r="D12" s="352">
        <v>0.18261729938099999</v>
      </c>
      <c r="E12" s="353">
        <v>2.393145689862</v>
      </c>
      <c r="F12" s="351">
        <v>0.29589184963300003</v>
      </c>
      <c r="G12" s="352">
        <v>9.8630616544000002E-2</v>
      </c>
      <c r="H12" s="354">
        <v>0</v>
      </c>
      <c r="I12" s="351">
        <v>0</v>
      </c>
      <c r="J12" s="352">
        <v>-9.8630616544000002E-2</v>
      </c>
      <c r="K12" s="355">
        <v>0</v>
      </c>
    </row>
    <row r="13" spans="1:11" ht="14.4" customHeight="1" thickBot="1" x14ac:dyDescent="0.35">
      <c r="A13" s="373" t="s">
        <v>212</v>
      </c>
      <c r="B13" s="351">
        <v>0.30666119902400002</v>
      </c>
      <c r="C13" s="351">
        <v>1.23539</v>
      </c>
      <c r="D13" s="352">
        <v>0.92872880097499999</v>
      </c>
      <c r="E13" s="353">
        <v>4.0285174776849999</v>
      </c>
      <c r="F13" s="351">
        <v>1.38712111211</v>
      </c>
      <c r="G13" s="352">
        <v>0.46237370403599998</v>
      </c>
      <c r="H13" s="354">
        <v>0</v>
      </c>
      <c r="I13" s="351">
        <v>0.59824999999999995</v>
      </c>
      <c r="J13" s="352">
        <v>0.13587629596299999</v>
      </c>
      <c r="K13" s="355">
        <v>0.43128894425800002</v>
      </c>
    </row>
    <row r="14" spans="1:11" ht="14.4" customHeight="1" thickBot="1" x14ac:dyDescent="0.35">
      <c r="A14" s="373" t="s">
        <v>213</v>
      </c>
      <c r="B14" s="351">
        <v>0</v>
      </c>
      <c r="C14" s="351">
        <v>1.7490000000000001</v>
      </c>
      <c r="D14" s="352">
        <v>1.7490000000000001</v>
      </c>
      <c r="E14" s="361" t="s">
        <v>214</v>
      </c>
      <c r="F14" s="351">
        <v>0</v>
      </c>
      <c r="G14" s="352">
        <v>0</v>
      </c>
      <c r="H14" s="354">
        <v>0</v>
      </c>
      <c r="I14" s="351">
        <v>0</v>
      </c>
      <c r="J14" s="352">
        <v>0</v>
      </c>
      <c r="K14" s="355">
        <v>0</v>
      </c>
    </row>
    <row r="15" spans="1:11" ht="14.4" customHeight="1" thickBot="1" x14ac:dyDescent="0.35">
      <c r="A15" s="373" t="s">
        <v>215</v>
      </c>
      <c r="B15" s="351">
        <v>2</v>
      </c>
      <c r="C15" s="351">
        <v>0.71528999999999998</v>
      </c>
      <c r="D15" s="352">
        <v>-1.28471</v>
      </c>
      <c r="E15" s="353">
        <v>0.35764499999999999</v>
      </c>
      <c r="F15" s="351">
        <v>2</v>
      </c>
      <c r="G15" s="352">
        <v>0.66666666666600005</v>
      </c>
      <c r="H15" s="354">
        <v>0</v>
      </c>
      <c r="I15" s="351">
        <v>1.00223</v>
      </c>
      <c r="J15" s="352">
        <v>0.33556333333299998</v>
      </c>
      <c r="K15" s="355">
        <v>0.50111499999999998</v>
      </c>
    </row>
    <row r="16" spans="1:11" ht="14.4" customHeight="1" thickBot="1" x14ac:dyDescent="0.35">
      <c r="A16" s="372" t="s">
        <v>216</v>
      </c>
      <c r="B16" s="356">
        <v>2.287292651295</v>
      </c>
      <c r="C16" s="356">
        <v>1.1858</v>
      </c>
      <c r="D16" s="357">
        <v>-1.1014926512950001</v>
      </c>
      <c r="E16" s="358">
        <v>0.51842950630999995</v>
      </c>
      <c r="F16" s="356">
        <v>0</v>
      </c>
      <c r="G16" s="357">
        <v>0</v>
      </c>
      <c r="H16" s="359">
        <v>0</v>
      </c>
      <c r="I16" s="356">
        <v>0</v>
      </c>
      <c r="J16" s="357">
        <v>0</v>
      </c>
      <c r="K16" s="362" t="s">
        <v>203</v>
      </c>
    </row>
    <row r="17" spans="1:11" ht="14.4" customHeight="1" thickBot="1" x14ac:dyDescent="0.35">
      <c r="A17" s="373" t="s">
        <v>217</v>
      </c>
      <c r="B17" s="351">
        <v>2.287292651295</v>
      </c>
      <c r="C17" s="351">
        <v>1.1858</v>
      </c>
      <c r="D17" s="352">
        <v>-1.1014926512950001</v>
      </c>
      <c r="E17" s="353">
        <v>0.51842950630999995</v>
      </c>
      <c r="F17" s="351">
        <v>0</v>
      </c>
      <c r="G17" s="352">
        <v>0</v>
      </c>
      <c r="H17" s="354">
        <v>0</v>
      </c>
      <c r="I17" s="351">
        <v>0</v>
      </c>
      <c r="J17" s="352">
        <v>0</v>
      </c>
      <c r="K17" s="363" t="s">
        <v>203</v>
      </c>
    </row>
    <row r="18" spans="1:11" ht="14.4" customHeight="1" thickBot="1" x14ac:dyDescent="0.35">
      <c r="A18" s="372" t="s">
        <v>218</v>
      </c>
      <c r="B18" s="356">
        <v>0</v>
      </c>
      <c r="C18" s="356">
        <v>0</v>
      </c>
      <c r="D18" s="357">
        <v>0</v>
      </c>
      <c r="E18" s="358">
        <v>1</v>
      </c>
      <c r="F18" s="356">
        <v>0</v>
      </c>
      <c r="G18" s="357">
        <v>0</v>
      </c>
      <c r="H18" s="359">
        <v>0</v>
      </c>
      <c r="I18" s="356">
        <v>0.13200000000000001</v>
      </c>
      <c r="J18" s="357">
        <v>0.13200000000000001</v>
      </c>
      <c r="K18" s="362" t="s">
        <v>214</v>
      </c>
    </row>
    <row r="19" spans="1:11" ht="14.4" customHeight="1" thickBot="1" x14ac:dyDescent="0.35">
      <c r="A19" s="373" t="s">
        <v>219</v>
      </c>
      <c r="B19" s="351">
        <v>0</v>
      </c>
      <c r="C19" s="351">
        <v>0</v>
      </c>
      <c r="D19" s="352">
        <v>0</v>
      </c>
      <c r="E19" s="353">
        <v>1</v>
      </c>
      <c r="F19" s="351">
        <v>0</v>
      </c>
      <c r="G19" s="352">
        <v>0</v>
      </c>
      <c r="H19" s="354">
        <v>0</v>
      </c>
      <c r="I19" s="351">
        <v>0.13200000000000001</v>
      </c>
      <c r="J19" s="352">
        <v>0.13200000000000001</v>
      </c>
      <c r="K19" s="363" t="s">
        <v>214</v>
      </c>
    </row>
    <row r="20" spans="1:11" ht="14.4" customHeight="1" thickBot="1" x14ac:dyDescent="0.35">
      <c r="A20" s="371" t="s">
        <v>17</v>
      </c>
      <c r="B20" s="351">
        <v>144.47571074754899</v>
      </c>
      <c r="C20" s="351">
        <v>145.44399999999999</v>
      </c>
      <c r="D20" s="352">
        <v>0.96828925245099995</v>
      </c>
      <c r="E20" s="353">
        <v>1.0067020902499999</v>
      </c>
      <c r="F20" s="351">
        <v>158.336532600064</v>
      </c>
      <c r="G20" s="352">
        <v>52.778844200020998</v>
      </c>
      <c r="H20" s="354">
        <v>12.646999999999</v>
      </c>
      <c r="I20" s="351">
        <v>60.889000000000003</v>
      </c>
      <c r="J20" s="352">
        <v>8.1101557999779992</v>
      </c>
      <c r="K20" s="355">
        <v>0.38455433499800001</v>
      </c>
    </row>
    <row r="21" spans="1:11" ht="14.4" customHeight="1" thickBot="1" x14ac:dyDescent="0.35">
      <c r="A21" s="372" t="s">
        <v>220</v>
      </c>
      <c r="B21" s="356">
        <v>144.47571074754899</v>
      </c>
      <c r="C21" s="356">
        <v>145.44399999999999</v>
      </c>
      <c r="D21" s="357">
        <v>0.96828925245099995</v>
      </c>
      <c r="E21" s="358">
        <v>1.0067020902499999</v>
      </c>
      <c r="F21" s="356">
        <v>158.336532600064</v>
      </c>
      <c r="G21" s="357">
        <v>52.778844200020998</v>
      </c>
      <c r="H21" s="359">
        <v>12.646999999999</v>
      </c>
      <c r="I21" s="356">
        <v>60.889000000000003</v>
      </c>
      <c r="J21" s="357">
        <v>8.1101557999779992</v>
      </c>
      <c r="K21" s="360">
        <v>0.38455433499800001</v>
      </c>
    </row>
    <row r="22" spans="1:11" ht="14.4" customHeight="1" thickBot="1" x14ac:dyDescent="0.35">
      <c r="A22" s="373" t="s">
        <v>221</v>
      </c>
      <c r="B22" s="351">
        <v>24.936078608548002</v>
      </c>
      <c r="C22" s="351">
        <v>25.984999999999999</v>
      </c>
      <c r="D22" s="352">
        <v>1.0489213914510001</v>
      </c>
      <c r="E22" s="353">
        <v>1.042064408278</v>
      </c>
      <c r="F22" s="351">
        <v>34.022358086064997</v>
      </c>
      <c r="G22" s="352">
        <v>11.340786028687999</v>
      </c>
      <c r="H22" s="354">
        <v>2.7749999999989998</v>
      </c>
      <c r="I22" s="351">
        <v>11.657</v>
      </c>
      <c r="J22" s="352">
        <v>0.31621397131099999</v>
      </c>
      <c r="K22" s="355">
        <v>0.34262763240900002</v>
      </c>
    </row>
    <row r="23" spans="1:11" ht="14.4" customHeight="1" thickBot="1" x14ac:dyDescent="0.35">
      <c r="A23" s="373" t="s">
        <v>222</v>
      </c>
      <c r="B23" s="351">
        <v>56.554263551082002</v>
      </c>
      <c r="C23" s="351">
        <v>60.140999999999998</v>
      </c>
      <c r="D23" s="352">
        <v>3.5867364489170002</v>
      </c>
      <c r="E23" s="353">
        <v>1.0634211503019999</v>
      </c>
      <c r="F23" s="351">
        <v>59.333844447289998</v>
      </c>
      <c r="G23" s="352">
        <v>19.777948149096002</v>
      </c>
      <c r="H23" s="354">
        <v>5.1089999999989999</v>
      </c>
      <c r="I23" s="351">
        <v>20.587</v>
      </c>
      <c r="J23" s="352">
        <v>0.80905185090300002</v>
      </c>
      <c r="K23" s="355">
        <v>0.34696892122400003</v>
      </c>
    </row>
    <row r="24" spans="1:11" ht="14.4" customHeight="1" thickBot="1" x14ac:dyDescent="0.35">
      <c r="A24" s="373" t="s">
        <v>223</v>
      </c>
      <c r="B24" s="351">
        <v>62.985368587918003</v>
      </c>
      <c r="C24" s="351">
        <v>59.317999999999998</v>
      </c>
      <c r="D24" s="352">
        <v>-3.6673685879170002</v>
      </c>
      <c r="E24" s="353">
        <v>0.94177427757999999</v>
      </c>
      <c r="F24" s="351">
        <v>64.980330066708007</v>
      </c>
      <c r="G24" s="352">
        <v>21.660110022236001</v>
      </c>
      <c r="H24" s="354">
        <v>4.7629999999989998</v>
      </c>
      <c r="I24" s="351">
        <v>28.645</v>
      </c>
      <c r="J24" s="352">
        <v>6.9848899777630002</v>
      </c>
      <c r="K24" s="355">
        <v>0.44082570788100001</v>
      </c>
    </row>
    <row r="25" spans="1:11" ht="14.4" customHeight="1" thickBot="1" x14ac:dyDescent="0.35">
      <c r="A25" s="374" t="s">
        <v>224</v>
      </c>
      <c r="B25" s="356">
        <v>30.380042663491999</v>
      </c>
      <c r="C25" s="356">
        <v>53.566659999999999</v>
      </c>
      <c r="D25" s="357">
        <v>23.186617336506998</v>
      </c>
      <c r="E25" s="358">
        <v>1.763218722018</v>
      </c>
      <c r="F25" s="356">
        <v>50.787948673461003</v>
      </c>
      <c r="G25" s="357">
        <v>16.929316224487</v>
      </c>
      <c r="H25" s="359">
        <v>2.9721799999990002</v>
      </c>
      <c r="I25" s="356">
        <v>14.333449999999999</v>
      </c>
      <c r="J25" s="357">
        <v>-2.5958662244870001</v>
      </c>
      <c r="K25" s="360">
        <v>0.28222147919599999</v>
      </c>
    </row>
    <row r="26" spans="1:11" ht="14.4" customHeight="1" thickBot="1" x14ac:dyDescent="0.35">
      <c r="A26" s="371" t="s">
        <v>20</v>
      </c>
      <c r="B26" s="351">
        <v>1.190799967524</v>
      </c>
      <c r="C26" s="351">
        <v>15.113</v>
      </c>
      <c r="D26" s="352">
        <v>13.922200032475001</v>
      </c>
      <c r="E26" s="353">
        <v>12.691468266846</v>
      </c>
      <c r="F26" s="351">
        <v>18.935594709282999</v>
      </c>
      <c r="G26" s="352">
        <v>6.3118649030940004</v>
      </c>
      <c r="H26" s="354">
        <v>0.62445999999900004</v>
      </c>
      <c r="I26" s="351">
        <v>4.7964200000000003</v>
      </c>
      <c r="J26" s="352">
        <v>-1.515444903094</v>
      </c>
      <c r="K26" s="355">
        <v>0.25330178817400001</v>
      </c>
    </row>
    <row r="27" spans="1:11" ht="14.4" customHeight="1" thickBot="1" x14ac:dyDescent="0.35">
      <c r="A27" s="375" t="s">
        <v>225</v>
      </c>
      <c r="B27" s="351">
        <v>1.190799967524</v>
      </c>
      <c r="C27" s="351">
        <v>15.113</v>
      </c>
      <c r="D27" s="352">
        <v>13.922200032475001</v>
      </c>
      <c r="E27" s="353">
        <v>12.691468266846</v>
      </c>
      <c r="F27" s="351">
        <v>18.935594709282999</v>
      </c>
      <c r="G27" s="352">
        <v>6.3118649030940004</v>
      </c>
      <c r="H27" s="354">
        <v>0.62445999999900004</v>
      </c>
      <c r="I27" s="351">
        <v>4.7964200000000003</v>
      </c>
      <c r="J27" s="352">
        <v>-1.515444903094</v>
      </c>
      <c r="K27" s="355">
        <v>0.25330178817400001</v>
      </c>
    </row>
    <row r="28" spans="1:11" ht="14.4" customHeight="1" thickBot="1" x14ac:dyDescent="0.35">
      <c r="A28" s="373" t="s">
        <v>226</v>
      </c>
      <c r="B28" s="351">
        <v>0.11328915218299999</v>
      </c>
      <c r="C28" s="351">
        <v>0.23530000000000001</v>
      </c>
      <c r="D28" s="352">
        <v>0.122010847816</v>
      </c>
      <c r="E28" s="353">
        <v>2.0769861497390001</v>
      </c>
      <c r="F28" s="351">
        <v>1.2035123946999999E-2</v>
      </c>
      <c r="G28" s="352">
        <v>4.0117079820000002E-3</v>
      </c>
      <c r="H28" s="354">
        <v>0</v>
      </c>
      <c r="I28" s="351">
        <v>0</v>
      </c>
      <c r="J28" s="352">
        <v>-4.0117079820000002E-3</v>
      </c>
      <c r="K28" s="355">
        <v>0</v>
      </c>
    </row>
    <row r="29" spans="1:11" ht="14.4" customHeight="1" thickBot="1" x14ac:dyDescent="0.35">
      <c r="A29" s="373" t="s">
        <v>227</v>
      </c>
      <c r="B29" s="351">
        <v>0</v>
      </c>
      <c r="C29" s="351">
        <v>8.7193699999999996</v>
      </c>
      <c r="D29" s="352">
        <v>8.7193699999999996</v>
      </c>
      <c r="E29" s="361" t="s">
        <v>214</v>
      </c>
      <c r="F29" s="351">
        <v>14.116164084423</v>
      </c>
      <c r="G29" s="352">
        <v>4.7053880281409999</v>
      </c>
      <c r="H29" s="354">
        <v>0</v>
      </c>
      <c r="I29" s="351">
        <v>2.4929999999999999</v>
      </c>
      <c r="J29" s="352">
        <v>-2.212388028141</v>
      </c>
      <c r="K29" s="355">
        <v>0.17660605140899999</v>
      </c>
    </row>
    <row r="30" spans="1:11" ht="14.4" customHeight="1" thickBot="1" x14ac:dyDescent="0.35">
      <c r="A30" s="373" t="s">
        <v>228</v>
      </c>
      <c r="B30" s="351">
        <v>1.077510815341</v>
      </c>
      <c r="C30" s="351">
        <v>6.1583300000000003</v>
      </c>
      <c r="D30" s="352">
        <v>5.080819184658</v>
      </c>
      <c r="E30" s="353">
        <v>5.7153301037149999</v>
      </c>
      <c r="F30" s="351">
        <v>4.5704134365850004</v>
      </c>
      <c r="G30" s="352">
        <v>1.5234711455279999</v>
      </c>
      <c r="H30" s="354">
        <v>0.62445999999900004</v>
      </c>
      <c r="I30" s="351">
        <v>2.30342</v>
      </c>
      <c r="J30" s="352">
        <v>0.77994885447100004</v>
      </c>
      <c r="K30" s="355">
        <v>0.50398504029400004</v>
      </c>
    </row>
    <row r="31" spans="1:11" ht="14.4" customHeight="1" thickBot="1" x14ac:dyDescent="0.35">
      <c r="A31" s="373" t="s">
        <v>229</v>
      </c>
      <c r="B31" s="351">
        <v>0</v>
      </c>
      <c r="C31" s="351">
        <v>0</v>
      </c>
      <c r="D31" s="352">
        <v>0</v>
      </c>
      <c r="E31" s="353">
        <v>1</v>
      </c>
      <c r="F31" s="351">
        <v>0.17894564041</v>
      </c>
      <c r="G31" s="352">
        <v>5.9648546802999997E-2</v>
      </c>
      <c r="H31" s="354">
        <v>0</v>
      </c>
      <c r="I31" s="351">
        <v>0</v>
      </c>
      <c r="J31" s="352">
        <v>-5.9648546802999997E-2</v>
      </c>
      <c r="K31" s="355">
        <v>0</v>
      </c>
    </row>
    <row r="32" spans="1:11" ht="14.4" customHeight="1" thickBot="1" x14ac:dyDescent="0.35">
      <c r="A32" s="373" t="s">
        <v>230</v>
      </c>
      <c r="B32" s="351">
        <v>0</v>
      </c>
      <c r="C32" s="351">
        <v>0</v>
      </c>
      <c r="D32" s="352">
        <v>0</v>
      </c>
      <c r="E32" s="353">
        <v>1</v>
      </c>
      <c r="F32" s="351">
        <v>5.8036423916000002E-2</v>
      </c>
      <c r="G32" s="352">
        <v>1.9345474638000001E-2</v>
      </c>
      <c r="H32" s="354">
        <v>0</v>
      </c>
      <c r="I32" s="351">
        <v>0</v>
      </c>
      <c r="J32" s="352">
        <v>-1.9345474638000001E-2</v>
      </c>
      <c r="K32" s="355">
        <v>0</v>
      </c>
    </row>
    <row r="33" spans="1:11" ht="14.4" customHeight="1" thickBot="1" x14ac:dyDescent="0.35">
      <c r="A33" s="376" t="s">
        <v>21</v>
      </c>
      <c r="B33" s="356">
        <v>0</v>
      </c>
      <c r="C33" s="356">
        <v>3.3740000000000001</v>
      </c>
      <c r="D33" s="357">
        <v>3.3740000000000001</v>
      </c>
      <c r="E33" s="364" t="s">
        <v>203</v>
      </c>
      <c r="F33" s="356">
        <v>0</v>
      </c>
      <c r="G33" s="357">
        <v>0</v>
      </c>
      <c r="H33" s="359">
        <v>0</v>
      </c>
      <c r="I33" s="356">
        <v>1.03</v>
      </c>
      <c r="J33" s="357">
        <v>1.03</v>
      </c>
      <c r="K33" s="362" t="s">
        <v>203</v>
      </c>
    </row>
    <row r="34" spans="1:11" ht="14.4" customHeight="1" thickBot="1" x14ac:dyDescent="0.35">
      <c r="A34" s="372" t="s">
        <v>231</v>
      </c>
      <c r="B34" s="356">
        <v>0</v>
      </c>
      <c r="C34" s="356">
        <v>3.3740000000000001</v>
      </c>
      <c r="D34" s="357">
        <v>3.3740000000000001</v>
      </c>
      <c r="E34" s="364" t="s">
        <v>203</v>
      </c>
      <c r="F34" s="356">
        <v>0</v>
      </c>
      <c r="G34" s="357">
        <v>0</v>
      </c>
      <c r="H34" s="359">
        <v>0</v>
      </c>
      <c r="I34" s="356">
        <v>1.03</v>
      </c>
      <c r="J34" s="357">
        <v>1.03</v>
      </c>
      <c r="K34" s="362" t="s">
        <v>203</v>
      </c>
    </row>
    <row r="35" spans="1:11" ht="14.4" customHeight="1" thickBot="1" x14ac:dyDescent="0.35">
      <c r="A35" s="373" t="s">
        <v>232</v>
      </c>
      <c r="B35" s="351">
        <v>0</v>
      </c>
      <c r="C35" s="351">
        <v>3.3740000000000001</v>
      </c>
      <c r="D35" s="352">
        <v>3.3740000000000001</v>
      </c>
      <c r="E35" s="361" t="s">
        <v>203</v>
      </c>
      <c r="F35" s="351">
        <v>0</v>
      </c>
      <c r="G35" s="352">
        <v>0</v>
      </c>
      <c r="H35" s="354">
        <v>0</v>
      </c>
      <c r="I35" s="351">
        <v>1.03</v>
      </c>
      <c r="J35" s="352">
        <v>1.03</v>
      </c>
      <c r="K35" s="363" t="s">
        <v>203</v>
      </c>
    </row>
    <row r="36" spans="1:11" ht="14.4" customHeight="1" thickBot="1" x14ac:dyDescent="0.35">
      <c r="A36" s="371" t="s">
        <v>22</v>
      </c>
      <c r="B36" s="351">
        <v>29.189242695968002</v>
      </c>
      <c r="C36" s="351">
        <v>35.079659999999997</v>
      </c>
      <c r="D36" s="352">
        <v>5.8904173040309997</v>
      </c>
      <c r="E36" s="353">
        <v>1.201800963642</v>
      </c>
      <c r="F36" s="351">
        <v>31.852353964178</v>
      </c>
      <c r="G36" s="352">
        <v>10.617451321392</v>
      </c>
      <c r="H36" s="354">
        <v>2.3477199999990002</v>
      </c>
      <c r="I36" s="351">
        <v>8.5070300000000003</v>
      </c>
      <c r="J36" s="352">
        <v>-2.1104213213919998</v>
      </c>
      <c r="K36" s="355">
        <v>0.26707696421900001</v>
      </c>
    </row>
    <row r="37" spans="1:11" ht="14.4" customHeight="1" thickBot="1" x14ac:dyDescent="0.35">
      <c r="A37" s="372" t="s">
        <v>233</v>
      </c>
      <c r="B37" s="356">
        <v>4.9705299658640003</v>
      </c>
      <c r="C37" s="356">
        <v>2.29392</v>
      </c>
      <c r="D37" s="357">
        <v>-2.6766099658639999</v>
      </c>
      <c r="E37" s="358">
        <v>0.461504108365</v>
      </c>
      <c r="F37" s="356">
        <v>2.3047557493749999</v>
      </c>
      <c r="G37" s="357">
        <v>0.76825191645799995</v>
      </c>
      <c r="H37" s="359">
        <v>0.24144999999899999</v>
      </c>
      <c r="I37" s="356">
        <v>1.16195</v>
      </c>
      <c r="J37" s="357">
        <v>0.393698083541</v>
      </c>
      <c r="K37" s="360">
        <v>0.50415320595799995</v>
      </c>
    </row>
    <row r="38" spans="1:11" ht="14.4" customHeight="1" thickBot="1" x14ac:dyDescent="0.35">
      <c r="A38" s="373" t="s">
        <v>234</v>
      </c>
      <c r="B38" s="351">
        <v>5.5946743638999999E-2</v>
      </c>
      <c r="C38" s="351">
        <v>0.10639999999999999</v>
      </c>
      <c r="D38" s="352">
        <v>5.0453256359999997E-2</v>
      </c>
      <c r="E38" s="353">
        <v>1.9018086322579999</v>
      </c>
      <c r="F38" s="351">
        <v>0.10560607165700001</v>
      </c>
      <c r="G38" s="352">
        <v>3.5202023885000003E-2</v>
      </c>
      <c r="H38" s="354">
        <v>9.4999999989999993E-3</v>
      </c>
      <c r="I38" s="351">
        <v>1.8999999999000001E-2</v>
      </c>
      <c r="J38" s="352">
        <v>-1.6202023885E-2</v>
      </c>
      <c r="K38" s="355">
        <v>0.17991389795900001</v>
      </c>
    </row>
    <row r="39" spans="1:11" ht="14.4" customHeight="1" thickBot="1" x14ac:dyDescent="0.35">
      <c r="A39" s="373" t="s">
        <v>235</v>
      </c>
      <c r="B39" s="351">
        <v>4.9145832222239996</v>
      </c>
      <c r="C39" s="351">
        <v>2.1875200000000001</v>
      </c>
      <c r="D39" s="352">
        <v>-2.7270632222239999</v>
      </c>
      <c r="E39" s="353">
        <v>0.44510793715000002</v>
      </c>
      <c r="F39" s="351">
        <v>2.1991496777180002</v>
      </c>
      <c r="G39" s="352">
        <v>0.73304989257200004</v>
      </c>
      <c r="H39" s="354">
        <v>0.23194999999900001</v>
      </c>
      <c r="I39" s="351">
        <v>1.1429499999999999</v>
      </c>
      <c r="J39" s="352">
        <v>0.409900107427</v>
      </c>
      <c r="K39" s="355">
        <v>0.51972360570999998</v>
      </c>
    </row>
    <row r="40" spans="1:11" ht="14.4" customHeight="1" thickBot="1" x14ac:dyDescent="0.35">
      <c r="A40" s="372" t="s">
        <v>236</v>
      </c>
      <c r="B40" s="356">
        <v>3.9752112676050002</v>
      </c>
      <c r="C40" s="356">
        <v>3.375</v>
      </c>
      <c r="D40" s="357">
        <v>-0.60021126760499999</v>
      </c>
      <c r="E40" s="358">
        <v>0.84901147959099998</v>
      </c>
      <c r="F40" s="356">
        <v>1.9999999999989999</v>
      </c>
      <c r="G40" s="357">
        <v>0.66666666666600005</v>
      </c>
      <c r="H40" s="359">
        <v>0.53999999999899995</v>
      </c>
      <c r="I40" s="356">
        <v>1.08</v>
      </c>
      <c r="J40" s="357">
        <v>0.41333333333299999</v>
      </c>
      <c r="K40" s="360">
        <v>0.54</v>
      </c>
    </row>
    <row r="41" spans="1:11" ht="14.4" customHeight="1" thickBot="1" x14ac:dyDescent="0.35">
      <c r="A41" s="373" t="s">
        <v>237</v>
      </c>
      <c r="B41" s="351">
        <v>3.9752112676050002</v>
      </c>
      <c r="C41" s="351">
        <v>3.375</v>
      </c>
      <c r="D41" s="352">
        <v>-0.60021126760499999</v>
      </c>
      <c r="E41" s="353">
        <v>0.84901147959099998</v>
      </c>
      <c r="F41" s="351">
        <v>1.9999999999989999</v>
      </c>
      <c r="G41" s="352">
        <v>0.66666666666600005</v>
      </c>
      <c r="H41" s="354">
        <v>0.53999999999899995</v>
      </c>
      <c r="I41" s="351">
        <v>1.08</v>
      </c>
      <c r="J41" s="352">
        <v>0.41333333333299999</v>
      </c>
      <c r="K41" s="355">
        <v>0.54</v>
      </c>
    </row>
    <row r="42" spans="1:11" ht="14.4" customHeight="1" thickBot="1" x14ac:dyDescent="0.35">
      <c r="A42" s="372" t="s">
        <v>238</v>
      </c>
      <c r="B42" s="356">
        <v>19.569821208876</v>
      </c>
      <c r="C42" s="356">
        <v>17.80904</v>
      </c>
      <c r="D42" s="357">
        <v>-1.760781208876</v>
      </c>
      <c r="E42" s="358">
        <v>0.91002568750699997</v>
      </c>
      <c r="F42" s="356">
        <v>19.132620810790002</v>
      </c>
      <c r="G42" s="357">
        <v>6.3775402702630002</v>
      </c>
      <c r="H42" s="359">
        <v>1.566269999999</v>
      </c>
      <c r="I42" s="356">
        <v>6.2650800000000002</v>
      </c>
      <c r="J42" s="357">
        <v>-0.112460270263</v>
      </c>
      <c r="K42" s="360">
        <v>0.32745539996599998</v>
      </c>
    </row>
    <row r="43" spans="1:11" ht="14.4" customHeight="1" thickBot="1" x14ac:dyDescent="0.35">
      <c r="A43" s="373" t="s">
        <v>239</v>
      </c>
      <c r="B43" s="351">
        <v>19.569821208876</v>
      </c>
      <c r="C43" s="351">
        <v>17.80904</v>
      </c>
      <c r="D43" s="352">
        <v>-1.760781208876</v>
      </c>
      <c r="E43" s="353">
        <v>0.91002568750699997</v>
      </c>
      <c r="F43" s="351">
        <v>19.132620810790002</v>
      </c>
      <c r="G43" s="352">
        <v>6.3775402702630002</v>
      </c>
      <c r="H43" s="354">
        <v>1.566269999999</v>
      </c>
      <c r="I43" s="351">
        <v>6.2650800000000002</v>
      </c>
      <c r="J43" s="352">
        <v>-0.112460270263</v>
      </c>
      <c r="K43" s="355">
        <v>0.32745539996599998</v>
      </c>
    </row>
    <row r="44" spans="1:11" ht="14.4" customHeight="1" thickBot="1" x14ac:dyDescent="0.35">
      <c r="A44" s="372" t="s">
        <v>240</v>
      </c>
      <c r="B44" s="356">
        <v>0.67368025362200001</v>
      </c>
      <c r="C44" s="356">
        <v>7.524</v>
      </c>
      <c r="D44" s="357">
        <v>6.850319746377</v>
      </c>
      <c r="E44" s="358">
        <v>11.168503098531</v>
      </c>
      <c r="F44" s="356">
        <v>8.4149774040119993</v>
      </c>
      <c r="G44" s="357">
        <v>2.8049924680039999</v>
      </c>
      <c r="H44" s="359">
        <v>0</v>
      </c>
      <c r="I44" s="356">
        <v>0</v>
      </c>
      <c r="J44" s="357">
        <v>-2.8049924680039999</v>
      </c>
      <c r="K44" s="360">
        <v>0</v>
      </c>
    </row>
    <row r="45" spans="1:11" ht="14.4" customHeight="1" thickBot="1" x14ac:dyDescent="0.35">
      <c r="A45" s="373" t="s">
        <v>241</v>
      </c>
      <c r="B45" s="351">
        <v>0</v>
      </c>
      <c r="C45" s="351">
        <v>7.1239999999999997</v>
      </c>
      <c r="D45" s="352">
        <v>7.1239999999999997</v>
      </c>
      <c r="E45" s="361" t="s">
        <v>214</v>
      </c>
      <c r="F45" s="351">
        <v>8.215950047023</v>
      </c>
      <c r="G45" s="352">
        <v>2.7386500156740001</v>
      </c>
      <c r="H45" s="354">
        <v>0</v>
      </c>
      <c r="I45" s="351">
        <v>0</v>
      </c>
      <c r="J45" s="352">
        <v>-2.7386500156740001</v>
      </c>
      <c r="K45" s="355">
        <v>0</v>
      </c>
    </row>
    <row r="46" spans="1:11" ht="14.4" customHeight="1" thickBot="1" x14ac:dyDescent="0.35">
      <c r="A46" s="373" t="s">
        <v>242</v>
      </c>
      <c r="B46" s="351">
        <v>0.67368025362200001</v>
      </c>
      <c r="C46" s="351">
        <v>0.4</v>
      </c>
      <c r="D46" s="352">
        <v>-0.27368025362199999</v>
      </c>
      <c r="E46" s="353">
        <v>0.59375348742800005</v>
      </c>
      <c r="F46" s="351">
        <v>0.199027356988</v>
      </c>
      <c r="G46" s="352">
        <v>6.6342452329000004E-2</v>
      </c>
      <c r="H46" s="354">
        <v>0</v>
      </c>
      <c r="I46" s="351">
        <v>0</v>
      </c>
      <c r="J46" s="352">
        <v>-6.6342452329000004E-2</v>
      </c>
      <c r="K46" s="355">
        <v>0</v>
      </c>
    </row>
    <row r="47" spans="1:11" ht="14.4" customHeight="1" thickBot="1" x14ac:dyDescent="0.35">
      <c r="A47" s="372" t="s">
        <v>243</v>
      </c>
      <c r="B47" s="356">
        <v>0</v>
      </c>
      <c r="C47" s="356">
        <v>4.0777000000000001</v>
      </c>
      <c r="D47" s="357">
        <v>4.0777000000000001</v>
      </c>
      <c r="E47" s="364" t="s">
        <v>203</v>
      </c>
      <c r="F47" s="356">
        <v>0</v>
      </c>
      <c r="G47" s="357">
        <v>0</v>
      </c>
      <c r="H47" s="359">
        <v>0</v>
      </c>
      <c r="I47" s="356">
        <v>0</v>
      </c>
      <c r="J47" s="357">
        <v>0</v>
      </c>
      <c r="K47" s="362" t="s">
        <v>203</v>
      </c>
    </row>
    <row r="48" spans="1:11" ht="14.4" customHeight="1" thickBot="1" x14ac:dyDescent="0.35">
      <c r="A48" s="373" t="s">
        <v>244</v>
      </c>
      <c r="B48" s="351">
        <v>0</v>
      </c>
      <c r="C48" s="351">
        <v>4.0777000000000001</v>
      </c>
      <c r="D48" s="352">
        <v>4.0777000000000001</v>
      </c>
      <c r="E48" s="361" t="s">
        <v>214</v>
      </c>
      <c r="F48" s="351">
        <v>0</v>
      </c>
      <c r="G48" s="352">
        <v>0</v>
      </c>
      <c r="H48" s="354">
        <v>0</v>
      </c>
      <c r="I48" s="351">
        <v>0</v>
      </c>
      <c r="J48" s="352">
        <v>0</v>
      </c>
      <c r="K48" s="363" t="s">
        <v>203</v>
      </c>
    </row>
    <row r="49" spans="1:11" ht="14.4" customHeight="1" thickBot="1" x14ac:dyDescent="0.35">
      <c r="A49" s="370" t="s">
        <v>23</v>
      </c>
      <c r="B49" s="351">
        <v>3681.1589999999901</v>
      </c>
      <c r="C49" s="351">
        <v>4034.4044600000102</v>
      </c>
      <c r="D49" s="352">
        <v>353.24546000001402</v>
      </c>
      <c r="E49" s="353">
        <v>1.095960391822</v>
      </c>
      <c r="F49" s="351">
        <v>3889.7105539999998</v>
      </c>
      <c r="G49" s="352">
        <v>1296.57018466667</v>
      </c>
      <c r="H49" s="354">
        <v>338.84724999999901</v>
      </c>
      <c r="I49" s="351">
        <v>1357.81701</v>
      </c>
      <c r="J49" s="352">
        <v>61.246825333330001</v>
      </c>
      <c r="K49" s="355">
        <v>0.349079190122</v>
      </c>
    </row>
    <row r="50" spans="1:11" ht="14.4" customHeight="1" thickBot="1" x14ac:dyDescent="0.35">
      <c r="A50" s="376" t="s">
        <v>245</v>
      </c>
      <c r="B50" s="356">
        <v>2708.4389999999898</v>
      </c>
      <c r="C50" s="356">
        <v>2968.5039999999999</v>
      </c>
      <c r="D50" s="357">
        <v>260.06500000001199</v>
      </c>
      <c r="E50" s="358">
        <v>1.0960202537320001</v>
      </c>
      <c r="F50" s="356">
        <v>2795.8700000000099</v>
      </c>
      <c r="G50" s="357">
        <v>931.95666666666796</v>
      </c>
      <c r="H50" s="359">
        <v>249.15199999999899</v>
      </c>
      <c r="I50" s="356">
        <v>998.39299999999901</v>
      </c>
      <c r="J50" s="357">
        <v>66.436333333329998</v>
      </c>
      <c r="K50" s="360">
        <v>0.357095644647</v>
      </c>
    </row>
    <row r="51" spans="1:11" ht="14.4" customHeight="1" thickBot="1" x14ac:dyDescent="0.35">
      <c r="A51" s="372" t="s">
        <v>246</v>
      </c>
      <c r="B51" s="356">
        <v>2701.99999999999</v>
      </c>
      <c r="C51" s="356">
        <v>2960.3910000000001</v>
      </c>
      <c r="D51" s="357">
        <v>258.39100000001201</v>
      </c>
      <c r="E51" s="358">
        <v>1.095629533678</v>
      </c>
      <c r="F51" s="356">
        <v>2787.7400000000098</v>
      </c>
      <c r="G51" s="357">
        <v>929.24666666666803</v>
      </c>
      <c r="H51" s="359">
        <v>249.15199999999899</v>
      </c>
      <c r="I51" s="356">
        <v>998.39299999999901</v>
      </c>
      <c r="J51" s="357">
        <v>69.146333333331</v>
      </c>
      <c r="K51" s="360">
        <v>0.35813705725700001</v>
      </c>
    </row>
    <row r="52" spans="1:11" ht="14.4" customHeight="1" thickBot="1" x14ac:dyDescent="0.35">
      <c r="A52" s="373" t="s">
        <v>247</v>
      </c>
      <c r="B52" s="351">
        <v>2701.99999999999</v>
      </c>
      <c r="C52" s="351">
        <v>2960.3910000000001</v>
      </c>
      <c r="D52" s="352">
        <v>258.39100000001201</v>
      </c>
      <c r="E52" s="353">
        <v>1.095629533678</v>
      </c>
      <c r="F52" s="351">
        <v>2787.7400000000098</v>
      </c>
      <c r="G52" s="352">
        <v>929.24666666666803</v>
      </c>
      <c r="H52" s="354">
        <v>249.15199999999899</v>
      </c>
      <c r="I52" s="351">
        <v>998.39299999999901</v>
      </c>
      <c r="J52" s="352">
        <v>69.146333333331</v>
      </c>
      <c r="K52" s="355">
        <v>0.35813705725700001</v>
      </c>
    </row>
    <row r="53" spans="1:11" ht="14.4" customHeight="1" thickBot="1" x14ac:dyDescent="0.35">
      <c r="A53" s="372" t="s">
        <v>248</v>
      </c>
      <c r="B53" s="356">
        <v>6.4390000000000001</v>
      </c>
      <c r="C53" s="356">
        <v>8.1129999999999995</v>
      </c>
      <c r="D53" s="357">
        <v>1.6739999999999999</v>
      </c>
      <c r="E53" s="358">
        <v>1.2599782574930001</v>
      </c>
      <c r="F53" s="356">
        <v>8.1300000000000008</v>
      </c>
      <c r="G53" s="357">
        <v>2.71</v>
      </c>
      <c r="H53" s="359">
        <v>0</v>
      </c>
      <c r="I53" s="356">
        <v>0</v>
      </c>
      <c r="J53" s="357">
        <v>-2.71</v>
      </c>
      <c r="K53" s="360">
        <v>0</v>
      </c>
    </row>
    <row r="54" spans="1:11" ht="14.4" customHeight="1" thickBot="1" x14ac:dyDescent="0.35">
      <c r="A54" s="373" t="s">
        <v>249</v>
      </c>
      <c r="B54" s="351">
        <v>6.4390000000000001</v>
      </c>
      <c r="C54" s="351">
        <v>8.1129999999999995</v>
      </c>
      <c r="D54" s="352">
        <v>1.6739999999999999</v>
      </c>
      <c r="E54" s="353">
        <v>1.2599782574930001</v>
      </c>
      <c r="F54" s="351">
        <v>8.1300000000000008</v>
      </c>
      <c r="G54" s="352">
        <v>2.71</v>
      </c>
      <c r="H54" s="354">
        <v>0</v>
      </c>
      <c r="I54" s="351">
        <v>0</v>
      </c>
      <c r="J54" s="352">
        <v>-2.71</v>
      </c>
      <c r="K54" s="355">
        <v>0</v>
      </c>
    </row>
    <row r="55" spans="1:11" ht="14.4" customHeight="1" thickBot="1" x14ac:dyDescent="0.35">
      <c r="A55" s="371" t="s">
        <v>250</v>
      </c>
      <c r="B55" s="351">
        <v>918.68</v>
      </c>
      <c r="C55" s="351">
        <v>1006.53122</v>
      </c>
      <c r="D55" s="352">
        <v>87.851220000002002</v>
      </c>
      <c r="E55" s="353">
        <v>1.095627661427</v>
      </c>
      <c r="F55" s="351">
        <v>1021.18</v>
      </c>
      <c r="G55" s="352">
        <v>340.39333333333298</v>
      </c>
      <c r="H55" s="354">
        <v>84.711019999998996</v>
      </c>
      <c r="I55" s="351">
        <v>339.45200999999997</v>
      </c>
      <c r="J55" s="352">
        <v>-0.941323333333</v>
      </c>
      <c r="K55" s="355">
        <v>0.33241153371499998</v>
      </c>
    </row>
    <row r="56" spans="1:11" ht="14.4" customHeight="1" thickBot="1" x14ac:dyDescent="0.35">
      <c r="A56" s="372" t="s">
        <v>251</v>
      </c>
      <c r="B56" s="356">
        <v>243.180000000001</v>
      </c>
      <c r="C56" s="356">
        <v>266.43347</v>
      </c>
      <c r="D56" s="357">
        <v>23.253469999999002</v>
      </c>
      <c r="E56" s="358">
        <v>1.0956224607280001</v>
      </c>
      <c r="F56" s="356">
        <v>270.30999999999898</v>
      </c>
      <c r="G56" s="357">
        <v>90.103333333332998</v>
      </c>
      <c r="H56" s="359">
        <v>22.423019999998999</v>
      </c>
      <c r="I56" s="356">
        <v>89.853759999999994</v>
      </c>
      <c r="J56" s="357">
        <v>-0.249573333333</v>
      </c>
      <c r="K56" s="360">
        <v>0.332410047722</v>
      </c>
    </row>
    <row r="57" spans="1:11" ht="14.4" customHeight="1" thickBot="1" x14ac:dyDescent="0.35">
      <c r="A57" s="373" t="s">
        <v>252</v>
      </c>
      <c r="B57" s="351">
        <v>243.180000000001</v>
      </c>
      <c r="C57" s="351">
        <v>266.43347</v>
      </c>
      <c r="D57" s="352">
        <v>23.253469999999002</v>
      </c>
      <c r="E57" s="353">
        <v>1.0956224607280001</v>
      </c>
      <c r="F57" s="351">
        <v>270.30999999999898</v>
      </c>
      <c r="G57" s="352">
        <v>90.103333333332998</v>
      </c>
      <c r="H57" s="354">
        <v>22.423019999998999</v>
      </c>
      <c r="I57" s="351">
        <v>89.853759999999994</v>
      </c>
      <c r="J57" s="352">
        <v>-0.249573333333</v>
      </c>
      <c r="K57" s="355">
        <v>0.332410047722</v>
      </c>
    </row>
    <row r="58" spans="1:11" ht="14.4" customHeight="1" thickBot="1" x14ac:dyDescent="0.35">
      <c r="A58" s="372" t="s">
        <v>253</v>
      </c>
      <c r="B58" s="356">
        <v>675.49999999999898</v>
      </c>
      <c r="C58" s="356">
        <v>740.09775000000104</v>
      </c>
      <c r="D58" s="357">
        <v>64.597750000001994</v>
      </c>
      <c r="E58" s="358">
        <v>1.095629533678</v>
      </c>
      <c r="F58" s="356">
        <v>750.87</v>
      </c>
      <c r="G58" s="357">
        <v>250.29</v>
      </c>
      <c r="H58" s="359">
        <v>62.287999999999002</v>
      </c>
      <c r="I58" s="356">
        <v>249.59825000000001</v>
      </c>
      <c r="J58" s="357">
        <v>-0.69174999999999998</v>
      </c>
      <c r="K58" s="360">
        <v>0.33241206866700002</v>
      </c>
    </row>
    <row r="59" spans="1:11" ht="14.4" customHeight="1" thickBot="1" x14ac:dyDescent="0.35">
      <c r="A59" s="373" t="s">
        <v>254</v>
      </c>
      <c r="B59" s="351">
        <v>675.49999999999898</v>
      </c>
      <c r="C59" s="351">
        <v>740.09775000000104</v>
      </c>
      <c r="D59" s="352">
        <v>64.597750000001994</v>
      </c>
      <c r="E59" s="353">
        <v>1.095629533678</v>
      </c>
      <c r="F59" s="351">
        <v>750.87</v>
      </c>
      <c r="G59" s="352">
        <v>250.29</v>
      </c>
      <c r="H59" s="354">
        <v>62.287999999999002</v>
      </c>
      <c r="I59" s="351">
        <v>249.59825000000001</v>
      </c>
      <c r="J59" s="352">
        <v>-0.69174999999999998</v>
      </c>
      <c r="K59" s="355">
        <v>0.33241206866700002</v>
      </c>
    </row>
    <row r="60" spans="1:11" ht="14.4" customHeight="1" thickBot="1" x14ac:dyDescent="0.35">
      <c r="A60" s="371" t="s">
        <v>255</v>
      </c>
      <c r="B60" s="351">
        <v>0</v>
      </c>
      <c r="C60" s="351">
        <v>0</v>
      </c>
      <c r="D60" s="352">
        <v>0</v>
      </c>
      <c r="E60" s="353">
        <v>1</v>
      </c>
      <c r="F60" s="351">
        <v>12.580553999999999</v>
      </c>
      <c r="G60" s="352">
        <v>4.1935180000000001</v>
      </c>
      <c r="H60" s="354">
        <v>0</v>
      </c>
      <c r="I60" s="351">
        <v>0</v>
      </c>
      <c r="J60" s="352">
        <v>-4.1935180000000001</v>
      </c>
      <c r="K60" s="355">
        <v>0</v>
      </c>
    </row>
    <row r="61" spans="1:11" ht="14.4" customHeight="1" thickBot="1" x14ac:dyDescent="0.35">
      <c r="A61" s="372" t="s">
        <v>256</v>
      </c>
      <c r="B61" s="356">
        <v>0</v>
      </c>
      <c r="C61" s="356">
        <v>0</v>
      </c>
      <c r="D61" s="357">
        <v>0</v>
      </c>
      <c r="E61" s="358">
        <v>1</v>
      </c>
      <c r="F61" s="356">
        <v>12.580553999999999</v>
      </c>
      <c r="G61" s="357">
        <v>4.1935180000000001</v>
      </c>
      <c r="H61" s="359">
        <v>0</v>
      </c>
      <c r="I61" s="356">
        <v>0</v>
      </c>
      <c r="J61" s="357">
        <v>-4.1935180000000001</v>
      </c>
      <c r="K61" s="360">
        <v>0</v>
      </c>
    </row>
    <row r="62" spans="1:11" ht="14.4" customHeight="1" thickBot="1" x14ac:dyDescent="0.35">
      <c r="A62" s="373" t="s">
        <v>257</v>
      </c>
      <c r="B62" s="351">
        <v>0</v>
      </c>
      <c r="C62" s="351">
        <v>0</v>
      </c>
      <c r="D62" s="352">
        <v>0</v>
      </c>
      <c r="E62" s="353">
        <v>1</v>
      </c>
      <c r="F62" s="351">
        <v>12.580553999999999</v>
      </c>
      <c r="G62" s="352">
        <v>4.1935180000000001</v>
      </c>
      <c r="H62" s="354">
        <v>0</v>
      </c>
      <c r="I62" s="351">
        <v>0</v>
      </c>
      <c r="J62" s="352">
        <v>-4.1935180000000001</v>
      </c>
      <c r="K62" s="355">
        <v>0</v>
      </c>
    </row>
    <row r="63" spans="1:11" ht="14.4" customHeight="1" thickBot="1" x14ac:dyDescent="0.35">
      <c r="A63" s="371" t="s">
        <v>258</v>
      </c>
      <c r="B63" s="351">
        <v>54.04</v>
      </c>
      <c r="C63" s="351">
        <v>59.369239999999998</v>
      </c>
      <c r="D63" s="352">
        <v>5.3292399999990003</v>
      </c>
      <c r="E63" s="353">
        <v>1.0986165803100001</v>
      </c>
      <c r="F63" s="351">
        <v>60.079999999999004</v>
      </c>
      <c r="G63" s="352">
        <v>20.026666666665999</v>
      </c>
      <c r="H63" s="354">
        <v>4.9842299999990001</v>
      </c>
      <c r="I63" s="351">
        <v>19.972000000000001</v>
      </c>
      <c r="J63" s="352">
        <v>-5.4666666666000001E-2</v>
      </c>
      <c r="K63" s="355">
        <v>0.33242343541899999</v>
      </c>
    </row>
    <row r="64" spans="1:11" ht="14.4" customHeight="1" thickBot="1" x14ac:dyDescent="0.35">
      <c r="A64" s="372" t="s">
        <v>259</v>
      </c>
      <c r="B64" s="356">
        <v>54.04</v>
      </c>
      <c r="C64" s="356">
        <v>59.369239999999998</v>
      </c>
      <c r="D64" s="357">
        <v>5.3292399999990003</v>
      </c>
      <c r="E64" s="358">
        <v>1.0986165803100001</v>
      </c>
      <c r="F64" s="356">
        <v>60.079999999999004</v>
      </c>
      <c r="G64" s="357">
        <v>20.026666666665999</v>
      </c>
      <c r="H64" s="359">
        <v>4.9842299999990001</v>
      </c>
      <c r="I64" s="356">
        <v>19.972000000000001</v>
      </c>
      <c r="J64" s="357">
        <v>-5.4666666666000001E-2</v>
      </c>
      <c r="K64" s="360">
        <v>0.33242343541899999</v>
      </c>
    </row>
    <row r="65" spans="1:11" ht="14.4" customHeight="1" thickBot="1" x14ac:dyDescent="0.35">
      <c r="A65" s="373" t="s">
        <v>260</v>
      </c>
      <c r="B65" s="351">
        <v>54.04</v>
      </c>
      <c r="C65" s="351">
        <v>59.369239999999998</v>
      </c>
      <c r="D65" s="352">
        <v>5.3292399999990003</v>
      </c>
      <c r="E65" s="353">
        <v>1.0986165803100001</v>
      </c>
      <c r="F65" s="351">
        <v>60.079999999999004</v>
      </c>
      <c r="G65" s="352">
        <v>20.026666666665999</v>
      </c>
      <c r="H65" s="354">
        <v>4.9842299999990001</v>
      </c>
      <c r="I65" s="351">
        <v>19.972000000000001</v>
      </c>
      <c r="J65" s="352">
        <v>-5.4666666666000001E-2</v>
      </c>
      <c r="K65" s="355">
        <v>0.33242343541899999</v>
      </c>
    </row>
    <row r="66" spans="1:11" ht="14.4" customHeight="1" thickBot="1" x14ac:dyDescent="0.35">
      <c r="A66" s="370" t="s">
        <v>261</v>
      </c>
      <c r="B66" s="351">
        <v>1.247647293674</v>
      </c>
      <c r="C66" s="351">
        <v>8.7852499999999996</v>
      </c>
      <c r="D66" s="352">
        <v>7.537602706325</v>
      </c>
      <c r="E66" s="353">
        <v>7.0414531771420004</v>
      </c>
      <c r="F66" s="351">
        <v>0</v>
      </c>
      <c r="G66" s="352">
        <v>0</v>
      </c>
      <c r="H66" s="354">
        <v>0</v>
      </c>
      <c r="I66" s="351">
        <v>1.8</v>
      </c>
      <c r="J66" s="352">
        <v>1.8</v>
      </c>
      <c r="K66" s="363" t="s">
        <v>203</v>
      </c>
    </row>
    <row r="67" spans="1:11" ht="14.4" customHeight="1" thickBot="1" x14ac:dyDescent="0.35">
      <c r="A67" s="371" t="s">
        <v>262</v>
      </c>
      <c r="B67" s="351">
        <v>1.247647293674</v>
      </c>
      <c r="C67" s="351">
        <v>8.7852499999999996</v>
      </c>
      <c r="D67" s="352">
        <v>7.537602706325</v>
      </c>
      <c r="E67" s="353">
        <v>7.0414531771420004</v>
      </c>
      <c r="F67" s="351">
        <v>0</v>
      </c>
      <c r="G67" s="352">
        <v>0</v>
      </c>
      <c r="H67" s="354">
        <v>0</v>
      </c>
      <c r="I67" s="351">
        <v>1.8</v>
      </c>
      <c r="J67" s="352">
        <v>1.8</v>
      </c>
      <c r="K67" s="363" t="s">
        <v>203</v>
      </c>
    </row>
    <row r="68" spans="1:11" ht="14.4" customHeight="1" thickBot="1" x14ac:dyDescent="0.35">
      <c r="A68" s="372" t="s">
        <v>263</v>
      </c>
      <c r="B68" s="356">
        <v>0</v>
      </c>
      <c r="C68" s="356">
        <v>8.5250000000000006E-2</v>
      </c>
      <c r="D68" s="357">
        <v>8.5250000000000006E-2</v>
      </c>
      <c r="E68" s="364" t="s">
        <v>214</v>
      </c>
      <c r="F68" s="356">
        <v>0</v>
      </c>
      <c r="G68" s="357">
        <v>0</v>
      </c>
      <c r="H68" s="359">
        <v>0</v>
      </c>
      <c r="I68" s="356">
        <v>0</v>
      </c>
      <c r="J68" s="357">
        <v>0</v>
      </c>
      <c r="K68" s="362" t="s">
        <v>203</v>
      </c>
    </row>
    <row r="69" spans="1:11" ht="14.4" customHeight="1" thickBot="1" x14ac:dyDescent="0.35">
      <c r="A69" s="373" t="s">
        <v>264</v>
      </c>
      <c r="B69" s="351">
        <v>0</v>
      </c>
      <c r="C69" s="351">
        <v>8.5250000000000006E-2</v>
      </c>
      <c r="D69" s="352">
        <v>8.5250000000000006E-2</v>
      </c>
      <c r="E69" s="361" t="s">
        <v>214</v>
      </c>
      <c r="F69" s="351">
        <v>0</v>
      </c>
      <c r="G69" s="352">
        <v>0</v>
      </c>
      <c r="H69" s="354">
        <v>0</v>
      </c>
      <c r="I69" s="351">
        <v>0</v>
      </c>
      <c r="J69" s="352">
        <v>0</v>
      </c>
      <c r="K69" s="363" t="s">
        <v>203</v>
      </c>
    </row>
    <row r="70" spans="1:11" ht="14.4" customHeight="1" thickBot="1" x14ac:dyDescent="0.35">
      <c r="A70" s="375" t="s">
        <v>265</v>
      </c>
      <c r="B70" s="351">
        <v>1.247647293674</v>
      </c>
      <c r="C70" s="351">
        <v>1.6</v>
      </c>
      <c r="D70" s="352">
        <v>0.35235270632499999</v>
      </c>
      <c r="E70" s="353">
        <v>1.2824137142850001</v>
      </c>
      <c r="F70" s="351">
        <v>0</v>
      </c>
      <c r="G70" s="352">
        <v>0</v>
      </c>
      <c r="H70" s="354">
        <v>0</v>
      </c>
      <c r="I70" s="351">
        <v>0</v>
      </c>
      <c r="J70" s="352">
        <v>0</v>
      </c>
      <c r="K70" s="363" t="s">
        <v>203</v>
      </c>
    </row>
    <row r="71" spans="1:11" ht="14.4" customHeight="1" thickBot="1" x14ac:dyDescent="0.35">
      <c r="A71" s="373" t="s">
        <v>266</v>
      </c>
      <c r="B71" s="351">
        <v>1.247647293674</v>
      </c>
      <c r="C71" s="351">
        <v>1.6</v>
      </c>
      <c r="D71" s="352">
        <v>0.35235270632499999</v>
      </c>
      <c r="E71" s="353">
        <v>1.2824137142850001</v>
      </c>
      <c r="F71" s="351">
        <v>0</v>
      </c>
      <c r="G71" s="352">
        <v>0</v>
      </c>
      <c r="H71" s="354">
        <v>0</v>
      </c>
      <c r="I71" s="351">
        <v>0</v>
      </c>
      <c r="J71" s="352">
        <v>0</v>
      </c>
      <c r="K71" s="363" t="s">
        <v>203</v>
      </c>
    </row>
    <row r="72" spans="1:11" ht="14.4" customHeight="1" thickBot="1" x14ac:dyDescent="0.35">
      <c r="A72" s="375" t="s">
        <v>267</v>
      </c>
      <c r="B72" s="351">
        <v>0</v>
      </c>
      <c r="C72" s="351">
        <v>7.1</v>
      </c>
      <c r="D72" s="352">
        <v>7.1</v>
      </c>
      <c r="E72" s="361" t="s">
        <v>203</v>
      </c>
      <c r="F72" s="351">
        <v>0</v>
      </c>
      <c r="G72" s="352">
        <v>0</v>
      </c>
      <c r="H72" s="354">
        <v>0</v>
      </c>
      <c r="I72" s="351">
        <v>1.8</v>
      </c>
      <c r="J72" s="352">
        <v>1.8</v>
      </c>
      <c r="K72" s="363" t="s">
        <v>203</v>
      </c>
    </row>
    <row r="73" spans="1:11" ht="14.4" customHeight="1" thickBot="1" x14ac:dyDescent="0.35">
      <c r="A73" s="373" t="s">
        <v>268</v>
      </c>
      <c r="B73" s="351">
        <v>0</v>
      </c>
      <c r="C73" s="351">
        <v>7.1</v>
      </c>
      <c r="D73" s="352">
        <v>7.1</v>
      </c>
      <c r="E73" s="361" t="s">
        <v>203</v>
      </c>
      <c r="F73" s="351">
        <v>0</v>
      </c>
      <c r="G73" s="352">
        <v>0</v>
      </c>
      <c r="H73" s="354">
        <v>0</v>
      </c>
      <c r="I73" s="351">
        <v>1.8</v>
      </c>
      <c r="J73" s="352">
        <v>1.8</v>
      </c>
      <c r="K73" s="363" t="s">
        <v>203</v>
      </c>
    </row>
    <row r="74" spans="1:11" ht="14.4" customHeight="1" thickBot="1" x14ac:dyDescent="0.35">
      <c r="A74" s="370" t="s">
        <v>269</v>
      </c>
      <c r="B74" s="351">
        <v>22.024555452819001</v>
      </c>
      <c r="C74" s="351">
        <v>27.306999999999999</v>
      </c>
      <c r="D74" s="352">
        <v>5.2824445471799999</v>
      </c>
      <c r="E74" s="353">
        <v>1.2398434128889999</v>
      </c>
      <c r="F74" s="351">
        <v>21.999999999999002</v>
      </c>
      <c r="G74" s="352">
        <v>7.333333333333</v>
      </c>
      <c r="H74" s="354">
        <v>1.7735199999989999</v>
      </c>
      <c r="I74" s="351">
        <v>7.0940500000000002</v>
      </c>
      <c r="J74" s="352">
        <v>-0.239283333333</v>
      </c>
      <c r="K74" s="355">
        <v>0.32245681818100003</v>
      </c>
    </row>
    <row r="75" spans="1:11" ht="14.4" customHeight="1" thickBot="1" x14ac:dyDescent="0.35">
      <c r="A75" s="371" t="s">
        <v>270</v>
      </c>
      <c r="B75" s="351">
        <v>22.024555452819001</v>
      </c>
      <c r="C75" s="351">
        <v>21.741</v>
      </c>
      <c r="D75" s="352">
        <v>-0.28355545281900002</v>
      </c>
      <c r="E75" s="353">
        <v>0.98712548575900005</v>
      </c>
      <c r="F75" s="351">
        <v>21.999999999999002</v>
      </c>
      <c r="G75" s="352">
        <v>7.333333333333</v>
      </c>
      <c r="H75" s="354">
        <v>1.7735199999989999</v>
      </c>
      <c r="I75" s="351">
        <v>7.0940500000000002</v>
      </c>
      <c r="J75" s="352">
        <v>-0.239283333333</v>
      </c>
      <c r="K75" s="355">
        <v>0.32245681818100003</v>
      </c>
    </row>
    <row r="76" spans="1:11" ht="14.4" customHeight="1" thickBot="1" x14ac:dyDescent="0.35">
      <c r="A76" s="372" t="s">
        <v>271</v>
      </c>
      <c r="B76" s="356">
        <v>22.024555452819001</v>
      </c>
      <c r="C76" s="356">
        <v>21.741</v>
      </c>
      <c r="D76" s="357">
        <v>-0.28355545281900002</v>
      </c>
      <c r="E76" s="358">
        <v>0.98712548575900005</v>
      </c>
      <c r="F76" s="356">
        <v>21.999999999999002</v>
      </c>
      <c r="G76" s="357">
        <v>7.333333333333</v>
      </c>
      <c r="H76" s="359">
        <v>1.7735199999989999</v>
      </c>
      <c r="I76" s="356">
        <v>7.0940500000000002</v>
      </c>
      <c r="J76" s="357">
        <v>-0.239283333333</v>
      </c>
      <c r="K76" s="360">
        <v>0.32245681818100003</v>
      </c>
    </row>
    <row r="77" spans="1:11" ht="14.4" customHeight="1" thickBot="1" x14ac:dyDescent="0.35">
      <c r="A77" s="373" t="s">
        <v>272</v>
      </c>
      <c r="B77" s="351">
        <v>19.257138815145002</v>
      </c>
      <c r="C77" s="351">
        <v>18.908000000000001</v>
      </c>
      <c r="D77" s="352">
        <v>-0.349138815145</v>
      </c>
      <c r="E77" s="353">
        <v>0.98186964229200002</v>
      </c>
      <c r="F77" s="351">
        <v>18.999999999999002</v>
      </c>
      <c r="G77" s="352">
        <v>6.333333333333</v>
      </c>
      <c r="H77" s="354">
        <v>1.5444399999989999</v>
      </c>
      <c r="I77" s="351">
        <v>6.1777100000000003</v>
      </c>
      <c r="J77" s="352">
        <v>-0.15562333333299999</v>
      </c>
      <c r="K77" s="355">
        <v>0.325142631578</v>
      </c>
    </row>
    <row r="78" spans="1:11" ht="14.4" customHeight="1" thickBot="1" x14ac:dyDescent="0.35">
      <c r="A78" s="373" t="s">
        <v>273</v>
      </c>
      <c r="B78" s="351">
        <v>2.7674166376730001</v>
      </c>
      <c r="C78" s="351">
        <v>2.8330000000000002</v>
      </c>
      <c r="D78" s="352">
        <v>6.5583362325999997E-2</v>
      </c>
      <c r="E78" s="353">
        <v>1.0236984057380001</v>
      </c>
      <c r="F78" s="351">
        <v>2.9999999999989999</v>
      </c>
      <c r="G78" s="352">
        <v>0.99999999999900002</v>
      </c>
      <c r="H78" s="354">
        <v>0.229079999999</v>
      </c>
      <c r="I78" s="351">
        <v>0.91633999999899995</v>
      </c>
      <c r="J78" s="352">
        <v>-8.3659999999000006E-2</v>
      </c>
      <c r="K78" s="355">
        <v>0.30544666666600001</v>
      </c>
    </row>
    <row r="79" spans="1:11" ht="14.4" customHeight="1" thickBot="1" x14ac:dyDescent="0.35">
      <c r="A79" s="371" t="s">
        <v>274</v>
      </c>
      <c r="B79" s="351">
        <v>0</v>
      </c>
      <c r="C79" s="351">
        <v>5.5659999999999998</v>
      </c>
      <c r="D79" s="352">
        <v>5.5659999999999998</v>
      </c>
      <c r="E79" s="361" t="s">
        <v>203</v>
      </c>
      <c r="F79" s="351">
        <v>0</v>
      </c>
      <c r="G79" s="352">
        <v>0</v>
      </c>
      <c r="H79" s="354">
        <v>0</v>
      </c>
      <c r="I79" s="351">
        <v>0</v>
      </c>
      <c r="J79" s="352">
        <v>0</v>
      </c>
      <c r="K79" s="363" t="s">
        <v>203</v>
      </c>
    </row>
    <row r="80" spans="1:11" ht="14.4" customHeight="1" thickBot="1" x14ac:dyDescent="0.35">
      <c r="A80" s="372" t="s">
        <v>275</v>
      </c>
      <c r="B80" s="356">
        <v>0</v>
      </c>
      <c r="C80" s="356">
        <v>5.5659999999999998</v>
      </c>
      <c r="D80" s="357">
        <v>5.5659999999999998</v>
      </c>
      <c r="E80" s="364" t="s">
        <v>214</v>
      </c>
      <c r="F80" s="356">
        <v>0</v>
      </c>
      <c r="G80" s="357">
        <v>0</v>
      </c>
      <c r="H80" s="359">
        <v>0</v>
      </c>
      <c r="I80" s="356">
        <v>0</v>
      </c>
      <c r="J80" s="357">
        <v>0</v>
      </c>
      <c r="K80" s="360">
        <v>0</v>
      </c>
    </row>
    <row r="81" spans="1:11" ht="14.4" customHeight="1" thickBot="1" x14ac:dyDescent="0.35">
      <c r="A81" s="373" t="s">
        <v>276</v>
      </c>
      <c r="B81" s="351">
        <v>0</v>
      </c>
      <c r="C81" s="351">
        <v>5.5659999999999998</v>
      </c>
      <c r="D81" s="352">
        <v>5.5659999999999998</v>
      </c>
      <c r="E81" s="361" t="s">
        <v>214</v>
      </c>
      <c r="F81" s="351">
        <v>0</v>
      </c>
      <c r="G81" s="352">
        <v>0</v>
      </c>
      <c r="H81" s="354">
        <v>0</v>
      </c>
      <c r="I81" s="351">
        <v>0</v>
      </c>
      <c r="J81" s="352">
        <v>0</v>
      </c>
      <c r="K81" s="355">
        <v>0</v>
      </c>
    </row>
    <row r="82" spans="1:11" ht="14.4" customHeight="1" thickBot="1" x14ac:dyDescent="0.35">
      <c r="A82" s="369" t="s">
        <v>277</v>
      </c>
      <c r="B82" s="351">
        <v>1926.7649449140499</v>
      </c>
      <c r="C82" s="351">
        <v>3173.5175199999999</v>
      </c>
      <c r="D82" s="352">
        <v>1246.75257508595</v>
      </c>
      <c r="E82" s="353">
        <v>1.6470704059550001</v>
      </c>
      <c r="F82" s="351">
        <v>3735.8315620824201</v>
      </c>
      <c r="G82" s="352">
        <v>1245.2771873608101</v>
      </c>
      <c r="H82" s="354">
        <v>276.34926999999999</v>
      </c>
      <c r="I82" s="351">
        <v>1167.52385</v>
      </c>
      <c r="J82" s="352">
        <v>-77.753337360806995</v>
      </c>
      <c r="K82" s="355">
        <v>0.31252047384800002</v>
      </c>
    </row>
    <row r="83" spans="1:11" ht="14.4" customHeight="1" thickBot="1" x14ac:dyDescent="0.35">
      <c r="A83" s="370" t="s">
        <v>278</v>
      </c>
      <c r="B83" s="351">
        <v>1926.7649449140499</v>
      </c>
      <c r="C83" s="351">
        <v>3167.7324199999998</v>
      </c>
      <c r="D83" s="352">
        <v>1240.9674750859499</v>
      </c>
      <c r="E83" s="353">
        <v>1.6440679120520001</v>
      </c>
      <c r="F83" s="351">
        <v>3735.8315620824201</v>
      </c>
      <c r="G83" s="352">
        <v>1245.2771873608101</v>
      </c>
      <c r="H83" s="354">
        <v>276.34926999999999</v>
      </c>
      <c r="I83" s="351">
        <v>1167.52385</v>
      </c>
      <c r="J83" s="352">
        <v>-77.753337360806995</v>
      </c>
      <c r="K83" s="355">
        <v>0.31252047384800002</v>
      </c>
    </row>
    <row r="84" spans="1:11" ht="14.4" customHeight="1" thickBot="1" x14ac:dyDescent="0.35">
      <c r="A84" s="371" t="s">
        <v>279</v>
      </c>
      <c r="B84" s="351">
        <v>1926.7649449140499</v>
      </c>
      <c r="C84" s="351">
        <v>3167.7324199999998</v>
      </c>
      <c r="D84" s="352">
        <v>1240.9674750859499</v>
      </c>
      <c r="E84" s="353">
        <v>1.6440679120520001</v>
      </c>
      <c r="F84" s="351">
        <v>3735.8315620824201</v>
      </c>
      <c r="G84" s="352">
        <v>1245.2771873608101</v>
      </c>
      <c r="H84" s="354">
        <v>276.34926999999999</v>
      </c>
      <c r="I84" s="351">
        <v>1167.52385</v>
      </c>
      <c r="J84" s="352">
        <v>-77.753337360806995</v>
      </c>
      <c r="K84" s="355">
        <v>0.31252047384800002</v>
      </c>
    </row>
    <row r="85" spans="1:11" ht="14.4" customHeight="1" thickBot="1" x14ac:dyDescent="0.35">
      <c r="A85" s="372" t="s">
        <v>280</v>
      </c>
      <c r="B85" s="356">
        <v>0</v>
      </c>
      <c r="C85" s="356">
        <v>0.1913</v>
      </c>
      <c r="D85" s="357">
        <v>0.1913</v>
      </c>
      <c r="E85" s="364" t="s">
        <v>214</v>
      </c>
      <c r="F85" s="356">
        <v>0.18192918203799999</v>
      </c>
      <c r="G85" s="357">
        <v>6.0643060679000001E-2</v>
      </c>
      <c r="H85" s="359">
        <v>0</v>
      </c>
      <c r="I85" s="356">
        <v>0</v>
      </c>
      <c r="J85" s="357">
        <v>-6.0643060679000001E-2</v>
      </c>
      <c r="K85" s="360">
        <v>0</v>
      </c>
    </row>
    <row r="86" spans="1:11" ht="14.4" customHeight="1" thickBot="1" x14ac:dyDescent="0.35">
      <c r="A86" s="373" t="s">
        <v>281</v>
      </c>
      <c r="B86" s="351">
        <v>0</v>
      </c>
      <c r="C86" s="351">
        <v>0.1913</v>
      </c>
      <c r="D86" s="352">
        <v>0.1913</v>
      </c>
      <c r="E86" s="361" t="s">
        <v>214</v>
      </c>
      <c r="F86" s="351">
        <v>0.18192918203799999</v>
      </c>
      <c r="G86" s="352">
        <v>6.0643060679000001E-2</v>
      </c>
      <c r="H86" s="354">
        <v>0</v>
      </c>
      <c r="I86" s="351">
        <v>0</v>
      </c>
      <c r="J86" s="352">
        <v>-6.0643060679000001E-2</v>
      </c>
      <c r="K86" s="355">
        <v>0</v>
      </c>
    </row>
    <row r="87" spans="1:11" ht="14.4" customHeight="1" thickBot="1" x14ac:dyDescent="0.35">
      <c r="A87" s="375" t="s">
        <v>282</v>
      </c>
      <c r="B87" s="351">
        <v>0.76415386440300004</v>
      </c>
      <c r="C87" s="351">
        <v>0</v>
      </c>
      <c r="D87" s="352">
        <v>-0.76415386440300004</v>
      </c>
      <c r="E87" s="353">
        <v>0</v>
      </c>
      <c r="F87" s="351">
        <v>0</v>
      </c>
      <c r="G87" s="352">
        <v>0</v>
      </c>
      <c r="H87" s="354">
        <v>0</v>
      </c>
      <c r="I87" s="351">
        <v>0</v>
      </c>
      <c r="J87" s="352">
        <v>0</v>
      </c>
      <c r="K87" s="355">
        <v>4</v>
      </c>
    </row>
    <row r="88" spans="1:11" ht="14.4" customHeight="1" thickBot="1" x14ac:dyDescent="0.35">
      <c r="A88" s="373" t="s">
        <v>283</v>
      </c>
      <c r="B88" s="351">
        <v>0.76415386440300004</v>
      </c>
      <c r="C88" s="351">
        <v>0</v>
      </c>
      <c r="D88" s="352">
        <v>-0.76415386440300004</v>
      </c>
      <c r="E88" s="353">
        <v>0</v>
      </c>
      <c r="F88" s="351">
        <v>0</v>
      </c>
      <c r="G88" s="352">
        <v>0</v>
      </c>
      <c r="H88" s="354">
        <v>0</v>
      </c>
      <c r="I88" s="351">
        <v>0</v>
      </c>
      <c r="J88" s="352">
        <v>0</v>
      </c>
      <c r="K88" s="355">
        <v>4</v>
      </c>
    </row>
    <row r="89" spans="1:11" ht="14.4" customHeight="1" thickBot="1" x14ac:dyDescent="0.35">
      <c r="A89" s="372" t="s">
        <v>284</v>
      </c>
      <c r="B89" s="356">
        <v>1926.0007910496399</v>
      </c>
      <c r="C89" s="356">
        <v>3021.2627600000001</v>
      </c>
      <c r="D89" s="357">
        <v>1095.2619689503599</v>
      </c>
      <c r="E89" s="358">
        <v>1.5686716090870001</v>
      </c>
      <c r="F89" s="356">
        <v>3735.6496329003799</v>
      </c>
      <c r="G89" s="357">
        <v>1245.21654430013</v>
      </c>
      <c r="H89" s="359">
        <v>276.34926999999999</v>
      </c>
      <c r="I89" s="356">
        <v>1109.5497</v>
      </c>
      <c r="J89" s="357">
        <v>-135.66684430012799</v>
      </c>
      <c r="K89" s="360">
        <v>0.29701653233899999</v>
      </c>
    </row>
    <row r="90" spans="1:11" ht="14.4" customHeight="1" thickBot="1" x14ac:dyDescent="0.35">
      <c r="A90" s="373" t="s">
        <v>285</v>
      </c>
      <c r="B90" s="351">
        <v>678.51229149528001</v>
      </c>
      <c r="C90" s="351">
        <v>1119.8043299999999</v>
      </c>
      <c r="D90" s="352">
        <v>441.29203850471998</v>
      </c>
      <c r="E90" s="353">
        <v>1.6503817897419999</v>
      </c>
      <c r="F90" s="351">
        <v>0</v>
      </c>
      <c r="G90" s="352">
        <v>0</v>
      </c>
      <c r="H90" s="354">
        <v>0</v>
      </c>
      <c r="I90" s="351">
        <v>0</v>
      </c>
      <c r="J90" s="352">
        <v>0</v>
      </c>
      <c r="K90" s="363" t="s">
        <v>203</v>
      </c>
    </row>
    <row r="91" spans="1:11" ht="14.4" customHeight="1" thickBot="1" x14ac:dyDescent="0.35">
      <c r="A91" s="373" t="s">
        <v>286</v>
      </c>
      <c r="B91" s="351">
        <v>1247.48849955436</v>
      </c>
      <c r="C91" s="351">
        <v>1901.4584299999999</v>
      </c>
      <c r="D91" s="352">
        <v>653.96993044563601</v>
      </c>
      <c r="E91" s="353">
        <v>1.524229225904</v>
      </c>
      <c r="F91" s="351">
        <v>3735.6496329003799</v>
      </c>
      <c r="G91" s="352">
        <v>1245.21654430013</v>
      </c>
      <c r="H91" s="354">
        <v>276.34926999999999</v>
      </c>
      <c r="I91" s="351">
        <v>1109.5497</v>
      </c>
      <c r="J91" s="352">
        <v>-135.66684430012799</v>
      </c>
      <c r="K91" s="355">
        <v>0.29701653233899999</v>
      </c>
    </row>
    <row r="92" spans="1:11" ht="14.4" customHeight="1" thickBot="1" x14ac:dyDescent="0.35">
      <c r="A92" s="372" t="s">
        <v>287</v>
      </c>
      <c r="B92" s="356">
        <v>0</v>
      </c>
      <c r="C92" s="356">
        <v>146.27835999999999</v>
      </c>
      <c r="D92" s="357">
        <v>146.27835999999999</v>
      </c>
      <c r="E92" s="364" t="s">
        <v>203</v>
      </c>
      <c r="F92" s="356">
        <v>0</v>
      </c>
      <c r="G92" s="357">
        <v>0</v>
      </c>
      <c r="H92" s="359">
        <v>0</v>
      </c>
      <c r="I92" s="356">
        <v>57.974149999999</v>
      </c>
      <c r="J92" s="357">
        <v>57.974149999999</v>
      </c>
      <c r="K92" s="362" t="s">
        <v>203</v>
      </c>
    </row>
    <row r="93" spans="1:11" ht="14.4" customHeight="1" thickBot="1" x14ac:dyDescent="0.35">
      <c r="A93" s="373" t="s">
        <v>288</v>
      </c>
      <c r="B93" s="351">
        <v>0</v>
      </c>
      <c r="C93" s="351">
        <v>40.838740000000001</v>
      </c>
      <c r="D93" s="352">
        <v>40.838740000000001</v>
      </c>
      <c r="E93" s="361" t="s">
        <v>203</v>
      </c>
      <c r="F93" s="351">
        <v>0</v>
      </c>
      <c r="G93" s="352">
        <v>0</v>
      </c>
      <c r="H93" s="354">
        <v>0</v>
      </c>
      <c r="I93" s="351">
        <v>0</v>
      </c>
      <c r="J93" s="352">
        <v>0</v>
      </c>
      <c r="K93" s="363" t="s">
        <v>203</v>
      </c>
    </row>
    <row r="94" spans="1:11" ht="14.4" customHeight="1" thickBot="1" x14ac:dyDescent="0.35">
      <c r="A94" s="373" t="s">
        <v>289</v>
      </c>
      <c r="B94" s="351">
        <v>0</v>
      </c>
      <c r="C94" s="351">
        <v>105.43962000000001</v>
      </c>
      <c r="D94" s="352">
        <v>105.43962000000001</v>
      </c>
      <c r="E94" s="361" t="s">
        <v>203</v>
      </c>
      <c r="F94" s="351">
        <v>0</v>
      </c>
      <c r="G94" s="352">
        <v>0</v>
      </c>
      <c r="H94" s="354">
        <v>0</v>
      </c>
      <c r="I94" s="351">
        <v>57.974149999999</v>
      </c>
      <c r="J94" s="352">
        <v>57.974149999999</v>
      </c>
      <c r="K94" s="363" t="s">
        <v>203</v>
      </c>
    </row>
    <row r="95" spans="1:11" ht="14.4" customHeight="1" thickBot="1" x14ac:dyDescent="0.35">
      <c r="A95" s="370" t="s">
        <v>290</v>
      </c>
      <c r="B95" s="351">
        <v>0</v>
      </c>
      <c r="C95" s="351">
        <v>5.7850999999999999</v>
      </c>
      <c r="D95" s="352">
        <v>5.7850999999999999</v>
      </c>
      <c r="E95" s="361" t="s">
        <v>203</v>
      </c>
      <c r="F95" s="351">
        <v>0</v>
      </c>
      <c r="G95" s="352">
        <v>0</v>
      </c>
      <c r="H95" s="354">
        <v>0</v>
      </c>
      <c r="I95" s="351">
        <v>0</v>
      </c>
      <c r="J95" s="352">
        <v>0</v>
      </c>
      <c r="K95" s="363" t="s">
        <v>203</v>
      </c>
    </row>
    <row r="96" spans="1:11" ht="14.4" customHeight="1" thickBot="1" x14ac:dyDescent="0.35">
      <c r="A96" s="376" t="s">
        <v>291</v>
      </c>
      <c r="B96" s="356">
        <v>0</v>
      </c>
      <c r="C96" s="356">
        <v>5.7850999999999999</v>
      </c>
      <c r="D96" s="357">
        <v>5.7850999999999999</v>
      </c>
      <c r="E96" s="364" t="s">
        <v>203</v>
      </c>
      <c r="F96" s="356">
        <v>0</v>
      </c>
      <c r="G96" s="357">
        <v>0</v>
      </c>
      <c r="H96" s="359">
        <v>0</v>
      </c>
      <c r="I96" s="356">
        <v>0</v>
      </c>
      <c r="J96" s="357">
        <v>0</v>
      </c>
      <c r="K96" s="362" t="s">
        <v>203</v>
      </c>
    </row>
    <row r="97" spans="1:11" ht="14.4" customHeight="1" thickBot="1" x14ac:dyDescent="0.35">
      <c r="A97" s="372" t="s">
        <v>292</v>
      </c>
      <c r="B97" s="356">
        <v>0</v>
      </c>
      <c r="C97" s="356">
        <v>-1E-4</v>
      </c>
      <c r="D97" s="357">
        <v>-1E-4</v>
      </c>
      <c r="E97" s="364" t="s">
        <v>203</v>
      </c>
      <c r="F97" s="356">
        <v>0</v>
      </c>
      <c r="G97" s="357">
        <v>0</v>
      </c>
      <c r="H97" s="359">
        <v>0</v>
      </c>
      <c r="I97" s="356">
        <v>0</v>
      </c>
      <c r="J97" s="357">
        <v>0</v>
      </c>
      <c r="K97" s="362" t="s">
        <v>203</v>
      </c>
    </row>
    <row r="98" spans="1:11" ht="14.4" customHeight="1" thickBot="1" x14ac:dyDescent="0.35">
      <c r="A98" s="373" t="s">
        <v>293</v>
      </c>
      <c r="B98" s="351">
        <v>0</v>
      </c>
      <c r="C98" s="351">
        <v>-1E-4</v>
      </c>
      <c r="D98" s="352">
        <v>-1E-4</v>
      </c>
      <c r="E98" s="361" t="s">
        <v>214</v>
      </c>
      <c r="F98" s="351">
        <v>0</v>
      </c>
      <c r="G98" s="352">
        <v>0</v>
      </c>
      <c r="H98" s="354">
        <v>0</v>
      </c>
      <c r="I98" s="351">
        <v>0</v>
      </c>
      <c r="J98" s="352">
        <v>0</v>
      </c>
      <c r="K98" s="363" t="s">
        <v>203</v>
      </c>
    </row>
    <row r="99" spans="1:11" ht="14.4" customHeight="1" thickBot="1" x14ac:dyDescent="0.35">
      <c r="A99" s="372" t="s">
        <v>294</v>
      </c>
      <c r="B99" s="356">
        <v>0</v>
      </c>
      <c r="C99" s="356">
        <v>5.7851999999999997</v>
      </c>
      <c r="D99" s="357">
        <v>5.7851999999999997</v>
      </c>
      <c r="E99" s="364" t="s">
        <v>214</v>
      </c>
      <c r="F99" s="356">
        <v>0</v>
      </c>
      <c r="G99" s="357">
        <v>0</v>
      </c>
      <c r="H99" s="359">
        <v>0</v>
      </c>
      <c r="I99" s="356">
        <v>0</v>
      </c>
      <c r="J99" s="357">
        <v>0</v>
      </c>
      <c r="K99" s="362" t="s">
        <v>203</v>
      </c>
    </row>
    <row r="100" spans="1:11" ht="14.4" customHeight="1" thickBot="1" x14ac:dyDescent="0.35">
      <c r="A100" s="373" t="s">
        <v>295</v>
      </c>
      <c r="B100" s="351">
        <v>0</v>
      </c>
      <c r="C100" s="351">
        <v>5.7851999999999997</v>
      </c>
      <c r="D100" s="352">
        <v>5.7851999999999997</v>
      </c>
      <c r="E100" s="361" t="s">
        <v>214</v>
      </c>
      <c r="F100" s="351">
        <v>0</v>
      </c>
      <c r="G100" s="352">
        <v>0</v>
      </c>
      <c r="H100" s="354">
        <v>0</v>
      </c>
      <c r="I100" s="351">
        <v>0</v>
      </c>
      <c r="J100" s="352">
        <v>0</v>
      </c>
      <c r="K100" s="363" t="s">
        <v>203</v>
      </c>
    </row>
    <row r="101" spans="1:11" ht="14.4" customHeight="1" thickBot="1" x14ac:dyDescent="0.35">
      <c r="A101" s="369" t="s">
        <v>296</v>
      </c>
      <c r="B101" s="351">
        <v>531.26276105456304</v>
      </c>
      <c r="C101" s="351">
        <v>534.01505999999995</v>
      </c>
      <c r="D101" s="352">
        <v>2.7522989454369999</v>
      </c>
      <c r="E101" s="353">
        <v>1.00518067357</v>
      </c>
      <c r="F101" s="351">
        <v>543.83877935298096</v>
      </c>
      <c r="G101" s="352">
        <v>181.27959311766</v>
      </c>
      <c r="H101" s="354">
        <v>53.08878</v>
      </c>
      <c r="I101" s="351">
        <v>189.54893000000001</v>
      </c>
      <c r="J101" s="352">
        <v>8.2693368823389992</v>
      </c>
      <c r="K101" s="355">
        <v>0.34853882657099999</v>
      </c>
    </row>
    <row r="102" spans="1:11" ht="14.4" customHeight="1" thickBot="1" x14ac:dyDescent="0.35">
      <c r="A102" s="374" t="s">
        <v>297</v>
      </c>
      <c r="B102" s="356">
        <v>531.26276105456304</v>
      </c>
      <c r="C102" s="356">
        <v>534.01505999999995</v>
      </c>
      <c r="D102" s="357">
        <v>2.7522989454369999</v>
      </c>
      <c r="E102" s="358">
        <v>1.00518067357</v>
      </c>
      <c r="F102" s="356">
        <v>543.83877935298096</v>
      </c>
      <c r="G102" s="357">
        <v>181.27959311766</v>
      </c>
      <c r="H102" s="359">
        <v>53.08878</v>
      </c>
      <c r="I102" s="356">
        <v>189.54893000000001</v>
      </c>
      <c r="J102" s="357">
        <v>8.2693368823389992</v>
      </c>
      <c r="K102" s="360">
        <v>0.34853882657099999</v>
      </c>
    </row>
    <row r="103" spans="1:11" ht="14.4" customHeight="1" thickBot="1" x14ac:dyDescent="0.35">
      <c r="A103" s="376" t="s">
        <v>29</v>
      </c>
      <c r="B103" s="356">
        <v>531.26276105456304</v>
      </c>
      <c r="C103" s="356">
        <v>534.01505999999995</v>
      </c>
      <c r="D103" s="357">
        <v>2.7522989454369999</v>
      </c>
      <c r="E103" s="358">
        <v>1.00518067357</v>
      </c>
      <c r="F103" s="356">
        <v>543.83877935298096</v>
      </c>
      <c r="G103" s="357">
        <v>181.27959311766</v>
      </c>
      <c r="H103" s="359">
        <v>53.08878</v>
      </c>
      <c r="I103" s="356">
        <v>189.54893000000001</v>
      </c>
      <c r="J103" s="357">
        <v>8.2693368823389992</v>
      </c>
      <c r="K103" s="360">
        <v>0.34853882657099999</v>
      </c>
    </row>
    <row r="104" spans="1:11" ht="14.4" customHeight="1" thickBot="1" x14ac:dyDescent="0.35">
      <c r="A104" s="372" t="s">
        <v>298</v>
      </c>
      <c r="B104" s="356">
        <v>4.3126787440239998</v>
      </c>
      <c r="C104" s="356">
        <v>2.7989999999999999</v>
      </c>
      <c r="D104" s="357">
        <v>-1.513678744024</v>
      </c>
      <c r="E104" s="358">
        <v>0.64901657789300005</v>
      </c>
      <c r="F104" s="356">
        <v>2.9247054621949999</v>
      </c>
      <c r="G104" s="357">
        <v>0.97490182073099996</v>
      </c>
      <c r="H104" s="359">
        <v>0</v>
      </c>
      <c r="I104" s="356">
        <v>0.35799999999999998</v>
      </c>
      <c r="J104" s="357">
        <v>-0.61690182073099997</v>
      </c>
      <c r="K104" s="360">
        <v>0.12240548822</v>
      </c>
    </row>
    <row r="105" spans="1:11" ht="14.4" customHeight="1" thickBot="1" x14ac:dyDescent="0.35">
      <c r="A105" s="373" t="s">
        <v>299</v>
      </c>
      <c r="B105" s="351">
        <v>4.3126787440239998</v>
      </c>
      <c r="C105" s="351">
        <v>2.7989999999999999</v>
      </c>
      <c r="D105" s="352">
        <v>-1.513678744024</v>
      </c>
      <c r="E105" s="353">
        <v>0.64901657789300005</v>
      </c>
      <c r="F105" s="351">
        <v>2.9247054621949999</v>
      </c>
      <c r="G105" s="352">
        <v>0.97490182073099996</v>
      </c>
      <c r="H105" s="354">
        <v>0</v>
      </c>
      <c r="I105" s="351">
        <v>0.35799999999999998</v>
      </c>
      <c r="J105" s="352">
        <v>-0.61690182073099997</v>
      </c>
      <c r="K105" s="355">
        <v>0.12240548822</v>
      </c>
    </row>
    <row r="106" spans="1:11" ht="14.4" customHeight="1" thickBot="1" x14ac:dyDescent="0.35">
      <c r="A106" s="372" t="s">
        <v>300</v>
      </c>
      <c r="B106" s="356">
        <v>0</v>
      </c>
      <c r="C106" s="356">
        <v>0.14699999999999999</v>
      </c>
      <c r="D106" s="357">
        <v>0.14699999999999999</v>
      </c>
      <c r="E106" s="364" t="s">
        <v>214</v>
      </c>
      <c r="F106" s="356">
        <v>0</v>
      </c>
      <c r="G106" s="357">
        <v>0</v>
      </c>
      <c r="H106" s="359">
        <v>0</v>
      </c>
      <c r="I106" s="356">
        <v>0</v>
      </c>
      <c r="J106" s="357">
        <v>0</v>
      </c>
      <c r="K106" s="360">
        <v>0</v>
      </c>
    </row>
    <row r="107" spans="1:11" ht="14.4" customHeight="1" thickBot="1" x14ac:dyDescent="0.35">
      <c r="A107" s="373" t="s">
        <v>301</v>
      </c>
      <c r="B107" s="351">
        <v>0</v>
      </c>
      <c r="C107" s="351">
        <v>0.14699999999999999</v>
      </c>
      <c r="D107" s="352">
        <v>0.14699999999999999</v>
      </c>
      <c r="E107" s="361" t="s">
        <v>214</v>
      </c>
      <c r="F107" s="351">
        <v>0</v>
      </c>
      <c r="G107" s="352">
        <v>0</v>
      </c>
      <c r="H107" s="354">
        <v>0</v>
      </c>
      <c r="I107" s="351">
        <v>0</v>
      </c>
      <c r="J107" s="352">
        <v>0</v>
      </c>
      <c r="K107" s="355">
        <v>0</v>
      </c>
    </row>
    <row r="108" spans="1:11" ht="14.4" customHeight="1" thickBot="1" x14ac:dyDescent="0.35">
      <c r="A108" s="372" t="s">
        <v>302</v>
      </c>
      <c r="B108" s="356">
        <v>2.2260016179640001</v>
      </c>
      <c r="C108" s="356">
        <v>2.0602999999999998</v>
      </c>
      <c r="D108" s="357">
        <v>-0.16570161796399999</v>
      </c>
      <c r="E108" s="358">
        <v>0.92556087262999998</v>
      </c>
      <c r="F108" s="356">
        <v>2.0400074853030001</v>
      </c>
      <c r="G108" s="357">
        <v>0.68000249510099997</v>
      </c>
      <c r="H108" s="359">
        <v>0</v>
      </c>
      <c r="I108" s="356">
        <v>0.52059999999999995</v>
      </c>
      <c r="J108" s="357">
        <v>-0.15940249510099999</v>
      </c>
      <c r="K108" s="360">
        <v>0.255195142052</v>
      </c>
    </row>
    <row r="109" spans="1:11" ht="14.4" customHeight="1" thickBot="1" x14ac:dyDescent="0.35">
      <c r="A109" s="373" t="s">
        <v>303</v>
      </c>
      <c r="B109" s="351">
        <v>2.2260016179640001</v>
      </c>
      <c r="C109" s="351">
        <v>2.0602999999999998</v>
      </c>
      <c r="D109" s="352">
        <v>-0.16570161796399999</v>
      </c>
      <c r="E109" s="353">
        <v>0.92556087262999998</v>
      </c>
      <c r="F109" s="351">
        <v>2.0400074853030001</v>
      </c>
      <c r="G109" s="352">
        <v>0.68000249510099997</v>
      </c>
      <c r="H109" s="354">
        <v>0</v>
      </c>
      <c r="I109" s="351">
        <v>0.52059999999999995</v>
      </c>
      <c r="J109" s="352">
        <v>-0.15940249510099999</v>
      </c>
      <c r="K109" s="355">
        <v>0.255195142052</v>
      </c>
    </row>
    <row r="110" spans="1:11" ht="14.4" customHeight="1" thickBot="1" x14ac:dyDescent="0.35">
      <c r="A110" s="372" t="s">
        <v>304</v>
      </c>
      <c r="B110" s="356">
        <v>133.88959628331199</v>
      </c>
      <c r="C110" s="356">
        <v>112.13939000000001</v>
      </c>
      <c r="D110" s="357">
        <v>-21.750206283312</v>
      </c>
      <c r="E110" s="358">
        <v>0.83755118480299995</v>
      </c>
      <c r="F110" s="356">
        <v>150.56957828616299</v>
      </c>
      <c r="G110" s="357">
        <v>50.189859428721</v>
      </c>
      <c r="H110" s="359">
        <v>7.8592599999999999</v>
      </c>
      <c r="I110" s="356">
        <v>40.48818</v>
      </c>
      <c r="J110" s="357">
        <v>-9.7016794287200003</v>
      </c>
      <c r="K110" s="360">
        <v>0.26890013547699998</v>
      </c>
    </row>
    <row r="111" spans="1:11" ht="14.4" customHeight="1" thickBot="1" x14ac:dyDescent="0.35">
      <c r="A111" s="373" t="s">
        <v>305</v>
      </c>
      <c r="B111" s="351">
        <v>133.88959628331199</v>
      </c>
      <c r="C111" s="351">
        <v>112.13939000000001</v>
      </c>
      <c r="D111" s="352">
        <v>-21.750206283312</v>
      </c>
      <c r="E111" s="353">
        <v>0.83755118480299995</v>
      </c>
      <c r="F111" s="351">
        <v>150.56957828616299</v>
      </c>
      <c r="G111" s="352">
        <v>50.189859428721</v>
      </c>
      <c r="H111" s="354">
        <v>7.8592599999999999</v>
      </c>
      <c r="I111" s="351">
        <v>40.48818</v>
      </c>
      <c r="J111" s="352">
        <v>-9.7016794287200003</v>
      </c>
      <c r="K111" s="355">
        <v>0.26890013547699998</v>
      </c>
    </row>
    <row r="112" spans="1:11" ht="14.4" customHeight="1" thickBot="1" x14ac:dyDescent="0.35">
      <c r="A112" s="372" t="s">
        <v>306</v>
      </c>
      <c r="B112" s="356">
        <v>390.83448440926202</v>
      </c>
      <c r="C112" s="356">
        <v>416.86937</v>
      </c>
      <c r="D112" s="357">
        <v>26.034885590738</v>
      </c>
      <c r="E112" s="358">
        <v>1.066613583573</v>
      </c>
      <c r="F112" s="356">
        <v>388.30448811931899</v>
      </c>
      <c r="G112" s="357">
        <v>129.434829373106</v>
      </c>
      <c r="H112" s="359">
        <v>45.229520000000001</v>
      </c>
      <c r="I112" s="356">
        <v>148.18215000000001</v>
      </c>
      <c r="J112" s="357">
        <v>18.747320626893</v>
      </c>
      <c r="K112" s="360">
        <v>0.38161328167399999</v>
      </c>
    </row>
    <row r="113" spans="1:11" ht="14.4" customHeight="1" thickBot="1" x14ac:dyDescent="0.35">
      <c r="A113" s="373" t="s">
        <v>307</v>
      </c>
      <c r="B113" s="351">
        <v>390.83448440926202</v>
      </c>
      <c r="C113" s="351">
        <v>416.86937</v>
      </c>
      <c r="D113" s="352">
        <v>26.034885590738</v>
      </c>
      <c r="E113" s="353">
        <v>1.066613583573</v>
      </c>
      <c r="F113" s="351">
        <v>388.30448811931899</v>
      </c>
      <c r="G113" s="352">
        <v>129.434829373106</v>
      </c>
      <c r="H113" s="354">
        <v>45.229520000000001</v>
      </c>
      <c r="I113" s="351">
        <v>148.18215000000001</v>
      </c>
      <c r="J113" s="352">
        <v>18.747320626893</v>
      </c>
      <c r="K113" s="355">
        <v>0.38161328167399999</v>
      </c>
    </row>
    <row r="114" spans="1:11" ht="14.4" customHeight="1" thickBot="1" x14ac:dyDescent="0.35">
      <c r="A114" s="377"/>
      <c r="B114" s="351">
        <v>-2495.2348698728501</v>
      </c>
      <c r="C114" s="351">
        <v>-1640.85952000001</v>
      </c>
      <c r="D114" s="352">
        <v>854.37534987284096</v>
      </c>
      <c r="E114" s="353">
        <v>0.65759722253399999</v>
      </c>
      <c r="F114" s="351">
        <v>-939.525265505834</v>
      </c>
      <c r="G114" s="352">
        <v>-313.17508850194503</v>
      </c>
      <c r="H114" s="354">
        <v>-132.979459999998</v>
      </c>
      <c r="I114" s="351">
        <v>-468.21631999999897</v>
      </c>
      <c r="J114" s="352">
        <v>-155.041231498055</v>
      </c>
      <c r="K114" s="355">
        <v>0.49835415522100002</v>
      </c>
    </row>
    <row r="115" spans="1:11" ht="14.4" customHeight="1" thickBot="1" x14ac:dyDescent="0.35">
      <c r="A115" s="378" t="s">
        <v>41</v>
      </c>
      <c r="B115" s="365">
        <v>-2495.2348698728501</v>
      </c>
      <c r="C115" s="365">
        <v>-1640.85952000001</v>
      </c>
      <c r="D115" s="366">
        <v>854.37534987284005</v>
      </c>
      <c r="E115" s="367">
        <v>-0.45825194280100001</v>
      </c>
      <c r="F115" s="365">
        <v>-939.525265505834</v>
      </c>
      <c r="G115" s="366">
        <v>-313.175088501944</v>
      </c>
      <c r="H115" s="365">
        <v>-132.979459999998</v>
      </c>
      <c r="I115" s="365">
        <v>-468.21631999999897</v>
      </c>
      <c r="J115" s="366">
        <v>-155.041231498055</v>
      </c>
      <c r="K115" s="368">
        <v>0.49835415522100002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pageSetUpPr fitToPage="1"/>
  </sheetPr>
  <dimension ref="A1:S18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33203125" defaultRowHeight="14.4" outlineLevelCol="1" x14ac:dyDescent="0.3"/>
  <cols>
    <col min="1" max="1" width="8.33203125" customWidth="1"/>
    <col min="2" max="2" width="27.44140625" bestFit="1" customWidth="1" outlineLevel="1"/>
    <col min="3" max="3" width="10.88671875" style="211" bestFit="1" customWidth="1"/>
    <col min="4" max="6" width="10.33203125" hidden="1" customWidth="1" outlineLevel="1"/>
    <col min="7" max="7" width="10" customWidth="1" collapsed="1"/>
    <col min="8" max="10" width="10" customWidth="1"/>
    <col min="11" max="14" width="10.6640625" customWidth="1"/>
    <col min="15" max="15" width="12.21875" customWidth="1"/>
    <col min="16" max="17" width="8.88671875" style="188" customWidth="1"/>
    <col min="18" max="18" width="7.33203125" style="210" customWidth="1"/>
    <col min="19" max="19" width="8" style="188" customWidth="1"/>
    <col min="21" max="21" width="11.21875" bestFit="1" customWidth="1"/>
  </cols>
  <sheetData>
    <row r="1" spans="1:19" ht="18.600000000000001" thickBot="1" x14ac:dyDescent="0.4">
      <c r="A1" s="307" t="s">
        <v>80</v>
      </c>
      <c r="B1" s="290"/>
      <c r="C1" s="290"/>
      <c r="D1" s="290"/>
      <c r="E1" s="290"/>
      <c r="F1" s="290"/>
      <c r="G1" s="290"/>
      <c r="H1" s="290"/>
      <c r="I1" s="290"/>
      <c r="J1" s="290"/>
      <c r="K1" s="290"/>
      <c r="L1" s="290"/>
      <c r="M1" s="290"/>
      <c r="N1" s="290"/>
      <c r="O1" s="290"/>
      <c r="P1" s="290"/>
      <c r="Q1" s="290"/>
      <c r="R1" s="290"/>
      <c r="S1" s="290"/>
    </row>
    <row r="2" spans="1:19" ht="15" thickBot="1" x14ac:dyDescent="0.35">
      <c r="A2" s="189" t="s">
        <v>202</v>
      </c>
      <c r="B2" s="190"/>
    </row>
    <row r="3" spans="1:19" x14ac:dyDescent="0.3">
      <c r="A3" s="319" t="s">
        <v>136</v>
      </c>
      <c r="B3" s="320"/>
      <c r="C3" s="321" t="s">
        <v>125</v>
      </c>
      <c r="D3" s="322"/>
      <c r="E3" s="322"/>
      <c r="F3" s="323"/>
      <c r="G3" s="324" t="s">
        <v>126</v>
      </c>
      <c r="H3" s="325"/>
      <c r="I3" s="325"/>
      <c r="J3" s="326"/>
      <c r="K3" s="327" t="s">
        <v>135</v>
      </c>
      <c r="L3" s="328"/>
      <c r="M3" s="328"/>
      <c r="N3" s="328"/>
      <c r="O3" s="329"/>
      <c r="P3" s="325" t="s">
        <v>177</v>
      </c>
      <c r="Q3" s="325"/>
      <c r="R3" s="325"/>
      <c r="S3" s="326"/>
    </row>
    <row r="4" spans="1:19" ht="15" thickBot="1" x14ac:dyDescent="0.35">
      <c r="A4" s="299">
        <v>2019</v>
      </c>
      <c r="B4" s="300"/>
      <c r="C4" s="301" t="s">
        <v>176</v>
      </c>
      <c r="D4" s="303" t="s">
        <v>81</v>
      </c>
      <c r="E4" s="303" t="s">
        <v>49</v>
      </c>
      <c r="F4" s="305" t="s">
        <v>42</v>
      </c>
      <c r="G4" s="293" t="s">
        <v>127</v>
      </c>
      <c r="H4" s="295" t="s">
        <v>131</v>
      </c>
      <c r="I4" s="295" t="s">
        <v>175</v>
      </c>
      <c r="J4" s="297" t="s">
        <v>128</v>
      </c>
      <c r="K4" s="316" t="s">
        <v>174</v>
      </c>
      <c r="L4" s="317"/>
      <c r="M4" s="317"/>
      <c r="N4" s="318"/>
      <c r="O4" s="305" t="s">
        <v>173</v>
      </c>
      <c r="P4" s="308" t="s">
        <v>172</v>
      </c>
      <c r="Q4" s="308" t="s">
        <v>138</v>
      </c>
      <c r="R4" s="310" t="s">
        <v>49</v>
      </c>
      <c r="S4" s="312" t="s">
        <v>137</v>
      </c>
    </row>
    <row r="5" spans="1:19" s="245" customFormat="1" ht="19.2" customHeight="1" x14ac:dyDescent="0.3">
      <c r="A5" s="314" t="s">
        <v>171</v>
      </c>
      <c r="B5" s="315"/>
      <c r="C5" s="302"/>
      <c r="D5" s="304"/>
      <c r="E5" s="304"/>
      <c r="F5" s="306"/>
      <c r="G5" s="294"/>
      <c r="H5" s="296"/>
      <c r="I5" s="296"/>
      <c r="J5" s="298"/>
      <c r="K5" s="248" t="s">
        <v>129</v>
      </c>
      <c r="L5" s="247" t="s">
        <v>130</v>
      </c>
      <c r="M5" s="247" t="s">
        <v>170</v>
      </c>
      <c r="N5" s="246" t="s">
        <v>2</v>
      </c>
      <c r="O5" s="306"/>
      <c r="P5" s="309"/>
      <c r="Q5" s="309"/>
      <c r="R5" s="311"/>
      <c r="S5" s="313"/>
    </row>
    <row r="6" spans="1:19" ht="15" thickBot="1" x14ac:dyDescent="0.35">
      <c r="A6" s="291" t="s">
        <v>124</v>
      </c>
      <c r="B6" s="292"/>
      <c r="C6" s="244">
        <f ca="1">SUM(Tabulka[01 uv_sk])/2</f>
        <v>5</v>
      </c>
      <c r="D6" s="242"/>
      <c r="E6" s="242"/>
      <c r="F6" s="241"/>
      <c r="G6" s="243">
        <f ca="1">SUM(Tabulka[05 h_vram])/2</f>
        <v>3224</v>
      </c>
      <c r="H6" s="242">
        <f ca="1">SUM(Tabulka[06 h_naduv])/2</f>
        <v>0</v>
      </c>
      <c r="I6" s="242">
        <f ca="1">SUM(Tabulka[07 h_nadzk])/2</f>
        <v>0</v>
      </c>
      <c r="J6" s="241">
        <f ca="1">SUM(Tabulka[08 h_oon])/2</f>
        <v>0</v>
      </c>
      <c r="K6" s="243">
        <f ca="1">SUM(Tabulka[09 m_kl])/2</f>
        <v>0</v>
      </c>
      <c r="L6" s="242">
        <f ca="1">SUM(Tabulka[10 m_gr])/2</f>
        <v>0</v>
      </c>
      <c r="M6" s="242">
        <f ca="1">SUM(Tabulka[11 m_jo])/2</f>
        <v>0</v>
      </c>
      <c r="N6" s="242">
        <f ca="1">SUM(Tabulka[12 m_oc])/2</f>
        <v>0</v>
      </c>
      <c r="O6" s="241">
        <f ca="1">SUM(Tabulka[13 m_sk])/2</f>
        <v>998393</v>
      </c>
      <c r="P6" s="240">
        <f ca="1">SUM(Tabulka[14_vzsk])/2</f>
        <v>3300</v>
      </c>
      <c r="Q6" s="240">
        <f ca="1">SUM(Tabulka[15_vzpl])/2</f>
        <v>2159.0213214701703</v>
      </c>
      <c r="R6" s="239">
        <f ca="1">IF(Q6=0,0,P6/Q6)</f>
        <v>1.5284703153153154</v>
      </c>
      <c r="S6" s="238">
        <f ca="1">Q6-P6</f>
        <v>-1140.9786785298297</v>
      </c>
    </row>
    <row r="7" spans="1:19" hidden="1" x14ac:dyDescent="0.3">
      <c r="A7" s="237" t="s">
        <v>169</v>
      </c>
      <c r="B7" s="236" t="s">
        <v>168</v>
      </c>
      <c r="C7" s="235" t="s">
        <v>167</v>
      </c>
      <c r="D7" s="234" t="s">
        <v>166</v>
      </c>
      <c r="E7" s="233" t="s">
        <v>165</v>
      </c>
      <c r="F7" s="232" t="s">
        <v>164</v>
      </c>
      <c r="G7" s="231" t="s">
        <v>163</v>
      </c>
      <c r="H7" s="229" t="s">
        <v>162</v>
      </c>
      <c r="I7" s="229" t="s">
        <v>161</v>
      </c>
      <c r="J7" s="228" t="s">
        <v>160</v>
      </c>
      <c r="K7" s="230" t="s">
        <v>159</v>
      </c>
      <c r="L7" s="229" t="s">
        <v>158</v>
      </c>
      <c r="M7" s="229" t="s">
        <v>157</v>
      </c>
      <c r="N7" s="228" t="s">
        <v>156</v>
      </c>
      <c r="O7" s="227" t="s">
        <v>155</v>
      </c>
      <c r="P7" s="226" t="s">
        <v>154</v>
      </c>
      <c r="Q7" s="225" t="s">
        <v>153</v>
      </c>
      <c r="R7" s="224" t="s">
        <v>152</v>
      </c>
      <c r="S7" s="223" t="s">
        <v>151</v>
      </c>
    </row>
    <row r="8" spans="1:19" x14ac:dyDescent="0.3">
      <c r="A8" s="220" t="s">
        <v>308</v>
      </c>
      <c r="B8" s="219"/>
      <c r="C8" s="21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5</v>
      </c>
      <c r="D8" s="21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21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21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21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3224</v>
      </c>
      <c r="H8" s="21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8" s="21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8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8" s="21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21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8" s="21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8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8" s="2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984206</v>
      </c>
      <c r="P8" s="22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3300</v>
      </c>
      <c r="Q8" s="22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2159.0213214701703</v>
      </c>
      <c r="R8" s="222">
        <f ca="1">IF(Tabulka[[#This Row],[15_vzpl]]=0,"",Tabulka[[#This Row],[14_vzsk]]/Tabulka[[#This Row],[15_vzpl]])</f>
        <v>1.5284703153153154</v>
      </c>
      <c r="S8" s="221">
        <f ca="1">IF(Tabulka[[#This Row],[15_vzpl]]-Tabulka[[#This Row],[14_vzsk]]=0,"",Tabulka[[#This Row],[15_vzpl]]-Tabulka[[#This Row],[14_vzsk]])</f>
        <v>-1140.9786785298297</v>
      </c>
    </row>
    <row r="9" spans="1:19" x14ac:dyDescent="0.3">
      <c r="A9" s="220">
        <v>523</v>
      </c>
      <c r="B9" s="219" t="s">
        <v>315</v>
      </c>
      <c r="C9" s="21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5</v>
      </c>
      <c r="D9" s="21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21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21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21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3224</v>
      </c>
      <c r="H9" s="21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9" s="21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9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9" s="21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21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21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9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9" s="2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984206</v>
      </c>
      <c r="P9" s="22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9" s="22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9" s="222" t="str">
        <f ca="1">IF(Tabulka[[#This Row],[15_vzpl]]=0,"",Tabulka[[#This Row],[14_vzsk]]/Tabulka[[#This Row],[15_vzpl]])</f>
        <v/>
      </c>
      <c r="S9" s="221" t="str">
        <f ca="1">IF(Tabulka[[#This Row],[15_vzpl]]-Tabulka[[#This Row],[14_vzsk]]=0,"",Tabulka[[#This Row],[15_vzpl]]-Tabulka[[#This Row],[14_vzsk]])</f>
        <v/>
      </c>
    </row>
    <row r="10" spans="1:19" x14ac:dyDescent="0.3">
      <c r="A10" s="220">
        <v>526</v>
      </c>
      <c r="B10" s="219" t="s">
        <v>316</v>
      </c>
      <c r="C10" s="21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10" s="21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21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21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21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10" s="21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0" s="21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0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0" s="21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21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21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0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0" s="2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P10" s="22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3300</v>
      </c>
      <c r="Q10" s="22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2159.0213214701703</v>
      </c>
      <c r="R10" s="222">
        <f ca="1">IF(Tabulka[[#This Row],[15_vzpl]]=0,"",Tabulka[[#This Row],[14_vzsk]]/Tabulka[[#This Row],[15_vzpl]])</f>
        <v>1.5284703153153154</v>
      </c>
      <c r="S10" s="221">
        <f ca="1">IF(Tabulka[[#This Row],[15_vzpl]]-Tabulka[[#This Row],[14_vzsk]]=0,"",Tabulka[[#This Row],[15_vzpl]]-Tabulka[[#This Row],[14_vzsk]])</f>
        <v>-1140.9786785298297</v>
      </c>
    </row>
    <row r="11" spans="1:19" x14ac:dyDescent="0.3">
      <c r="A11" s="220" t="s">
        <v>309</v>
      </c>
      <c r="B11" s="219"/>
      <c r="C11" s="21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11" s="21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21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21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21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11" s="21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1" s="21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1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1" s="21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21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1" s="21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1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1" s="2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14187</v>
      </c>
      <c r="P11" s="22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1" s="22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1" s="222" t="str">
        <f ca="1">IF(Tabulka[[#This Row],[15_vzpl]]=0,"",Tabulka[[#This Row],[14_vzsk]]/Tabulka[[#This Row],[15_vzpl]])</f>
        <v/>
      </c>
      <c r="S11" s="221" t="str">
        <f ca="1">IF(Tabulka[[#This Row],[15_vzpl]]-Tabulka[[#This Row],[14_vzsk]]=0,"",Tabulka[[#This Row],[15_vzpl]]-Tabulka[[#This Row],[14_vzsk]])</f>
        <v/>
      </c>
    </row>
    <row r="12" spans="1:19" x14ac:dyDescent="0.3">
      <c r="A12" s="220">
        <v>30</v>
      </c>
      <c r="B12" s="219" t="s">
        <v>317</v>
      </c>
      <c r="C12" s="21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12" s="21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21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21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21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12" s="21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2" s="21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2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2" s="21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21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2" s="21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2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2" s="2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14187</v>
      </c>
      <c r="P12" s="22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2" s="22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2" s="222" t="str">
        <f ca="1">IF(Tabulka[[#This Row],[15_vzpl]]=0,"",Tabulka[[#This Row],[14_vzsk]]/Tabulka[[#This Row],[15_vzpl]])</f>
        <v/>
      </c>
      <c r="S12" s="221" t="str">
        <f ca="1">IF(Tabulka[[#This Row],[15_vzpl]]-Tabulka[[#This Row],[14_vzsk]]=0,"",Tabulka[[#This Row],[15_vzpl]]-Tabulka[[#This Row],[14_vzsk]])</f>
        <v/>
      </c>
    </row>
    <row r="13" spans="1:19" x14ac:dyDescent="0.3">
      <c r="A13" t="s">
        <v>179</v>
      </c>
    </row>
    <row r="14" spans="1:19" x14ac:dyDescent="0.3">
      <c r="A14" s="85" t="s">
        <v>108</v>
      </c>
    </row>
    <row r="15" spans="1:19" x14ac:dyDescent="0.3">
      <c r="A15" s="86" t="s">
        <v>150</v>
      </c>
    </row>
    <row r="16" spans="1:19" x14ac:dyDescent="0.3">
      <c r="A16" s="212" t="s">
        <v>149</v>
      </c>
    </row>
    <row r="17" spans="1:1" x14ac:dyDescent="0.3">
      <c r="A17" s="192" t="s">
        <v>134</v>
      </c>
    </row>
    <row r="18" spans="1:1" x14ac:dyDescent="0.3">
      <c r="A18" s="194" t="s">
        <v>139</v>
      </c>
    </row>
  </sheetData>
  <mergeCells count="23"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</mergeCells>
  <conditionalFormatting sqref="S6:S12">
    <cfRule type="cellIs" dxfId="4" priority="3" operator="lessThan">
      <formula>0</formula>
    </cfRule>
  </conditionalFormatting>
  <conditionalFormatting sqref="R6:R12">
    <cfRule type="cellIs" dxfId="3" priority="4" operator="greaterThan">
      <formula>1</formula>
    </cfRule>
  </conditionalFormatting>
  <conditionalFormatting sqref="A8:S12">
    <cfRule type="expression" dxfId="2" priority="2">
      <formula>$B8=""</formula>
    </cfRule>
  </conditionalFormatting>
  <conditionalFormatting sqref="P8:S12">
    <cfRule type="expression" dxfId="1" priority="1">
      <formula>$B8&lt;&gt;""</formula>
    </cfRule>
  </conditionalFormatting>
  <dataValidations count="1">
    <dataValidation type="list" allowBlank="1" showInputMessage="1" showErrorMessage="1" sqref="A4:B4">
      <formula1>Obdobi</formula1>
    </dataValidation>
  </dataValidation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S27"/>
  <sheetViews>
    <sheetView workbookViewId="0"/>
  </sheetViews>
  <sheetFormatPr defaultRowHeight="14.4" x14ac:dyDescent="0.3"/>
  <cols>
    <col min="1" max="1" width="9.44140625" customWidth="1"/>
    <col min="5" max="5" width="10.21875" customWidth="1"/>
    <col min="6" max="6" width="11" customWidth="1"/>
    <col min="7" max="7" width="11.109375" customWidth="1"/>
    <col min="8" max="8" width="12.109375" customWidth="1"/>
    <col min="9" max="9" width="11.77734375" customWidth="1"/>
    <col min="10" max="10" width="12.77734375" customWidth="1"/>
    <col min="11" max="11" width="12.44140625" customWidth="1"/>
    <col min="12" max="12" width="10.77734375" customWidth="1"/>
    <col min="13" max="13" width="9.44140625" customWidth="1"/>
    <col min="14" max="15" width="9.6640625" customWidth="1"/>
    <col min="16" max="16" width="10" customWidth="1"/>
    <col min="17" max="17" width="9.77734375" customWidth="1"/>
    <col min="18" max="18" width="9.44140625" customWidth="1"/>
    <col min="19" max="19" width="9.21875" customWidth="1"/>
  </cols>
  <sheetData>
    <row r="1" spans="1:19" x14ac:dyDescent="0.3">
      <c r="A1" t="s">
        <v>314</v>
      </c>
    </row>
    <row r="2" spans="1:19" x14ac:dyDescent="0.3">
      <c r="A2" s="189" t="s">
        <v>202</v>
      </c>
    </row>
    <row r="3" spans="1:19" x14ac:dyDescent="0.3">
      <c r="A3" s="258" t="s">
        <v>111</v>
      </c>
      <c r="B3" s="257">
        <v>2019</v>
      </c>
      <c r="C3" t="s">
        <v>178</v>
      </c>
      <c r="D3" t="s">
        <v>169</v>
      </c>
      <c r="E3" t="s">
        <v>167</v>
      </c>
      <c r="F3" t="s">
        <v>166</v>
      </c>
      <c r="G3" t="s">
        <v>165</v>
      </c>
      <c r="H3" t="s">
        <v>164</v>
      </c>
      <c r="I3" t="s">
        <v>163</v>
      </c>
      <c r="J3" t="s">
        <v>162</v>
      </c>
      <c r="K3" t="s">
        <v>161</v>
      </c>
      <c r="L3" t="s">
        <v>160</v>
      </c>
      <c r="M3" t="s">
        <v>159</v>
      </c>
      <c r="N3" t="s">
        <v>158</v>
      </c>
      <c r="O3" t="s">
        <v>157</v>
      </c>
      <c r="P3" t="s">
        <v>156</v>
      </c>
      <c r="Q3" t="s">
        <v>155</v>
      </c>
      <c r="R3" t="s">
        <v>154</v>
      </c>
      <c r="S3" t="s">
        <v>153</v>
      </c>
    </row>
    <row r="4" spans="1:19" x14ac:dyDescent="0.3">
      <c r="A4" s="256" t="s">
        <v>112</v>
      </c>
      <c r="B4" s="255">
        <v>1</v>
      </c>
      <c r="C4" s="250">
        <v>1</v>
      </c>
      <c r="D4" s="250" t="s">
        <v>308</v>
      </c>
      <c r="E4" s="249">
        <v>5</v>
      </c>
      <c r="F4" s="249"/>
      <c r="G4" s="249"/>
      <c r="H4" s="249"/>
      <c r="I4" s="249">
        <v>896</v>
      </c>
      <c r="J4" s="249"/>
      <c r="K4" s="249"/>
      <c r="L4" s="249"/>
      <c r="M4" s="249"/>
      <c r="N4" s="249"/>
      <c r="O4" s="249"/>
      <c r="P4" s="249"/>
      <c r="Q4" s="249">
        <v>249666</v>
      </c>
      <c r="R4" s="249">
        <v>1500</v>
      </c>
      <c r="S4" s="249">
        <v>539.75533036754257</v>
      </c>
    </row>
    <row r="5" spans="1:19" x14ac:dyDescent="0.3">
      <c r="A5" s="254" t="s">
        <v>113</v>
      </c>
      <c r="B5" s="253">
        <v>2</v>
      </c>
      <c r="C5">
        <v>1</v>
      </c>
      <c r="D5">
        <v>523</v>
      </c>
      <c r="E5">
        <v>5</v>
      </c>
      <c r="I5">
        <v>896</v>
      </c>
      <c r="Q5">
        <v>249666</v>
      </c>
    </row>
    <row r="6" spans="1:19" x14ac:dyDescent="0.3">
      <c r="A6" s="256" t="s">
        <v>114</v>
      </c>
      <c r="B6" s="255">
        <v>3</v>
      </c>
      <c r="C6">
        <v>1</v>
      </c>
      <c r="D6">
        <v>526</v>
      </c>
      <c r="R6">
        <v>1500</v>
      </c>
      <c r="S6">
        <v>539.75533036754257</v>
      </c>
    </row>
    <row r="7" spans="1:19" x14ac:dyDescent="0.3">
      <c r="A7" s="254" t="s">
        <v>115</v>
      </c>
      <c r="B7" s="253">
        <v>4</v>
      </c>
      <c r="C7">
        <v>1</v>
      </c>
      <c r="D7" t="s">
        <v>309</v>
      </c>
      <c r="Q7">
        <v>3615</v>
      </c>
    </row>
    <row r="8" spans="1:19" x14ac:dyDescent="0.3">
      <c r="A8" s="256" t="s">
        <v>116</v>
      </c>
      <c r="B8" s="255">
        <v>5</v>
      </c>
      <c r="C8">
        <v>1</v>
      </c>
      <c r="D8">
        <v>30</v>
      </c>
      <c r="Q8">
        <v>3615</v>
      </c>
    </row>
    <row r="9" spans="1:19" x14ac:dyDescent="0.3">
      <c r="A9" s="254" t="s">
        <v>117</v>
      </c>
      <c r="B9" s="253">
        <v>6</v>
      </c>
      <c r="C9" t="s">
        <v>310</v>
      </c>
      <c r="E9">
        <v>5</v>
      </c>
      <c r="I9">
        <v>896</v>
      </c>
      <c r="Q9">
        <v>253281</v>
      </c>
      <c r="R9">
        <v>1500</v>
      </c>
      <c r="S9">
        <v>539.75533036754257</v>
      </c>
    </row>
    <row r="10" spans="1:19" x14ac:dyDescent="0.3">
      <c r="A10" s="256" t="s">
        <v>118</v>
      </c>
      <c r="B10" s="255">
        <v>7</v>
      </c>
      <c r="C10">
        <v>2</v>
      </c>
      <c r="D10" t="s">
        <v>308</v>
      </c>
      <c r="E10">
        <v>5</v>
      </c>
      <c r="I10">
        <v>752</v>
      </c>
      <c r="Q10">
        <v>243725</v>
      </c>
      <c r="R10">
        <v>1800</v>
      </c>
      <c r="S10">
        <v>539.75533036754257</v>
      </c>
    </row>
    <row r="11" spans="1:19" x14ac:dyDescent="0.3">
      <c r="A11" s="254" t="s">
        <v>119</v>
      </c>
      <c r="B11" s="253">
        <v>8</v>
      </c>
      <c r="C11">
        <v>2</v>
      </c>
      <c r="D11">
        <v>523</v>
      </c>
      <c r="E11">
        <v>5</v>
      </c>
      <c r="I11">
        <v>752</v>
      </c>
      <c r="Q11">
        <v>243725</v>
      </c>
    </row>
    <row r="12" spans="1:19" x14ac:dyDescent="0.3">
      <c r="A12" s="256" t="s">
        <v>120</v>
      </c>
      <c r="B12" s="255">
        <v>9</v>
      </c>
      <c r="C12">
        <v>2</v>
      </c>
      <c r="D12">
        <v>526</v>
      </c>
      <c r="R12">
        <v>1800</v>
      </c>
      <c r="S12">
        <v>539.75533036754257</v>
      </c>
    </row>
    <row r="13" spans="1:19" x14ac:dyDescent="0.3">
      <c r="A13" s="254" t="s">
        <v>121</v>
      </c>
      <c r="B13" s="253">
        <v>10</v>
      </c>
      <c r="C13">
        <v>2</v>
      </c>
      <c r="D13" t="s">
        <v>309</v>
      </c>
      <c r="Q13">
        <v>3696</v>
      </c>
    </row>
    <row r="14" spans="1:19" x14ac:dyDescent="0.3">
      <c r="A14" s="256" t="s">
        <v>122</v>
      </c>
      <c r="B14" s="255">
        <v>11</v>
      </c>
      <c r="C14">
        <v>2</v>
      </c>
      <c r="D14">
        <v>30</v>
      </c>
      <c r="Q14">
        <v>3696</v>
      </c>
    </row>
    <row r="15" spans="1:19" x14ac:dyDescent="0.3">
      <c r="A15" s="254" t="s">
        <v>123</v>
      </c>
      <c r="B15" s="253">
        <v>12</v>
      </c>
      <c r="C15" t="s">
        <v>311</v>
      </c>
      <c r="E15">
        <v>5</v>
      </c>
      <c r="I15">
        <v>752</v>
      </c>
      <c r="Q15">
        <v>247421</v>
      </c>
      <c r="R15">
        <v>1800</v>
      </c>
      <c r="S15">
        <v>539.75533036754257</v>
      </c>
    </row>
    <row r="16" spans="1:19" x14ac:dyDescent="0.3">
      <c r="A16" s="252" t="s">
        <v>111</v>
      </c>
      <c r="B16" s="251">
        <v>2019</v>
      </c>
      <c r="C16">
        <v>3</v>
      </c>
      <c r="D16" t="s">
        <v>308</v>
      </c>
      <c r="E16">
        <v>5</v>
      </c>
      <c r="I16">
        <v>752</v>
      </c>
      <c r="Q16">
        <v>245107</v>
      </c>
      <c r="S16">
        <v>539.75533036754257</v>
      </c>
    </row>
    <row r="17" spans="3:19" x14ac:dyDescent="0.3">
      <c r="C17">
        <v>3</v>
      </c>
      <c r="D17">
        <v>523</v>
      </c>
      <c r="E17">
        <v>5</v>
      </c>
      <c r="I17">
        <v>752</v>
      </c>
      <c r="Q17">
        <v>245107</v>
      </c>
    </row>
    <row r="18" spans="3:19" x14ac:dyDescent="0.3">
      <c r="C18">
        <v>3</v>
      </c>
      <c r="D18">
        <v>526</v>
      </c>
      <c r="S18">
        <v>539.75533036754257</v>
      </c>
    </row>
    <row r="19" spans="3:19" x14ac:dyDescent="0.3">
      <c r="C19">
        <v>3</v>
      </c>
      <c r="D19" t="s">
        <v>309</v>
      </c>
      <c r="Q19">
        <v>3432</v>
      </c>
    </row>
    <row r="20" spans="3:19" x14ac:dyDescent="0.3">
      <c r="C20">
        <v>3</v>
      </c>
      <c r="D20">
        <v>30</v>
      </c>
      <c r="Q20">
        <v>3432</v>
      </c>
    </row>
    <row r="21" spans="3:19" x14ac:dyDescent="0.3">
      <c r="C21" t="s">
        <v>312</v>
      </c>
      <c r="E21">
        <v>5</v>
      </c>
      <c r="I21">
        <v>752</v>
      </c>
      <c r="Q21">
        <v>248539</v>
      </c>
      <c r="S21">
        <v>539.75533036754257</v>
      </c>
    </row>
    <row r="22" spans="3:19" x14ac:dyDescent="0.3">
      <c r="C22">
        <v>4</v>
      </c>
      <c r="D22" t="s">
        <v>308</v>
      </c>
      <c r="E22">
        <v>5</v>
      </c>
      <c r="I22">
        <v>824</v>
      </c>
      <c r="Q22">
        <v>245708</v>
      </c>
      <c r="S22">
        <v>539.75533036754257</v>
      </c>
    </row>
    <row r="23" spans="3:19" x14ac:dyDescent="0.3">
      <c r="C23">
        <v>4</v>
      </c>
      <c r="D23">
        <v>523</v>
      </c>
      <c r="E23">
        <v>5</v>
      </c>
      <c r="I23">
        <v>824</v>
      </c>
      <c r="Q23">
        <v>245708</v>
      </c>
    </row>
    <row r="24" spans="3:19" x14ac:dyDescent="0.3">
      <c r="C24">
        <v>4</v>
      </c>
      <c r="D24">
        <v>526</v>
      </c>
      <c r="S24">
        <v>539.75533036754257</v>
      </c>
    </row>
    <row r="25" spans="3:19" x14ac:dyDescent="0.3">
      <c r="C25">
        <v>4</v>
      </c>
      <c r="D25" t="s">
        <v>309</v>
      </c>
      <c r="Q25">
        <v>3444</v>
      </c>
    </row>
    <row r="26" spans="3:19" x14ac:dyDescent="0.3">
      <c r="C26">
        <v>4</v>
      </c>
      <c r="D26">
        <v>30</v>
      </c>
      <c r="Q26">
        <v>3444</v>
      </c>
    </row>
    <row r="27" spans="3:19" x14ac:dyDescent="0.3">
      <c r="C27" t="s">
        <v>313</v>
      </c>
      <c r="E27">
        <v>5</v>
      </c>
      <c r="I27">
        <v>824</v>
      </c>
      <c r="Q27">
        <v>249152</v>
      </c>
      <c r="S27">
        <v>539.75533036754257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outlinePr summaryRight="0"/>
    <pageSetUpPr fitToPage="1"/>
  </sheetPr>
  <dimension ref="A1:AB14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RowHeight="14.4" customHeight="1" outlineLevelCol="1" x14ac:dyDescent="0.3"/>
  <cols>
    <col min="1" max="1" width="50" style="101" customWidth="1" collapsed="1"/>
    <col min="2" max="2" width="7.77734375" style="78" hidden="1" customWidth="1" outlineLevel="1"/>
    <col min="3" max="4" width="5.44140625" style="101" hidden="1" customWidth="1"/>
    <col min="5" max="5" width="7.77734375" style="78" customWidth="1"/>
    <col min="6" max="6" width="7.77734375" style="78" hidden="1" customWidth="1"/>
    <col min="7" max="7" width="5.44140625" style="101" hidden="1" customWidth="1"/>
    <col min="8" max="8" width="7.77734375" style="78" customWidth="1" collapsed="1"/>
    <col min="9" max="9" width="7.77734375" style="176" hidden="1" customWidth="1" outlineLevel="1"/>
    <col min="10" max="10" width="7.77734375" style="176" customWidth="1" collapsed="1"/>
    <col min="11" max="12" width="7.77734375" style="78" hidden="1" customWidth="1"/>
    <col min="13" max="13" width="5.44140625" style="101" hidden="1" customWidth="1"/>
    <col min="14" max="14" width="7.77734375" style="78" customWidth="1"/>
    <col min="15" max="15" width="7.77734375" style="78" hidden="1" customWidth="1"/>
    <col min="16" max="16" width="5.44140625" style="101" hidden="1" customWidth="1"/>
    <col min="17" max="17" width="7.77734375" style="78" customWidth="1" collapsed="1"/>
    <col min="18" max="18" width="7.77734375" style="176" hidden="1" customWidth="1" outlineLevel="1"/>
    <col min="19" max="19" width="7.77734375" style="176" customWidth="1" collapsed="1"/>
    <col min="20" max="21" width="7.77734375" style="78" hidden="1" customWidth="1"/>
    <col min="22" max="22" width="5" style="101" hidden="1" customWidth="1"/>
    <col min="23" max="23" width="7.77734375" style="78" customWidth="1"/>
    <col min="24" max="24" width="7.77734375" style="78" hidden="1" customWidth="1"/>
    <col min="25" max="25" width="5" style="101" hidden="1" customWidth="1"/>
    <col min="26" max="26" width="7.77734375" style="78" customWidth="1" collapsed="1"/>
    <col min="27" max="27" width="7.77734375" style="176" hidden="1" customWidth="1" outlineLevel="1"/>
    <col min="28" max="28" width="7.77734375" style="176" customWidth="1" collapsed="1"/>
    <col min="29" max="16384" width="8.88671875" style="101"/>
  </cols>
  <sheetData>
    <row r="1" spans="1:28" ht="18.600000000000001" customHeight="1" thickBot="1" x14ac:dyDescent="0.4">
      <c r="A1" s="330" t="s">
        <v>320</v>
      </c>
      <c r="B1" s="263"/>
      <c r="C1" s="263"/>
      <c r="D1" s="263"/>
      <c r="E1" s="263"/>
      <c r="F1" s="263"/>
      <c r="G1" s="263"/>
      <c r="H1" s="263"/>
      <c r="I1" s="263"/>
      <c r="J1" s="263"/>
      <c r="K1" s="263"/>
      <c r="L1" s="263"/>
      <c r="M1" s="263"/>
      <c r="N1" s="263"/>
      <c r="O1" s="263"/>
      <c r="P1" s="263"/>
      <c r="Q1" s="263"/>
      <c r="R1" s="263"/>
      <c r="S1" s="263"/>
      <c r="T1" s="263"/>
      <c r="U1" s="263"/>
      <c r="V1" s="263"/>
      <c r="W1" s="263"/>
      <c r="X1" s="263"/>
      <c r="Y1" s="263"/>
      <c r="Z1" s="263"/>
      <c r="AA1" s="263"/>
      <c r="AB1" s="263"/>
    </row>
    <row r="2" spans="1:28" ht="14.4" customHeight="1" thickBot="1" x14ac:dyDescent="0.35">
      <c r="A2" s="189" t="s">
        <v>202</v>
      </c>
      <c r="B2" s="83"/>
      <c r="C2" s="83"/>
      <c r="D2" s="83"/>
      <c r="E2" s="83"/>
      <c r="F2" s="83"/>
      <c r="G2" s="83"/>
      <c r="H2" s="83"/>
      <c r="I2" s="184"/>
      <c r="J2" s="184"/>
      <c r="K2" s="83"/>
      <c r="L2" s="83"/>
      <c r="M2" s="83"/>
      <c r="N2" s="83"/>
      <c r="O2" s="83"/>
      <c r="P2" s="83"/>
      <c r="Q2" s="83"/>
      <c r="R2" s="184"/>
      <c r="S2" s="184"/>
      <c r="T2" s="83"/>
      <c r="U2" s="83"/>
      <c r="V2" s="83"/>
      <c r="W2" s="83"/>
      <c r="X2" s="83"/>
      <c r="Y2" s="83"/>
      <c r="Z2" s="83"/>
      <c r="AA2" s="184"/>
      <c r="AB2" s="184"/>
    </row>
    <row r="3" spans="1:28" ht="14.4" customHeight="1" thickBot="1" x14ac:dyDescent="0.35">
      <c r="A3" s="177" t="s">
        <v>96</v>
      </c>
      <c r="B3" s="178">
        <f>SUBTOTAL(9,B6:B1048576)/4</f>
        <v>267176</v>
      </c>
      <c r="C3" s="179">
        <f t="shared" ref="C3:Z3" si="0">SUBTOTAL(9,C6:C1048576)</f>
        <v>4</v>
      </c>
      <c r="D3" s="179"/>
      <c r="E3" s="179">
        <f>SUBTOTAL(9,E6:E1048576)/4</f>
        <v>284522.32</v>
      </c>
      <c r="F3" s="179"/>
      <c r="G3" s="179">
        <f t="shared" si="0"/>
        <v>4</v>
      </c>
      <c r="H3" s="179">
        <f>SUBTOTAL(9,H6:H1048576)/4</f>
        <v>461026.66</v>
      </c>
      <c r="I3" s="182">
        <f>IF(B3&lt;&gt;0,H3/B3,"")</f>
        <v>1.725554166541905</v>
      </c>
      <c r="J3" s="180">
        <f>IF(E3&lt;&gt;0,H3/E3,"")</f>
        <v>1.6203532292299598</v>
      </c>
      <c r="K3" s="181">
        <f t="shared" si="0"/>
        <v>0</v>
      </c>
      <c r="L3" s="181"/>
      <c r="M3" s="179">
        <f t="shared" si="0"/>
        <v>0</v>
      </c>
      <c r="N3" s="179">
        <f t="shared" si="0"/>
        <v>0</v>
      </c>
      <c r="O3" s="179"/>
      <c r="P3" s="179">
        <f t="shared" si="0"/>
        <v>0</v>
      </c>
      <c r="Q3" s="179">
        <f t="shared" si="0"/>
        <v>0</v>
      </c>
      <c r="R3" s="182" t="str">
        <f>IF(K3&lt;&gt;0,Q3/K3,"")</f>
        <v/>
      </c>
      <c r="S3" s="182" t="str">
        <f>IF(N3&lt;&gt;0,Q3/N3,"")</f>
        <v/>
      </c>
      <c r="T3" s="178">
        <f t="shared" si="0"/>
        <v>0</v>
      </c>
      <c r="U3" s="181"/>
      <c r="V3" s="179">
        <f t="shared" si="0"/>
        <v>0</v>
      </c>
      <c r="W3" s="179">
        <f t="shared" si="0"/>
        <v>0</v>
      </c>
      <c r="X3" s="179"/>
      <c r="Y3" s="179">
        <f t="shared" si="0"/>
        <v>0</v>
      </c>
      <c r="Z3" s="179">
        <f t="shared" si="0"/>
        <v>0</v>
      </c>
      <c r="AA3" s="182" t="str">
        <f>IF(T3&lt;&gt;0,Z3/T3,"")</f>
        <v/>
      </c>
      <c r="AB3" s="180" t="str">
        <f>IF(W3&lt;&gt;0,Z3/W3,"")</f>
        <v/>
      </c>
    </row>
    <row r="4" spans="1:28" ht="14.4" customHeight="1" x14ac:dyDescent="0.3">
      <c r="A4" s="331" t="s">
        <v>143</v>
      </c>
      <c r="B4" s="332" t="s">
        <v>73</v>
      </c>
      <c r="C4" s="333"/>
      <c r="D4" s="334"/>
      <c r="E4" s="333"/>
      <c r="F4" s="334"/>
      <c r="G4" s="333"/>
      <c r="H4" s="333"/>
      <c r="I4" s="334"/>
      <c r="J4" s="335"/>
      <c r="K4" s="332" t="s">
        <v>74</v>
      </c>
      <c r="L4" s="334"/>
      <c r="M4" s="333"/>
      <c r="N4" s="333"/>
      <c r="O4" s="334"/>
      <c r="P4" s="333"/>
      <c r="Q4" s="333"/>
      <c r="R4" s="334"/>
      <c r="S4" s="335"/>
      <c r="T4" s="332" t="s">
        <v>75</v>
      </c>
      <c r="U4" s="334"/>
      <c r="V4" s="333"/>
      <c r="W4" s="333"/>
      <c r="X4" s="334"/>
      <c r="Y4" s="333"/>
      <c r="Z4" s="333"/>
      <c r="AA4" s="334"/>
      <c r="AB4" s="335"/>
    </row>
    <row r="5" spans="1:28" ht="14.4" customHeight="1" thickBot="1" x14ac:dyDescent="0.35">
      <c r="A5" s="379"/>
      <c r="B5" s="380">
        <v>2015</v>
      </c>
      <c r="C5" s="381"/>
      <c r="D5" s="381"/>
      <c r="E5" s="381">
        <v>2018</v>
      </c>
      <c r="F5" s="381"/>
      <c r="G5" s="381"/>
      <c r="H5" s="381">
        <v>2019</v>
      </c>
      <c r="I5" s="382" t="s">
        <v>144</v>
      </c>
      <c r="J5" s="383" t="s">
        <v>1</v>
      </c>
      <c r="K5" s="380">
        <v>2015</v>
      </c>
      <c r="L5" s="381"/>
      <c r="M5" s="381"/>
      <c r="N5" s="381">
        <v>2018</v>
      </c>
      <c r="O5" s="381"/>
      <c r="P5" s="381"/>
      <c r="Q5" s="381">
        <v>2019</v>
      </c>
      <c r="R5" s="382" t="s">
        <v>144</v>
      </c>
      <c r="S5" s="383" t="s">
        <v>1</v>
      </c>
      <c r="T5" s="380">
        <v>2015</v>
      </c>
      <c r="U5" s="381"/>
      <c r="V5" s="381"/>
      <c r="W5" s="381">
        <v>2018</v>
      </c>
      <c r="X5" s="381"/>
      <c r="Y5" s="381"/>
      <c r="Z5" s="381">
        <v>2019</v>
      </c>
      <c r="AA5" s="382" t="s">
        <v>144</v>
      </c>
      <c r="AB5" s="383" t="s">
        <v>1</v>
      </c>
    </row>
    <row r="6" spans="1:28" ht="14.4" customHeight="1" x14ac:dyDescent="0.3">
      <c r="A6" s="384" t="s">
        <v>318</v>
      </c>
      <c r="B6" s="385">
        <v>267176</v>
      </c>
      <c r="C6" s="386">
        <v>1</v>
      </c>
      <c r="D6" s="386">
        <v>0.93903353522493416</v>
      </c>
      <c r="E6" s="385">
        <v>284522.32</v>
      </c>
      <c r="F6" s="386">
        <v>1.0649246938347756</v>
      </c>
      <c r="G6" s="386">
        <v>1</v>
      </c>
      <c r="H6" s="385">
        <v>461026.66</v>
      </c>
      <c r="I6" s="386">
        <v>1.725554166541905</v>
      </c>
      <c r="J6" s="386">
        <v>1.6203532292299598</v>
      </c>
      <c r="K6" s="385"/>
      <c r="L6" s="386"/>
      <c r="M6" s="386"/>
      <c r="N6" s="385"/>
      <c r="O6" s="386"/>
      <c r="P6" s="386"/>
      <c r="Q6" s="385"/>
      <c r="R6" s="386"/>
      <c r="S6" s="386"/>
      <c r="T6" s="385"/>
      <c r="U6" s="386"/>
      <c r="V6" s="386"/>
      <c r="W6" s="385"/>
      <c r="X6" s="386"/>
      <c r="Y6" s="386"/>
      <c r="Z6" s="385"/>
      <c r="AA6" s="386"/>
      <c r="AB6" s="387"/>
    </row>
    <row r="7" spans="1:28" ht="14.4" customHeight="1" thickBot="1" x14ac:dyDescent="0.35">
      <c r="A7" s="391" t="s">
        <v>319</v>
      </c>
      <c r="B7" s="388">
        <v>267176</v>
      </c>
      <c r="C7" s="389">
        <v>1</v>
      </c>
      <c r="D7" s="389">
        <v>0.93903353522493416</v>
      </c>
      <c r="E7" s="388">
        <v>284522.32</v>
      </c>
      <c r="F7" s="389">
        <v>1.0649246938347756</v>
      </c>
      <c r="G7" s="389">
        <v>1</v>
      </c>
      <c r="H7" s="388">
        <v>461026.66</v>
      </c>
      <c r="I7" s="389">
        <v>1.725554166541905</v>
      </c>
      <c r="J7" s="389">
        <v>1.6203532292299598</v>
      </c>
      <c r="K7" s="388"/>
      <c r="L7" s="389"/>
      <c r="M7" s="389"/>
      <c r="N7" s="388"/>
      <c r="O7" s="389"/>
      <c r="P7" s="389"/>
      <c r="Q7" s="388"/>
      <c r="R7" s="389"/>
      <c r="S7" s="389"/>
      <c r="T7" s="388"/>
      <c r="U7" s="389"/>
      <c r="V7" s="389"/>
      <c r="W7" s="388"/>
      <c r="X7" s="389"/>
      <c r="Y7" s="389"/>
      <c r="Z7" s="388"/>
      <c r="AA7" s="389"/>
      <c r="AB7" s="390"/>
    </row>
    <row r="8" spans="1:28" ht="14.4" customHeight="1" thickBot="1" x14ac:dyDescent="0.35"/>
    <row r="9" spans="1:28" ht="14.4" customHeight="1" x14ac:dyDescent="0.3">
      <c r="A9" s="384" t="s">
        <v>321</v>
      </c>
      <c r="B9" s="385">
        <v>267176</v>
      </c>
      <c r="C9" s="386">
        <v>1</v>
      </c>
      <c r="D9" s="386">
        <v>0.93903353522493416</v>
      </c>
      <c r="E9" s="385">
        <v>284522.32</v>
      </c>
      <c r="F9" s="386">
        <v>1.0649246938347756</v>
      </c>
      <c r="G9" s="386">
        <v>1</v>
      </c>
      <c r="H9" s="385">
        <v>461026.66</v>
      </c>
      <c r="I9" s="386">
        <v>1.725554166541905</v>
      </c>
      <c r="J9" s="387">
        <v>1.6203532292299598</v>
      </c>
    </row>
    <row r="10" spans="1:28" ht="14.4" customHeight="1" thickBot="1" x14ac:dyDescent="0.35">
      <c r="A10" s="391" t="s">
        <v>322</v>
      </c>
      <c r="B10" s="388">
        <v>267176</v>
      </c>
      <c r="C10" s="389">
        <v>1</v>
      </c>
      <c r="D10" s="389">
        <v>0.93903353522493416</v>
      </c>
      <c r="E10" s="388">
        <v>284522.32</v>
      </c>
      <c r="F10" s="389">
        <v>1.0649246938347756</v>
      </c>
      <c r="G10" s="389">
        <v>1</v>
      </c>
      <c r="H10" s="388">
        <v>461026.66</v>
      </c>
      <c r="I10" s="389">
        <v>1.725554166541905</v>
      </c>
      <c r="J10" s="390">
        <v>1.6203532292299598</v>
      </c>
    </row>
    <row r="11" spans="1:28" ht="14.4" customHeight="1" x14ac:dyDescent="0.3">
      <c r="A11" s="392" t="s">
        <v>179</v>
      </c>
    </row>
    <row r="12" spans="1:28" ht="14.4" customHeight="1" x14ac:dyDescent="0.3">
      <c r="A12" s="393" t="s">
        <v>323</v>
      </c>
    </row>
    <row r="13" spans="1:28" ht="14.4" customHeight="1" x14ac:dyDescent="0.3">
      <c r="A13" s="392" t="s">
        <v>324</v>
      </c>
    </row>
    <row r="14" spans="1:28" ht="14.4" customHeight="1" x14ac:dyDescent="0.3">
      <c r="A14" s="392" t="s">
        <v>325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0" priority="4" stopIfTrue="1" operator="lessThan">
      <formula>0.95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14</vt:i4>
      </vt:variant>
      <vt:variant>
        <vt:lpstr>Pojmenované oblasti</vt:lpstr>
      </vt:variant>
      <vt:variant>
        <vt:i4>3</vt:i4>
      </vt:variant>
    </vt:vector>
  </HeadingPairs>
  <TitlesOfParts>
    <vt:vector size="17" baseType="lpstr">
      <vt:lpstr>Obsah</vt:lpstr>
      <vt:lpstr>Motivace</vt:lpstr>
      <vt:lpstr>HI</vt:lpstr>
      <vt:lpstr>HI Graf</vt:lpstr>
      <vt:lpstr>Man Tab</vt:lpstr>
      <vt:lpstr>HV</vt:lpstr>
      <vt:lpstr>Osobní náklady</vt:lpstr>
      <vt:lpstr>ON Data</vt:lpstr>
      <vt:lpstr>ZV Vykáz.-A</vt:lpstr>
      <vt:lpstr>ZV Vykáz.-A Lékaři</vt:lpstr>
      <vt:lpstr>ZV Vykáz.-A Detail</vt:lpstr>
      <vt:lpstr>ZV Vykáz.-A Det.Lék.</vt:lpstr>
      <vt:lpstr>ZV Vykáz.-H</vt:lpstr>
      <vt:lpstr>ZV Vykáz.-H Detail</vt:lpstr>
      <vt:lpstr>doměsíce</vt:lpstr>
      <vt:lpstr>'ON Data'!Obdobi</vt:lpstr>
      <vt:lpstr>'Osobní náklady'!Obdobi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Uživatel systému Windows</cp:lastModifiedBy>
  <cp:lastPrinted>2017-05-31T07:11:02Z</cp:lastPrinted>
  <dcterms:created xsi:type="dcterms:W3CDTF">2013-04-17T20:15:29Z</dcterms:created>
  <dcterms:modified xsi:type="dcterms:W3CDTF">2019-05-29T07:00:46Z</dcterms:modified>
</cp:coreProperties>
</file>