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3" hidden="1">'ZV Vykáz.-A Detail'!$A$5:$P$5</definedName>
    <definedName name="_xlnm._FilterDatabase" localSheetId="15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F6" i="419"/>
  <c r="K6" i="419"/>
  <c r="G6" i="419"/>
  <c r="D6" i="419"/>
  <c r="J6" i="419"/>
  <c r="I6" i="419"/>
  <c r="E6" i="419"/>
  <c r="B6" i="419"/>
  <c r="C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D15" i="414"/>
  <c r="D12" i="414"/>
  <c r="C15" i="414"/>
  <c r="D4" i="414"/>
  <c r="C11" i="414" l="1"/>
  <c r="C7" i="414"/>
  <c r="E17" i="414" l="1"/>
  <c r="E16" i="414"/>
  <c r="E11" i="414"/>
  <c r="E7" i="414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8" i="414"/>
  <c r="C18" i="414"/>
  <c r="F13" i="339" l="1"/>
  <c r="E13" i="339"/>
  <c r="E15" i="339" s="1"/>
  <c r="H12" i="339"/>
  <c r="G12" i="339"/>
  <c r="A11" i="383"/>
  <c r="A4" i="383"/>
  <c r="A21" i="383"/>
  <c r="A20" i="383"/>
  <c r="A19" i="383"/>
  <c r="A18" i="383"/>
  <c r="A15" i="383"/>
  <c r="A14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4" i="414"/>
  <c r="C4" i="414"/>
  <c r="C12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<sst xmlns="http://schemas.openxmlformats.org/spreadsheetml/2006/main" count="2460" uniqueCount="683">
  <si>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</si>
  <si>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</si>
  <si>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</si>
  <si>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</si>
  <si>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</si>
  <si>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</si>
  <si>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</si>
  <si>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</si>
  <si>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</si>
  <si>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</si>
  <si>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</si>
  <si>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</si>
  <si>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</si>
  <si>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</si>
  <si>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</si>
  <si>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</si>
  <si>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</si>
  <si>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</si>
  <si>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</si>
  <si>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</si>
  <si>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</si>
  <si>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</si>
  <si>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</si>
  <si>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</si>
  <si>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</si>
  <si>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</si>
  <si>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</si>
  <si>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</si>
  <si>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</si>
  <si>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</si>
  <si>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</si>
  <si>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</si>
  <si>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</si>
  <si>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</si>
  <si>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</si>
  <si>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</si>
  <si>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</si>
  <si>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</si>
  <si>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</si>
  <si>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</si>
  <si>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</si>
  <si>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</si>
  <si>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</si>
  <si>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</si>
  <si>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</si>
  <si>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</si>
  <si>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</si>
  <si>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</si>
  <si>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</si>
  <si>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</si>
  <si>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</si>
  <si>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</si>
  <si>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</si>
  <si>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</si>
  <si>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</si>
  <si>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</si>
  <si>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</si>
  <si>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</si>
  <si>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</si>
  <si>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</si>
  <si>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</si>
  <si>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</si>
  <si>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</si>
  <si>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</si>
  <si>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</si>
  <si>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</si>
  <si>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</si>
  <si>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</si>
  <si>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</si>
  <si>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</si>
  <si>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</si>
  <si>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</si>
  <si>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</si>
  <si>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</si>
  <si>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</si>
  <si>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</si>
  <si>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</si>
  <si>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</si>
  <si>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</si>
  <si>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</si>
  <si>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</si>
  <si>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</si>
  <si>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</si>
  <si>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</si>
  <si>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</si>
  <si>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</si>
  <si>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</si>
  <si>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</si>
  <si>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</si>
  <si>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</si>
  <si>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</si>
  <si>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</si>
  <si>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</si>
  <si>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</si>
  <si>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</si>
  <si>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</si>
  <si>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</si>
  <si>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</si>
  <si>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</si>
  <si>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</si>
  <si>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</si>
  <si>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</si>
  <si>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</si>
  <si>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</si>
  <si>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</si>
  <si>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</si>
  <si>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</si>
  <si>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</si>
  <si>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</si>
  <si>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</si>
  <si>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</si>
  <si>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</si>
  <si>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</si>
  <si>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</si>
  <si>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</si>
  <si>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</si>
  <si>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</si>
  <si>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</si>
  <si>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</si>
  <si>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</si>
  <si>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</si>
  <si>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</si>
  <si>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</si>
  <si>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</si>
  <si>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</si>
  <si>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</si>
  <si>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</si>
  <si>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</si>
  <si>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</si>
  <si>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</si>
  <si>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</si>
  <si>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</si>
  <si>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</si>
  <si>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</si>
  <si>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</si>
  <si>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</si>
  <si>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</si>
  <si>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</si>
  <si>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</si>
  <si>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</si>
  <si>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</si>
  <si>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</si>
  <si>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</si>
  <si>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</si>
  <si>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</si>
  <si>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</si>
  <si>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</si>
  <si>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</si>
  <si>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</si>
  <si>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</si>
  <si>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</si>
  <si>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</si>
  <si>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</si>
  <si>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</si>
  <si>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</si>
  <si>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</si>
  <si>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</si>
  <si>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</si>
  <si>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</si>
  <si>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</si>
  <si>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</si>
  <si>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</si>
  <si>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</si>
  <si>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</si>
  <si>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</si>
  <si>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</si>
  <si>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</si>
  <si>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</si>
  <si>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</si>
  <si>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</si>
  <si>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</si>
  <si>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</si>
  <si>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</si>
  <si>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</si>
  <si>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</si>
  <si>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</si>
  <si>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</si>
  <si>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</si>
  <si>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</si>
  <si>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</si>
  <si>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</si>
  <si>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</si>
  <si>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</si>
  <si>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</si>
  <si>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</si>
  <si>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</si>
  <si>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</si>
  <si>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</si>
  <si>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</si>
  <si>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</si>
  <si>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</si>
  <si>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</si>
  <si>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</si>
  <si>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</si>
  <si>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</si>
  <si>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</si>
  <si>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</si>
  <si>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</si>
  <si>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</si>
  <si>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</si>
  <si>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</si>
  <si>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</si>
  <si>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</si>
  <si>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</si>
  <si>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</si>
  <si>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</si>
  <si>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</si>
  <si>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</si>
  <si>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</si>
  <si>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</si>
  <si>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</si>
  <si>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</si>
  <si>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</si>
  <si>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</si>
  <si>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</si>
  <si>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</si>
  <si>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</si>
  <si>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</si>
  <si>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</si>
  <si>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</si>
  <si>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</si>
  <si>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</si>
  <si>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</si>
  <si>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</si>
  <si>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</si>
  <si>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</si>
  <si>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</si>
  <si>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</si>
  <si>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</si>
  <si>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</si>
  <si>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</si>
  <si>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</si>
  <si>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</si>
  <si>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</si>
  <si>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</si>
  <si>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</si>
  <si>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</si>
  <si>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</si>
  <si>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</si>
  <si>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</si>
  <si>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</si>
  <si>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</si>
  <si>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</si>
  <si>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</si>
  <si>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</si>
  <si>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</si>
  <si>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</si>
  <si>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</si>
  <si>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</si>
  <si>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</si>
  <si>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</si>
  <si>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</si>
  <si>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</si>
  <si>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</si>
  <si>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</si>
  <si>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</si>
  <si>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</si>
  <si>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</si>
  <si>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</si>
  <si>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</si>
  <si>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</si>
  <si>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</si>
  <si>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</si>
  <si>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</si>
  <si>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</si>
  <si>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</si>
  <si>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</si>
  <si>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</si>
  <si>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</si>
  <si>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</si>
  <si>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</si>
  <si>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</si>
  <si>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</si>
  <si>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</si>
  <si>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</si>
  <si>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</si>
  <si>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</si>
  <si>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</si>
  <si>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</si>
  <si>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</si>
  <si>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</si>
  <si>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</si>
  <si>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</si>
  <si>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</si>
  <si>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</si>
  <si>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</si>
  <si>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</si>
  <si>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</si>
  <si>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</si>
  <si>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</si>
  <si>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</si>
  <si>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</si>
  <si>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</si>
  <si>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</si>
  <si>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</si>
  <si>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</si>
  <si>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</si>
  <si>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</si>
  <si>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</si>
  <si>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</si>
  <si>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</si>
  <si>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</si>
  <si>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</si>
  <si>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</si>
  <si>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</si>
  <si>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</si>
  <si>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</si>
  <si>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</si>
  <si>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</si>
  <si>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</si>
  <si>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</si>
  <si>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</si>
  <si>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</si>
  <si>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</si>
  <si>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</si>
  <si>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</si>
  <si>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</si>
  <si>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</si>
  <si>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</si>
  <si>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</si>
  <si>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</si>
  <si>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</si>
  <si>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</si>
  <si>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</si>
  <si>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</si>
  <si>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</si>
  <si>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</si>
  <si>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</si>
  <si>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</si>
  <si>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</si>
  <si>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</si>
  <si>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</si>
  <si>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</si>
  <si>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</si>
  <si>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</si>
  <si>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</si>
  <si>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</si>
  <si>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55120005     ZC DHM - ostatní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</si>
  <si>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</si>
  <si>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</si>
  <si>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</si>
  <si>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</si>
  <si>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</si>
  <si>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</si>
  <si>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</si>
  <si>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</si>
  <si>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</si>
  <si>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</si>
  <si>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</si>
  <si>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</si>
  <si>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</si>
  <si>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</si>
  <si>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</si>
  <si>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</si>
  <si>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</si>
  <si>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</si>
  <si>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</si>
  <si>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</si>
  <si>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</si>
  <si>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</si>
  <si>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</si>
  <si>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</si>
  <si>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</si>
  <si>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</si>
  <si>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</si>
  <si>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</si>
  <si>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</si>
  <si>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</si>
  <si>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</si>
  <si>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</si>
  <si>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</si>
  <si>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</si>
  <si>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</si>
  <si>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</si>
  <si>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</si>
  <si>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</si>
  <si>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</si>
  <si>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</si>
  <si>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</si>
  <si>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</si>
  <si>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</si>
  <si>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</si>
  <si>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</si>
  <si>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</si>
  <si>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</si>
  <si>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</si>
  <si>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</si>
  <si>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</si>
  <si>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</si>
  <si>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</si>
  <si>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</si>
  <si>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</si>
  <si>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</si>
  <si>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</si>
  <si>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</si>
  <si>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</si>
  <si>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</si>
  <si>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</si>
  <si>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</si>
  <si>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</si>
  <si>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</si>
  <si>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</si>
  <si>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</si>
  <si>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</si>
  <si>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</si>
  <si>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</si>
  <si>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</si>
  <si>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</si>
  <si>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</si>
  <si>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</si>
  <si>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</si>
  <si>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</si>
  <si>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</si>
  <si>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</si>
  <si>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</si>
  <si>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</si>
  <si>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</si>
  <si>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</si>
  <si>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</si>
  <si>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</si>
  <si>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/>
  </si>
  <si>
    <t>Ústav soudního lékařství a medicínského práva</t>
  </si>
  <si>
    <t>50113001</t>
  </si>
  <si>
    <t>Lékárna - léčiva</t>
  </si>
  <si>
    <t>SumaKL</t>
  </si>
  <si>
    <t>3841</t>
  </si>
  <si>
    <t>SOUD, soudní lékařství - laboratoř</t>
  </si>
  <si>
    <t>SumaNS</t>
  </si>
  <si>
    <t>mezeraNS</t>
  </si>
  <si>
    <t>O</t>
  </si>
  <si>
    <t>900321</t>
  </si>
  <si>
    <t>KL PRIPRAVEK</t>
  </si>
  <si>
    <t>191583</t>
  </si>
  <si>
    <t>163189</t>
  </si>
  <si>
    <t>DANTROLEN I.V.</t>
  </si>
  <si>
    <t>INF SIC 36X20MG+SOL</t>
  </si>
  <si>
    <t>930224</t>
  </si>
  <si>
    <t>KL BENZINUM 900 ml</t>
  </si>
  <si>
    <t>UN 3295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</si>
  <si>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</si>
  <si>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</si>
  <si>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</si>
  <si>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</si>
  <si>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</si>
  <si>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</si>
  <si>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</si>
  <si>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</si>
  <si>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</si>
  <si>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</si>
  <si>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</si>
  <si>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</si>
  <si>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</si>
  <si>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2730152</t>
  </si>
  <si>
    <t>ZA321</t>
  </si>
  <si>
    <t>Kompresa gáza 7,5 cm x 7,5 cm / 100 ks 17 nití, 8 vrstev 06002</t>
  </si>
  <si>
    <t>ZA446</t>
  </si>
  <si>
    <t>Vata buničitá přířezy 20 x 30 cm 1230200129</t>
  </si>
  <si>
    <t>ZA447</t>
  </si>
  <si>
    <t>Vata obvazová 200 g nesterilní skládaná 1102352</t>
  </si>
  <si>
    <t>ZA727</t>
  </si>
  <si>
    <t>Kontejner 30 ml sterilní 331690251750</t>
  </si>
  <si>
    <t>ZA751</t>
  </si>
  <si>
    <t>Papír filtrační archy 50 x 50 cm bal. 12,5 kg 624890805050</t>
  </si>
  <si>
    <t>ZA787</t>
  </si>
  <si>
    <t>Stříkačka injekční 10 ml 4606108V</t>
  </si>
  <si>
    <t>ZA788</t>
  </si>
  <si>
    <t>Stříkačka injekční 20 ml 4606205V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</si>
  <si>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</si>
  <si>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</si>
  <si>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</si>
  <si>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</si>
  <si>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</si>
  <si>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</si>
  <si>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</si>
  <si>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</si>
  <si>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</si>
  <si>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</si>
  <si>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</si>
  <si>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</si>
  <si>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</si>
  <si>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</si>
  <si>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</si>
  <si>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</si>
  <si>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</si>
  <si>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</si>
  <si>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</si>
  <si>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</si>
  <si>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ZE174</t>
  </si>
  <si>
    <t>Nádoba na histologický mat. 920 ml 333000041024</t>
  </si>
  <si>
    <t>ZC019</t>
  </si>
  <si>
    <t>Fólie plastická silikag. 20 x 20 cm á 25 ks TLC 1057350001</t>
  </si>
  <si>
    <t>ZM215</t>
  </si>
  <si>
    <t>Tyčinky leštící pro MS 13 cm Micro-Mesh Sanding Swabs bal. á 12 ks MMSS-3</t>
  </si>
  <si>
    <t>ZM216</t>
  </si>
  <si>
    <t>Utěrky Tork Premium 510 role 400 útržků 38 x 32 cm 510178</t>
  </si>
  <si>
    <t>ZC036</t>
  </si>
  <si>
    <t>Baňka erlen 250 ml 632417106250</t>
  </si>
  <si>
    <t>ZC078</t>
  </si>
  <si>
    <t>Válec odměrný vysoký 50 ml 710920</t>
  </si>
  <si>
    <t>ZD325</t>
  </si>
  <si>
    <t>Válec odměrný vysoký 25 ml d710272</t>
  </si>
  <si>
    <t>ZC776</t>
  </si>
  <si>
    <t>Sklo podložní mat. MS7625011</t>
  </si>
  <si>
    <t>ZD437</t>
  </si>
  <si>
    <t>Nálevka dělící 250 ml s teflonovým kohoutem 636014920204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</si>
  <si>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</si>
  <si>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</si>
  <si>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</si>
  <si>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</si>
  <si>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</si>
  <si>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</si>
  <si>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</si>
  <si>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</si>
  <si>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</si>
  <si>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</si>
  <si>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</si>
  <si>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</si>
  <si>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</si>
  <si>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</si>
  <si>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</si>
  <si>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</si>
  <si>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ZL289</t>
  </si>
  <si>
    <t>Rukavice operační latexové s pudrem ansell medigrip plus vel. 9,0 bal. á 50 párů 302929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</si>
  <si>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</si>
  <si>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</si>
  <si>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</si>
  <si>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</si>
  <si>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</si>
  <si>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</si>
  <si>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801092</t>
  </si>
  <si>
    <t>-PARAFIN UPRAVENY 56-58, 1 kg PARA009</t>
  </si>
  <si>
    <t>DG383</t>
  </si>
  <si>
    <t>Bactec PEDS</t>
  </si>
  <si>
    <t>DD341</t>
  </si>
  <si>
    <t>METHANOL  P.A. 1000 ML</t>
  </si>
  <si>
    <t>DF571</t>
  </si>
  <si>
    <t>Formaldehyd 36-38% p.a., 5 L</t>
  </si>
  <si>
    <t>DG184</t>
  </si>
  <si>
    <t>SIRAN SODNY BEZV.,P.A.</t>
  </si>
  <si>
    <t>DD757</t>
  </si>
  <si>
    <t>AXS Cannabinoids Reagent Pack</t>
  </si>
  <si>
    <t>DG227</t>
  </si>
  <si>
    <t>BENZEN p.a., 1L</t>
  </si>
  <si>
    <t>DC236</t>
  </si>
  <si>
    <t>DIETHYLETER P.A. NESTAB.</t>
  </si>
  <si>
    <t>DG235</t>
  </si>
  <si>
    <t>CHLOROFORM P.A.</t>
  </si>
  <si>
    <t>DG415</t>
  </si>
  <si>
    <t>1-Naphthylamine</t>
  </si>
  <si>
    <t>DD759</t>
  </si>
  <si>
    <t>Axs Opiates Reagent Pack</t>
  </si>
  <si>
    <t>DG163</t>
  </si>
  <si>
    <t>HYDROXID SODNY P.A.</t>
  </si>
  <si>
    <t>DD756</t>
  </si>
  <si>
    <t>AXS Amph/metamph. reagent Pack</t>
  </si>
  <si>
    <t>DD758</t>
  </si>
  <si>
    <t>Axs Cocaine Metabolite Reagent Pack</t>
  </si>
  <si>
    <t>DB336</t>
  </si>
  <si>
    <t>SOLUTION 4(LINE DILUENTSOLUTION) 10l</t>
  </si>
  <si>
    <t>DE023</t>
  </si>
  <si>
    <t>BIS/TRIMETHYLSILYL/TRIFLUOROACETAMID pro plyn.ch.</t>
  </si>
  <si>
    <t>DG179</t>
  </si>
  <si>
    <t>SIRAN AMONNY P.A.</t>
  </si>
  <si>
    <t>DG190</t>
  </si>
  <si>
    <t>UHLICITAN SOD.BEZV. P.A.</t>
  </si>
  <si>
    <t>DC753</t>
  </si>
  <si>
    <t>ANHYDRID KYS.OCTOVE P.A.</t>
  </si>
  <si>
    <t>DG143</t>
  </si>
  <si>
    <t>kyselina SIROVA P.A.</t>
  </si>
  <si>
    <t>DG394</t>
  </si>
  <si>
    <t>3,3'-Methylene-bis(4-hydroxycoumarin)</t>
  </si>
  <si>
    <t>DB257</t>
  </si>
  <si>
    <t>CHLOROFORM P.A. - stab. methanolem</t>
  </si>
  <si>
    <t>DC148</t>
  </si>
  <si>
    <t>X-SYS Multiconstituent Control</t>
  </si>
  <si>
    <t>DF908</t>
  </si>
  <si>
    <t>MTD(methadone) test na záchyt drog v moči</t>
  </si>
  <si>
    <t>DD814</t>
  </si>
  <si>
    <t>AXS Benzodiazepines Reagent Pack</t>
  </si>
  <si>
    <t>DC012</t>
  </si>
  <si>
    <t>X-SYS OPIATES CALIBRATORS</t>
  </si>
  <si>
    <t>DC388</t>
  </si>
  <si>
    <t>X-SYS CANNABOIDS STANDART CAL.</t>
  </si>
  <si>
    <t>DG560</t>
  </si>
  <si>
    <t>alfa-naftylamin 100g</t>
  </si>
  <si>
    <t>DB557</t>
  </si>
  <si>
    <t>STANDARDNI ROZTOK ETHANOLU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</si>
  <si>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</si>
  <si>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</si>
  <si>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</si>
  <si>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</si>
  <si>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</si>
  <si>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</si>
  <si>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</si>
  <si>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</si>
  <si>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</si>
  <si>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</si>
  <si>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</si>
  <si>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</si>
  <si>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</si>
  <si>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</si>
  <si>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</si>
  <si>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</si>
  <si>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</si>
  <si>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</si>
  <si>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</si>
  <si>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</si>
  <si>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</si>
  <si>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</si>
  <si>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</si>
  <si>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</si>
  <si>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</si>
  <si>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</si>
  <si>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</si>
  <si>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</si>
  <si>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</si>
  <si>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</si>
  <si>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</si>
  <si>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</si>
  <si>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</si>
  <si>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</si>
  <si>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</si>
  <si>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</si>
  <si>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</si>
  <si>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</si>
  <si>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</si>
  <si>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</si>
  <si>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</si>
  <si>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</si>
  <si>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</si>
  <si>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</si>
  <si>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</si>
  <si>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</si>
  <si>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</si>
  <si>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</si>
  <si>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</si>
  <si>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</si>
  <si>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</si>
  <si>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</si>
  <si>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</si>
  <si>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</si>
  <si>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</si>
  <si>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</si>
  <si>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</si>
  <si>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</si>
  <si>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</si>
  <si>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</si>
  <si>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</si>
  <si>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</si>
  <si>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</si>
  <si>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</si>
  <si>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</si>
  <si>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</si>
  <si>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</si>
  <si>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</si>
  <si>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</si>
  <si>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</si>
  <si>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</si>
  <si>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</si>
  <si>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</si>
  <si>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</si>
  <si>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</si>
  <si>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</si>
  <si>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 ČELISTNÍ A OBLIČEJOVÉ CHIRURGIE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</si>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</sst>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4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8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5" xfId="0" applyNumberFormat="1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9" fillId="0" borderId="82" xfId="0" applyNumberFormat="1" applyFont="1" applyBorder="1"/>
    <xf numFmtId="174" fontId="32" fillId="0" borderId="83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2" borderId="84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69" xfId="0" applyNumberFormat="1" applyFont="1" applyBorder="1"/>
    <xf numFmtId="174" fontId="32" fillId="0" borderId="85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72" xfId="0" applyNumberFormat="1" applyFont="1" applyBorder="1"/>
    <xf numFmtId="174" fontId="32" fillId="0" borderId="65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25" fillId="2" borderId="16" xfId="1" applyFill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174" fontId="32" fillId="0" borderId="66" xfId="0" applyNumberFormat="1" applyFont="1" applyBorder="1" applyAlignment="1"/>
    <xf numFmtId="174" fontId="32" fillId="0" borderId="73" xfId="0" applyNumberFormat="1" applyFont="1" applyBorder="1" applyAlignment="1"/>
    <xf numFmtId="174" fontId="39" fillId="4" borderId="63" xfId="0" applyNumberFormat="1" applyFont="1" applyFill="1" applyBorder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174" fontId="32" fillId="0" borderId="66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73" xfId="0" applyNumberFormat="1" applyFont="1" applyBorder="1" applyAlignment="1"/>
    <xf numFmtId="174" fontId="39" fillId="4" borderId="6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101" xfId="53" applyNumberFormat="1" applyFont="1" applyFill="1" applyBorder="1" applyAlignment="1">
      <alignment horizontal="left"/>
    </xf>
    <xf numFmtId="165" fontId="31" fillId="2" borderId="102" xfId="53" applyNumberFormat="1" applyFont="1" applyFill="1" applyBorder="1" applyAlignment="1">
      <alignment horizontal="left"/>
    </xf>
    <xf numFmtId="165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170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65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73" xfId="0" applyNumberFormat="1" applyFont="1" applyFill="1" applyBorder="1"/>
    <xf numFmtId="170" fontId="32" fillId="0" borderId="73" xfId="0" applyNumberFormat="1" applyFont="1" applyFill="1" applyBorder="1"/>
    <xf numFmtId="9" fontId="32" fillId="0" borderId="74" xfId="0" applyNumberFormat="1" applyFont="1" applyFill="1" applyBorder="1"/>
    <xf numFmtId="0" fontId="39" fillId="0" borderId="72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3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0.82222484102792515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2016"/>
        <c:axId val="881224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0.66728482003129885</c:v>
                </c:pt>
                <c:pt idx="1">
                  <c:v>0.66728482003129885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68448"/>
        <c:axId val="897370752"/>
      </c:scatterChart>
      <c:catAx>
        <c:axId val="8812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2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2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2016"/>
        <c:crosses val="autoZero"/>
        <c:crossBetween val="between"/>
      </c:valAx>
      <c:valAx>
        <c:axId val="897368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97370752"/>
        <c:crosses val="max"/>
        <c:crossBetween val="midCat"/>
      </c:valAx>
      <c:valAx>
        <c:axId val="897370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684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0" bestFit="1" customWidth="1"/>
    <col min="2" max="2" width="98.6640625" style="110" customWidth="1"/>
    <col min="3" max="3" width="16.109375" style="42" hidden="1" customWidth="1"/>
    <col min="4" max="16384" width="8.88671875" style="110"/>
  </cols>
  <sheetData>
    <row r="1" spans="1:3" ht="18.600000000000001" customHeight="1" thickBot="1" x14ac:dyDescent="0.4">
      <c r="A1" s="283" t="s">
        <v>98</v>
      </c>
      <c r="B1" s="283"/>
    </row>
    <row r="2" spans="1:3" ht="14.4" customHeight="1" thickBot="1" x14ac:dyDescent="0.35">
      <c r="A2" s="207" t="s">
        <v>214</v>
      </c>
      <c r="B2" s="41"/>
    </row>
    <row r="3" spans="1:3" ht="14.4" customHeight="1" thickBot="1" x14ac:dyDescent="0.35">
      <c r="A3" s="279" t="s">
        <v>120</v>
      </c>
      <c r="B3" s="280"/>
    </row>
    <row r="4" spans="1:3" ht="14.4" customHeight="1" x14ac:dyDescent="0.3">
      <c r="A4" s="123" t="str">
        <f t="shared" ref="A4:A8" si="0">HYPERLINK("#'"&amp;C4&amp;"'!A1",C4)</f>
        <v>Motivace</v>
      </c>
      <c r="B4" s="66" t="s">
        <v>109</v>
      </c>
      <c r="C4" s="42" t="s">
        <v>110</v>
      </c>
    </row>
    <row r="5" spans="1:3" ht="14.4" customHeight="1" x14ac:dyDescent="0.3">
      <c r="A5" s="124" t="str">
        <f t="shared" si="0"/>
        <v>HI</v>
      </c>
      <c r="B5" s="67" t="s">
        <v>117</v>
      </c>
      <c r="C5" s="42" t="s">
        <v>101</v>
      </c>
    </row>
    <row r="6" spans="1:3" ht="14.4" customHeight="1" x14ac:dyDescent="0.3">
      <c r="A6" s="125" t="str">
        <f t="shared" si="0"/>
        <v>HI Graf</v>
      </c>
      <c r="B6" s="68" t="s">
        <v>94</v>
      </c>
      <c r="C6" s="42" t="s">
        <v>102</v>
      </c>
    </row>
    <row r="7" spans="1:3" ht="14.4" customHeight="1" x14ac:dyDescent="0.3">
      <c r="A7" s="125" t="str">
        <f t="shared" si="0"/>
        <v>Man Tab</v>
      </c>
      <c r="B7" s="68" t="s">
        <v>216</v>
      </c>
      <c r="C7" s="42" t="s">
        <v>103</v>
      </c>
    </row>
    <row r="8" spans="1:3" ht="14.4" customHeight="1" thickBot="1" x14ac:dyDescent="0.35">
      <c r="A8" s="126" t="str">
        <f t="shared" si="0"/>
        <v>HV</v>
      </c>
      <c r="B8" s="69" t="s">
        <v>50</v>
      </c>
      <c r="C8" s="42" t="s">
        <v>55</v>
      </c>
    </row>
    <row r="9" spans="1:3" ht="14.4" customHeight="1" thickBot="1" x14ac:dyDescent="0.35">
      <c r="A9" s="70"/>
      <c r="B9" s="70"/>
    </row>
    <row r="10" spans="1:3" ht="14.4" customHeight="1" thickBot="1" x14ac:dyDescent="0.35">
      <c r="A10" s="281" t="s">
        <v>99</v>
      </c>
      <c r="B10" s="280"/>
    </row>
    <row r="11" spans="1:3" ht="14.4" customHeight="1" x14ac:dyDescent="0.3">
      <c r="A11" s="127" t="str">
        <f t="shared" ref="A11:A15" si="1">HYPERLINK("#'"&amp;C11&amp;"'!A1",C11)</f>
        <v>Léky Žádanky</v>
      </c>
      <c r="B11" s="67" t="s">
        <v>118</v>
      </c>
      <c r="C11" s="42" t="s">
        <v>104</v>
      </c>
    </row>
    <row r="12" spans="1:3" ht="14.4" customHeight="1" x14ac:dyDescent="0.3">
      <c r="A12" s="125" t="str">
        <f t="shared" si="1"/>
        <v>LŽ Detail</v>
      </c>
      <c r="B12" s="68" t="s">
        <v>137</v>
      </c>
      <c r="C12" s="42" t="s">
        <v>105</v>
      </c>
    </row>
    <row r="13" spans="1:3" ht="14.4" customHeight="1" x14ac:dyDescent="0.3">
      <c r="A13" s="127" t="str">
        <f t="shared" si="1"/>
        <v>Materiál Žádanky</v>
      </c>
      <c r="B13" s="68" t="s">
        <v>119</v>
      </c>
      <c r="C13" s="42" t="s">
        <v>106</v>
      </c>
    </row>
    <row r="14" spans="1:3" ht="14.4" customHeight="1" x14ac:dyDescent="0.3">
      <c r="A14" s="125" t="str">
        <f t="shared" si="1"/>
        <v>MŽ Detail</v>
      </c>
      <c r="B14" s="68" t="s">
        <v>587</v>
      </c>
      <c r="C14" s="42" t="s">
        <v>107</v>
      </c>
    </row>
    <row r="15" spans="1:3" ht="14.4" customHeight="1" thickBot="1" x14ac:dyDescent="0.35">
      <c r="A15" s="127" t="str">
        <f t="shared" si="1"/>
        <v>Osobní náklady</v>
      </c>
      <c r="B15" s="68" t="s">
        <v>96</v>
      </c>
      <c r="C15" s="42" t="s">
        <v>108</v>
      </c>
    </row>
    <row r="16" spans="1:3" ht="14.4" customHeight="1" thickBot="1" x14ac:dyDescent="0.35">
      <c r="A16" s="71"/>
      <c r="B16" s="71"/>
    </row>
    <row r="17" spans="1:3" ht="14.4" customHeight="1" thickBot="1" x14ac:dyDescent="0.35">
      <c r="A17" s="282" t="s">
        <v>100</v>
      </c>
      <c r="B17" s="280"/>
    </row>
    <row r="18" spans="1:3" ht="14.4" customHeight="1" x14ac:dyDescent="0.3">
      <c r="A18" s="128" t="str">
        <f t="shared" ref="A18:A21" si="2">HYPERLINK("#'"&amp;C18&amp;"'!A1",C18)</f>
        <v>ZV Vykáz.-A</v>
      </c>
      <c r="B18" s="67" t="s">
        <v>593</v>
      </c>
      <c r="C18" s="42" t="s">
        <v>111</v>
      </c>
    </row>
    <row r="19" spans="1:3" ht="14.4" customHeight="1" x14ac:dyDescent="0.3">
      <c r="A19" s="125" t="str">
        <f t="shared" si="2"/>
        <v>ZV Vykáz.-A Detail</v>
      </c>
      <c r="B19" s="68" t="s">
        <v>651</v>
      </c>
      <c r="C19" s="42" t="s">
        <v>112</v>
      </c>
    </row>
    <row r="20" spans="1:3" ht="14.4" customHeight="1" x14ac:dyDescent="0.3">
      <c r="A20" s="125" t="str">
        <f t="shared" si="2"/>
        <v>ZV Vykáz.-H</v>
      </c>
      <c r="B20" s="68" t="s">
        <v>115</v>
      </c>
      <c r="C20" s="42" t="s">
        <v>113</v>
      </c>
    </row>
    <row r="21" spans="1:3" ht="14.4" customHeight="1" x14ac:dyDescent="0.3">
      <c r="A21" s="125" t="str">
        <f t="shared" si="2"/>
        <v>ZV Vykáz.-H Detail</v>
      </c>
      <c r="B21" s="68" t="s">
        <v>682</v>
      </c>
      <c r="C21" s="42" t="s">
        <v>114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0" hidden="1" customWidth="1" outlineLevel="1"/>
    <col min="2" max="2" width="28.33203125" style="110" hidden="1" customWidth="1" outlineLevel="1"/>
    <col min="3" max="3" width="5.33203125" style="188" bestFit="1" customWidth="1" collapsed="1"/>
    <col min="4" max="4" width="18.77734375" style="192" customWidth="1"/>
    <col min="5" max="5" width="9" style="188" bestFit="1" customWidth="1"/>
    <col min="6" max="6" width="18.77734375" style="192" customWidth="1"/>
    <col min="7" max="7" width="12.44140625" style="188" hidden="1" customWidth="1" outlineLevel="1"/>
    <col min="8" max="8" width="25.77734375" style="188" customWidth="1" collapsed="1"/>
    <col min="9" max="9" width="7.77734375" style="186" customWidth="1"/>
    <col min="10" max="10" width="10" style="186" customWidth="1"/>
    <col min="11" max="11" width="11.109375" style="186" customWidth="1"/>
    <col min="12" max="16384" width="8.88671875" style="110"/>
  </cols>
  <sheetData>
    <row r="1" spans="1:11" ht="18.600000000000001" customHeight="1" thickBot="1" x14ac:dyDescent="0.4">
      <c r="A1" s="313" t="s">
        <v>587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207" t="s">
        <v>214</v>
      </c>
      <c r="B2" s="57"/>
      <c r="C2" s="190"/>
      <c r="D2" s="190"/>
      <c r="E2" s="190"/>
      <c r="F2" s="190"/>
      <c r="G2" s="190"/>
      <c r="H2" s="190"/>
      <c r="I2" s="191"/>
      <c r="J2" s="191"/>
      <c r="K2" s="191"/>
    </row>
    <row r="3" spans="1:11" ht="14.4" customHeight="1" thickBot="1" x14ac:dyDescent="0.35">
      <c r="A3" s="57"/>
      <c r="B3" s="57"/>
      <c r="C3" s="309"/>
      <c r="D3" s="310"/>
      <c r="E3" s="310"/>
      <c r="F3" s="310"/>
      <c r="G3" s="310"/>
      <c r="H3" s="122" t="s">
        <v>116</v>
      </c>
      <c r="I3" s="79">
        <f>IF(J3&lt;&gt;0,K3/J3,0)</f>
        <v>9.6575946300371154</v>
      </c>
      <c r="J3" s="79">
        <f>SUBTOTAL(9,J5:J1048576)</f>
        <v>22495.5</v>
      </c>
      <c r="K3" s="80">
        <f>SUBTOTAL(9,K5:K1048576)</f>
        <v>217252.41999999993</v>
      </c>
    </row>
    <row r="4" spans="1:11" s="187" customFormat="1" ht="14.4" customHeight="1" thickBot="1" x14ac:dyDescent="0.35">
      <c r="A4" s="370" t="s">
        <v>7</v>
      </c>
      <c r="B4" s="371" t="s">
        <v>8</v>
      </c>
      <c r="C4" s="371" t="s">
        <v>0</v>
      </c>
      <c r="D4" s="371" t="s">
        <v>9</v>
      </c>
      <c r="E4" s="371" t="s">
        <v>10</v>
      </c>
      <c r="F4" s="371" t="s">
        <v>2</v>
      </c>
      <c r="G4" s="371" t="s">
        <v>60</v>
      </c>
      <c r="H4" s="372" t="s">
        <v>14</v>
      </c>
      <c r="I4" s="373" t="s">
        <v>123</v>
      </c>
      <c r="J4" s="373" t="s">
        <v>16</v>
      </c>
      <c r="K4" s="374" t="s">
        <v>131</v>
      </c>
    </row>
    <row r="5" spans="1:11" ht="14.4" customHeight="1" x14ac:dyDescent="0.3">
      <c r="A5" s="375" t="s">
        <v>419</v>
      </c>
      <c r="B5" s="376" t="s">
        <v>421</v>
      </c>
      <c r="C5" s="377" t="s">
        <v>425</v>
      </c>
      <c r="D5" s="378" t="s">
        <v>426</v>
      </c>
      <c r="E5" s="377" t="s">
        <v>441</v>
      </c>
      <c r="F5" s="378" t="s">
        <v>442</v>
      </c>
      <c r="G5" s="377" t="s">
        <v>451</v>
      </c>
      <c r="H5" s="377" t="s">
        <v>452</v>
      </c>
      <c r="I5" s="379">
        <v>260.3</v>
      </c>
      <c r="J5" s="379">
        <v>18</v>
      </c>
      <c r="K5" s="380">
        <v>4685.4000000000005</v>
      </c>
    </row>
    <row r="6" spans="1:11" ht="14.4" customHeight="1" x14ac:dyDescent="0.3">
      <c r="A6" s="381" t="s">
        <v>419</v>
      </c>
      <c r="B6" s="382" t="s">
        <v>421</v>
      </c>
      <c r="C6" s="383" t="s">
        <v>425</v>
      </c>
      <c r="D6" s="384" t="s">
        <v>426</v>
      </c>
      <c r="E6" s="383" t="s">
        <v>441</v>
      </c>
      <c r="F6" s="384" t="s">
        <v>442</v>
      </c>
      <c r="G6" s="383" t="s">
        <v>453</v>
      </c>
      <c r="H6" s="383" t="s">
        <v>454</v>
      </c>
      <c r="I6" s="385">
        <v>0.3</v>
      </c>
      <c r="J6" s="385">
        <v>100</v>
      </c>
      <c r="K6" s="386">
        <v>30</v>
      </c>
    </row>
    <row r="7" spans="1:11" ht="14.4" customHeight="1" x14ac:dyDescent="0.3">
      <c r="A7" s="381" t="s">
        <v>419</v>
      </c>
      <c r="B7" s="382" t="s">
        <v>421</v>
      </c>
      <c r="C7" s="383" t="s">
        <v>425</v>
      </c>
      <c r="D7" s="384" t="s">
        <v>426</v>
      </c>
      <c r="E7" s="383" t="s">
        <v>441</v>
      </c>
      <c r="F7" s="384" t="s">
        <v>442</v>
      </c>
      <c r="G7" s="383" t="s">
        <v>455</v>
      </c>
      <c r="H7" s="383" t="s">
        <v>456</v>
      </c>
      <c r="I7" s="385">
        <v>27.366666666666671</v>
      </c>
      <c r="J7" s="385">
        <v>37</v>
      </c>
      <c r="K7" s="386">
        <v>1012.6400000000001</v>
      </c>
    </row>
    <row r="8" spans="1:11" ht="14.4" customHeight="1" x14ac:dyDescent="0.3">
      <c r="A8" s="381" t="s">
        <v>419</v>
      </c>
      <c r="B8" s="382" t="s">
        <v>421</v>
      </c>
      <c r="C8" s="383" t="s">
        <v>425</v>
      </c>
      <c r="D8" s="384" t="s">
        <v>426</v>
      </c>
      <c r="E8" s="383" t="s">
        <v>441</v>
      </c>
      <c r="F8" s="384" t="s">
        <v>442</v>
      </c>
      <c r="G8" s="383" t="s">
        <v>457</v>
      </c>
      <c r="H8" s="383" t="s">
        <v>458</v>
      </c>
      <c r="I8" s="385">
        <v>27.21</v>
      </c>
      <c r="J8" s="385">
        <v>1</v>
      </c>
      <c r="K8" s="386">
        <v>27.21</v>
      </c>
    </row>
    <row r="9" spans="1:11" ht="14.4" customHeight="1" x14ac:dyDescent="0.3">
      <c r="A9" s="381" t="s">
        <v>419</v>
      </c>
      <c r="B9" s="382" t="s">
        <v>421</v>
      </c>
      <c r="C9" s="383" t="s">
        <v>425</v>
      </c>
      <c r="D9" s="384" t="s">
        <v>426</v>
      </c>
      <c r="E9" s="383" t="s">
        <v>443</v>
      </c>
      <c r="F9" s="384" t="s">
        <v>444</v>
      </c>
      <c r="G9" s="383" t="s">
        <v>459</v>
      </c>
      <c r="H9" s="383" t="s">
        <v>460</v>
      </c>
      <c r="I9" s="385">
        <v>3.51</v>
      </c>
      <c r="J9" s="385">
        <v>30</v>
      </c>
      <c r="K9" s="386">
        <v>105.3</v>
      </c>
    </row>
    <row r="10" spans="1:11" ht="14.4" customHeight="1" x14ac:dyDescent="0.3">
      <c r="A10" s="381" t="s">
        <v>419</v>
      </c>
      <c r="B10" s="382" t="s">
        <v>421</v>
      </c>
      <c r="C10" s="383" t="s">
        <v>425</v>
      </c>
      <c r="D10" s="384" t="s">
        <v>426</v>
      </c>
      <c r="E10" s="383" t="s">
        <v>443</v>
      </c>
      <c r="F10" s="384" t="s">
        <v>444</v>
      </c>
      <c r="G10" s="383" t="s">
        <v>461</v>
      </c>
      <c r="H10" s="383" t="s">
        <v>462</v>
      </c>
      <c r="I10" s="385">
        <v>98.45</v>
      </c>
      <c r="J10" s="385">
        <v>12.5</v>
      </c>
      <c r="K10" s="386">
        <v>1230.57</v>
      </c>
    </row>
    <row r="11" spans="1:11" ht="14.4" customHeight="1" x14ac:dyDescent="0.3">
      <c r="A11" s="381" t="s">
        <v>419</v>
      </c>
      <c r="B11" s="382" t="s">
        <v>421</v>
      </c>
      <c r="C11" s="383" t="s">
        <v>425</v>
      </c>
      <c r="D11" s="384" t="s">
        <v>426</v>
      </c>
      <c r="E11" s="383" t="s">
        <v>443</v>
      </c>
      <c r="F11" s="384" t="s">
        <v>444</v>
      </c>
      <c r="G11" s="383" t="s">
        <v>463</v>
      </c>
      <c r="H11" s="383" t="s">
        <v>464</v>
      </c>
      <c r="I11" s="385">
        <v>0.93</v>
      </c>
      <c r="J11" s="385">
        <v>100</v>
      </c>
      <c r="K11" s="386">
        <v>93</v>
      </c>
    </row>
    <row r="12" spans="1:11" ht="14.4" customHeight="1" x14ac:dyDescent="0.3">
      <c r="A12" s="381" t="s">
        <v>419</v>
      </c>
      <c r="B12" s="382" t="s">
        <v>421</v>
      </c>
      <c r="C12" s="383" t="s">
        <v>425</v>
      </c>
      <c r="D12" s="384" t="s">
        <v>426</v>
      </c>
      <c r="E12" s="383" t="s">
        <v>443</v>
      </c>
      <c r="F12" s="384" t="s">
        <v>444</v>
      </c>
      <c r="G12" s="383" t="s">
        <v>465</v>
      </c>
      <c r="H12" s="383" t="s">
        <v>466</v>
      </c>
      <c r="I12" s="385">
        <v>1.44</v>
      </c>
      <c r="J12" s="385">
        <v>200</v>
      </c>
      <c r="K12" s="386">
        <v>288</v>
      </c>
    </row>
    <row r="13" spans="1:11" ht="14.4" customHeight="1" x14ac:dyDescent="0.3">
      <c r="A13" s="381" t="s">
        <v>419</v>
      </c>
      <c r="B13" s="382" t="s">
        <v>421</v>
      </c>
      <c r="C13" s="383" t="s">
        <v>425</v>
      </c>
      <c r="D13" s="384" t="s">
        <v>426</v>
      </c>
      <c r="E13" s="383" t="s">
        <v>443</v>
      </c>
      <c r="F13" s="384" t="s">
        <v>444</v>
      </c>
      <c r="G13" s="383" t="s">
        <v>467</v>
      </c>
      <c r="H13" s="383" t="s">
        <v>468</v>
      </c>
      <c r="I13" s="385">
        <v>1.8450000000000002</v>
      </c>
      <c r="J13" s="385">
        <v>600</v>
      </c>
      <c r="K13" s="386">
        <v>1107</v>
      </c>
    </row>
    <row r="14" spans="1:11" ht="14.4" customHeight="1" x14ac:dyDescent="0.3">
      <c r="A14" s="381" t="s">
        <v>419</v>
      </c>
      <c r="B14" s="382" t="s">
        <v>421</v>
      </c>
      <c r="C14" s="383" t="s">
        <v>425</v>
      </c>
      <c r="D14" s="384" t="s">
        <v>426</v>
      </c>
      <c r="E14" s="383" t="s">
        <v>443</v>
      </c>
      <c r="F14" s="384" t="s">
        <v>444</v>
      </c>
      <c r="G14" s="383" t="s">
        <v>469</v>
      </c>
      <c r="H14" s="383" t="s">
        <v>470</v>
      </c>
      <c r="I14" s="385">
        <v>0.56999999999999995</v>
      </c>
      <c r="J14" s="385">
        <v>800</v>
      </c>
      <c r="K14" s="386">
        <v>456</v>
      </c>
    </row>
    <row r="15" spans="1:11" ht="14.4" customHeight="1" x14ac:dyDescent="0.3">
      <c r="A15" s="381" t="s">
        <v>419</v>
      </c>
      <c r="B15" s="382" t="s">
        <v>421</v>
      </c>
      <c r="C15" s="383" t="s">
        <v>425</v>
      </c>
      <c r="D15" s="384" t="s">
        <v>426</v>
      </c>
      <c r="E15" s="383" t="s">
        <v>443</v>
      </c>
      <c r="F15" s="384" t="s">
        <v>444</v>
      </c>
      <c r="G15" s="383" t="s">
        <v>471</v>
      </c>
      <c r="H15" s="383" t="s">
        <v>472</v>
      </c>
      <c r="I15" s="385">
        <v>4.24</v>
      </c>
      <c r="J15" s="385">
        <v>25</v>
      </c>
      <c r="K15" s="386">
        <v>106</v>
      </c>
    </row>
    <row r="16" spans="1:11" ht="14.4" customHeight="1" x14ac:dyDescent="0.3">
      <c r="A16" s="381" t="s">
        <v>419</v>
      </c>
      <c r="B16" s="382" t="s">
        <v>421</v>
      </c>
      <c r="C16" s="383" t="s">
        <v>425</v>
      </c>
      <c r="D16" s="384" t="s">
        <v>426</v>
      </c>
      <c r="E16" s="383" t="s">
        <v>443</v>
      </c>
      <c r="F16" s="384" t="s">
        <v>444</v>
      </c>
      <c r="G16" s="383" t="s">
        <v>473</v>
      </c>
      <c r="H16" s="383" t="s">
        <v>474</v>
      </c>
      <c r="I16" s="385">
        <v>2.9</v>
      </c>
      <c r="J16" s="385">
        <v>100</v>
      </c>
      <c r="K16" s="386">
        <v>290</v>
      </c>
    </row>
    <row r="17" spans="1:11" ht="14.4" customHeight="1" x14ac:dyDescent="0.3">
      <c r="A17" s="381" t="s">
        <v>419</v>
      </c>
      <c r="B17" s="382" t="s">
        <v>421</v>
      </c>
      <c r="C17" s="383" t="s">
        <v>425</v>
      </c>
      <c r="D17" s="384" t="s">
        <v>426</v>
      </c>
      <c r="E17" s="383" t="s">
        <v>443</v>
      </c>
      <c r="F17" s="384" t="s">
        <v>444</v>
      </c>
      <c r="G17" s="383" t="s">
        <v>475</v>
      </c>
      <c r="H17" s="383" t="s">
        <v>476</v>
      </c>
      <c r="I17" s="385">
        <v>15.01</v>
      </c>
      <c r="J17" s="385">
        <v>10</v>
      </c>
      <c r="K17" s="386">
        <v>150.1</v>
      </c>
    </row>
    <row r="18" spans="1:11" ht="14.4" customHeight="1" x14ac:dyDescent="0.3">
      <c r="A18" s="381" t="s">
        <v>419</v>
      </c>
      <c r="B18" s="382" t="s">
        <v>421</v>
      </c>
      <c r="C18" s="383" t="s">
        <v>425</v>
      </c>
      <c r="D18" s="384" t="s">
        <v>426</v>
      </c>
      <c r="E18" s="383" t="s">
        <v>443</v>
      </c>
      <c r="F18" s="384" t="s">
        <v>444</v>
      </c>
      <c r="G18" s="383" t="s">
        <v>477</v>
      </c>
      <c r="H18" s="383" t="s">
        <v>478</v>
      </c>
      <c r="I18" s="385">
        <v>5.19</v>
      </c>
      <c r="J18" s="385">
        <v>40</v>
      </c>
      <c r="K18" s="386">
        <v>207.66</v>
      </c>
    </row>
    <row r="19" spans="1:11" ht="14.4" customHeight="1" x14ac:dyDescent="0.3">
      <c r="A19" s="381" t="s">
        <v>419</v>
      </c>
      <c r="B19" s="382" t="s">
        <v>421</v>
      </c>
      <c r="C19" s="383" t="s">
        <v>425</v>
      </c>
      <c r="D19" s="384" t="s">
        <v>426</v>
      </c>
      <c r="E19" s="383" t="s">
        <v>443</v>
      </c>
      <c r="F19" s="384" t="s">
        <v>444</v>
      </c>
      <c r="G19" s="383" t="s">
        <v>479</v>
      </c>
      <c r="H19" s="383" t="s">
        <v>480</v>
      </c>
      <c r="I19" s="385">
        <v>12.1</v>
      </c>
      <c r="J19" s="385">
        <v>10</v>
      </c>
      <c r="K19" s="386">
        <v>121</v>
      </c>
    </row>
    <row r="20" spans="1:11" ht="14.4" customHeight="1" x14ac:dyDescent="0.3">
      <c r="A20" s="381" t="s">
        <v>419</v>
      </c>
      <c r="B20" s="382" t="s">
        <v>421</v>
      </c>
      <c r="C20" s="383" t="s">
        <v>425</v>
      </c>
      <c r="D20" s="384" t="s">
        <v>426</v>
      </c>
      <c r="E20" s="383" t="s">
        <v>443</v>
      </c>
      <c r="F20" s="384" t="s">
        <v>444</v>
      </c>
      <c r="G20" s="383" t="s">
        <v>481</v>
      </c>
      <c r="H20" s="383" t="s">
        <v>482</v>
      </c>
      <c r="I20" s="385">
        <v>1.81</v>
      </c>
      <c r="J20" s="385">
        <v>1300</v>
      </c>
      <c r="K20" s="386">
        <v>2356.35</v>
      </c>
    </row>
    <row r="21" spans="1:11" ht="14.4" customHeight="1" x14ac:dyDescent="0.3">
      <c r="A21" s="381" t="s">
        <v>419</v>
      </c>
      <c r="B21" s="382" t="s">
        <v>421</v>
      </c>
      <c r="C21" s="383" t="s">
        <v>425</v>
      </c>
      <c r="D21" s="384" t="s">
        <v>426</v>
      </c>
      <c r="E21" s="383" t="s">
        <v>443</v>
      </c>
      <c r="F21" s="384" t="s">
        <v>444</v>
      </c>
      <c r="G21" s="383" t="s">
        <v>483</v>
      </c>
      <c r="H21" s="383" t="s">
        <v>484</v>
      </c>
      <c r="I21" s="385">
        <v>0.94</v>
      </c>
      <c r="J21" s="385">
        <v>1000</v>
      </c>
      <c r="K21" s="386">
        <v>943.8</v>
      </c>
    </row>
    <row r="22" spans="1:11" ht="14.4" customHeight="1" x14ac:dyDescent="0.3">
      <c r="A22" s="381" t="s">
        <v>419</v>
      </c>
      <c r="B22" s="382" t="s">
        <v>421</v>
      </c>
      <c r="C22" s="383" t="s">
        <v>425</v>
      </c>
      <c r="D22" s="384" t="s">
        <v>426</v>
      </c>
      <c r="E22" s="383" t="s">
        <v>443</v>
      </c>
      <c r="F22" s="384" t="s">
        <v>444</v>
      </c>
      <c r="G22" s="383" t="s">
        <v>485</v>
      </c>
      <c r="H22" s="383" t="s">
        <v>486</v>
      </c>
      <c r="I22" s="385">
        <v>21.23</v>
      </c>
      <c r="J22" s="385">
        <v>25</v>
      </c>
      <c r="K22" s="386">
        <v>530.75</v>
      </c>
    </row>
    <row r="23" spans="1:11" ht="14.4" customHeight="1" x14ac:dyDescent="0.3">
      <c r="A23" s="381" t="s">
        <v>419</v>
      </c>
      <c r="B23" s="382" t="s">
        <v>421</v>
      </c>
      <c r="C23" s="383" t="s">
        <v>425</v>
      </c>
      <c r="D23" s="384" t="s">
        <v>426</v>
      </c>
      <c r="E23" s="383" t="s">
        <v>443</v>
      </c>
      <c r="F23" s="384" t="s">
        <v>444</v>
      </c>
      <c r="G23" s="383" t="s">
        <v>487</v>
      </c>
      <c r="H23" s="383" t="s">
        <v>488</v>
      </c>
      <c r="I23" s="385">
        <v>23.5</v>
      </c>
      <c r="J23" s="385">
        <v>25</v>
      </c>
      <c r="K23" s="386">
        <v>587.44000000000005</v>
      </c>
    </row>
    <row r="24" spans="1:11" ht="14.4" customHeight="1" x14ac:dyDescent="0.3">
      <c r="A24" s="381" t="s">
        <v>419</v>
      </c>
      <c r="B24" s="382" t="s">
        <v>421</v>
      </c>
      <c r="C24" s="383" t="s">
        <v>425</v>
      </c>
      <c r="D24" s="384" t="s">
        <v>426</v>
      </c>
      <c r="E24" s="383" t="s">
        <v>443</v>
      </c>
      <c r="F24" s="384" t="s">
        <v>444</v>
      </c>
      <c r="G24" s="383" t="s">
        <v>489</v>
      </c>
      <c r="H24" s="383" t="s">
        <v>490</v>
      </c>
      <c r="I24" s="385">
        <v>153.13999999999999</v>
      </c>
      <c r="J24" s="385">
        <v>50</v>
      </c>
      <c r="K24" s="386">
        <v>7656.88</v>
      </c>
    </row>
    <row r="25" spans="1:11" ht="14.4" customHeight="1" x14ac:dyDescent="0.3">
      <c r="A25" s="381" t="s">
        <v>419</v>
      </c>
      <c r="B25" s="382" t="s">
        <v>421</v>
      </c>
      <c r="C25" s="383" t="s">
        <v>425</v>
      </c>
      <c r="D25" s="384" t="s">
        <v>426</v>
      </c>
      <c r="E25" s="383" t="s">
        <v>443</v>
      </c>
      <c r="F25" s="384" t="s">
        <v>444</v>
      </c>
      <c r="G25" s="383" t="s">
        <v>491</v>
      </c>
      <c r="H25" s="383" t="s">
        <v>492</v>
      </c>
      <c r="I25" s="385">
        <v>51.25</v>
      </c>
      <c r="J25" s="385">
        <v>12</v>
      </c>
      <c r="K25" s="386">
        <v>614.96</v>
      </c>
    </row>
    <row r="26" spans="1:11" ht="14.4" customHeight="1" x14ac:dyDescent="0.3">
      <c r="A26" s="381" t="s">
        <v>419</v>
      </c>
      <c r="B26" s="382" t="s">
        <v>421</v>
      </c>
      <c r="C26" s="383" t="s">
        <v>425</v>
      </c>
      <c r="D26" s="384" t="s">
        <v>426</v>
      </c>
      <c r="E26" s="383" t="s">
        <v>443</v>
      </c>
      <c r="F26" s="384" t="s">
        <v>444</v>
      </c>
      <c r="G26" s="383" t="s">
        <v>493</v>
      </c>
      <c r="H26" s="383" t="s">
        <v>494</v>
      </c>
      <c r="I26" s="385">
        <v>1242.54</v>
      </c>
      <c r="J26" s="385">
        <v>1</v>
      </c>
      <c r="K26" s="386">
        <v>1242.54</v>
      </c>
    </row>
    <row r="27" spans="1:11" ht="14.4" customHeight="1" x14ac:dyDescent="0.3">
      <c r="A27" s="381" t="s">
        <v>419</v>
      </c>
      <c r="B27" s="382" t="s">
        <v>421</v>
      </c>
      <c r="C27" s="383" t="s">
        <v>425</v>
      </c>
      <c r="D27" s="384" t="s">
        <v>426</v>
      </c>
      <c r="E27" s="383" t="s">
        <v>445</v>
      </c>
      <c r="F27" s="384" t="s">
        <v>446</v>
      </c>
      <c r="G27" s="383" t="s">
        <v>495</v>
      </c>
      <c r="H27" s="383" t="s">
        <v>496</v>
      </c>
      <c r="I27" s="385">
        <v>50.82</v>
      </c>
      <c r="J27" s="385">
        <v>10</v>
      </c>
      <c r="K27" s="386">
        <v>508.2</v>
      </c>
    </row>
    <row r="28" spans="1:11" ht="14.4" customHeight="1" x14ac:dyDescent="0.3">
      <c r="A28" s="381" t="s">
        <v>419</v>
      </c>
      <c r="B28" s="382" t="s">
        <v>421</v>
      </c>
      <c r="C28" s="383" t="s">
        <v>425</v>
      </c>
      <c r="D28" s="384" t="s">
        <v>426</v>
      </c>
      <c r="E28" s="383" t="s">
        <v>445</v>
      </c>
      <c r="F28" s="384" t="s">
        <v>446</v>
      </c>
      <c r="G28" s="383" t="s">
        <v>497</v>
      </c>
      <c r="H28" s="383" t="s">
        <v>498</v>
      </c>
      <c r="I28" s="385">
        <v>95.026666666666657</v>
      </c>
      <c r="J28" s="385">
        <v>8</v>
      </c>
      <c r="K28" s="386">
        <v>760.17000000000007</v>
      </c>
    </row>
    <row r="29" spans="1:11" ht="14.4" customHeight="1" x14ac:dyDescent="0.3">
      <c r="A29" s="381" t="s">
        <v>419</v>
      </c>
      <c r="B29" s="382" t="s">
        <v>421</v>
      </c>
      <c r="C29" s="383" t="s">
        <v>425</v>
      </c>
      <c r="D29" s="384" t="s">
        <v>426</v>
      </c>
      <c r="E29" s="383" t="s">
        <v>445</v>
      </c>
      <c r="F29" s="384" t="s">
        <v>446</v>
      </c>
      <c r="G29" s="383" t="s">
        <v>499</v>
      </c>
      <c r="H29" s="383" t="s">
        <v>500</v>
      </c>
      <c r="I29" s="385">
        <v>95.05</v>
      </c>
      <c r="J29" s="385">
        <v>4</v>
      </c>
      <c r="K29" s="386">
        <v>380.2</v>
      </c>
    </row>
    <row r="30" spans="1:11" ht="14.4" customHeight="1" x14ac:dyDescent="0.3">
      <c r="A30" s="381" t="s">
        <v>419</v>
      </c>
      <c r="B30" s="382" t="s">
        <v>421</v>
      </c>
      <c r="C30" s="383" t="s">
        <v>425</v>
      </c>
      <c r="D30" s="384" t="s">
        <v>426</v>
      </c>
      <c r="E30" s="383" t="s">
        <v>445</v>
      </c>
      <c r="F30" s="384" t="s">
        <v>446</v>
      </c>
      <c r="G30" s="383" t="s">
        <v>501</v>
      </c>
      <c r="H30" s="383" t="s">
        <v>502</v>
      </c>
      <c r="I30" s="385">
        <v>0.66</v>
      </c>
      <c r="J30" s="385">
        <v>1000</v>
      </c>
      <c r="K30" s="386">
        <v>660</v>
      </c>
    </row>
    <row r="31" spans="1:11" ht="14.4" customHeight="1" x14ac:dyDescent="0.3">
      <c r="A31" s="381" t="s">
        <v>419</v>
      </c>
      <c r="B31" s="382" t="s">
        <v>421</v>
      </c>
      <c r="C31" s="383" t="s">
        <v>425</v>
      </c>
      <c r="D31" s="384" t="s">
        <v>426</v>
      </c>
      <c r="E31" s="383" t="s">
        <v>445</v>
      </c>
      <c r="F31" s="384" t="s">
        <v>446</v>
      </c>
      <c r="G31" s="383" t="s">
        <v>503</v>
      </c>
      <c r="H31" s="383" t="s">
        <v>504</v>
      </c>
      <c r="I31" s="385">
        <v>713.9</v>
      </c>
      <c r="J31" s="385">
        <v>2</v>
      </c>
      <c r="K31" s="386">
        <v>1427.8</v>
      </c>
    </row>
    <row r="32" spans="1:11" ht="14.4" customHeight="1" x14ac:dyDescent="0.3">
      <c r="A32" s="381" t="s">
        <v>419</v>
      </c>
      <c r="B32" s="382" t="s">
        <v>421</v>
      </c>
      <c r="C32" s="383" t="s">
        <v>425</v>
      </c>
      <c r="D32" s="384" t="s">
        <v>426</v>
      </c>
      <c r="E32" s="383" t="s">
        <v>447</v>
      </c>
      <c r="F32" s="384" t="s">
        <v>448</v>
      </c>
      <c r="G32" s="383" t="s">
        <v>505</v>
      </c>
      <c r="H32" s="383" t="s">
        <v>506</v>
      </c>
      <c r="I32" s="385">
        <v>0.31</v>
      </c>
      <c r="J32" s="385">
        <v>200</v>
      </c>
      <c r="K32" s="386">
        <v>62</v>
      </c>
    </row>
    <row r="33" spans="1:11" ht="14.4" customHeight="1" x14ac:dyDescent="0.3">
      <c r="A33" s="381" t="s">
        <v>419</v>
      </c>
      <c r="B33" s="382" t="s">
        <v>421</v>
      </c>
      <c r="C33" s="383" t="s">
        <v>425</v>
      </c>
      <c r="D33" s="384" t="s">
        <v>426</v>
      </c>
      <c r="E33" s="383" t="s">
        <v>447</v>
      </c>
      <c r="F33" s="384" t="s">
        <v>448</v>
      </c>
      <c r="G33" s="383" t="s">
        <v>507</v>
      </c>
      <c r="H33" s="383" t="s">
        <v>508</v>
      </c>
      <c r="I33" s="385">
        <v>0.67</v>
      </c>
      <c r="J33" s="385">
        <v>300</v>
      </c>
      <c r="K33" s="386">
        <v>201</v>
      </c>
    </row>
    <row r="34" spans="1:11" ht="14.4" customHeight="1" x14ac:dyDescent="0.3">
      <c r="A34" s="381" t="s">
        <v>419</v>
      </c>
      <c r="B34" s="382" t="s">
        <v>421</v>
      </c>
      <c r="C34" s="383" t="s">
        <v>425</v>
      </c>
      <c r="D34" s="384" t="s">
        <v>426</v>
      </c>
      <c r="E34" s="383" t="s">
        <v>447</v>
      </c>
      <c r="F34" s="384" t="s">
        <v>448</v>
      </c>
      <c r="G34" s="383" t="s">
        <v>509</v>
      </c>
      <c r="H34" s="383" t="s">
        <v>510</v>
      </c>
      <c r="I34" s="385">
        <v>0.3</v>
      </c>
      <c r="J34" s="385">
        <v>500</v>
      </c>
      <c r="K34" s="386">
        <v>150</v>
      </c>
    </row>
    <row r="35" spans="1:11" ht="14.4" customHeight="1" x14ac:dyDescent="0.3">
      <c r="A35" s="381" t="s">
        <v>419</v>
      </c>
      <c r="B35" s="382" t="s">
        <v>421</v>
      </c>
      <c r="C35" s="383" t="s">
        <v>425</v>
      </c>
      <c r="D35" s="384" t="s">
        <v>426</v>
      </c>
      <c r="E35" s="383" t="s">
        <v>449</v>
      </c>
      <c r="F35" s="384" t="s">
        <v>450</v>
      </c>
      <c r="G35" s="383" t="s">
        <v>511</v>
      </c>
      <c r="H35" s="383" t="s">
        <v>512</v>
      </c>
      <c r="I35" s="385">
        <v>7.5</v>
      </c>
      <c r="J35" s="385">
        <v>50</v>
      </c>
      <c r="K35" s="386">
        <v>375</v>
      </c>
    </row>
    <row r="36" spans="1:11" ht="14.4" customHeight="1" x14ac:dyDescent="0.3">
      <c r="A36" s="381" t="s">
        <v>419</v>
      </c>
      <c r="B36" s="382" t="s">
        <v>421</v>
      </c>
      <c r="C36" s="383" t="s">
        <v>425</v>
      </c>
      <c r="D36" s="384" t="s">
        <v>426</v>
      </c>
      <c r="E36" s="383" t="s">
        <v>449</v>
      </c>
      <c r="F36" s="384" t="s">
        <v>450</v>
      </c>
      <c r="G36" s="383" t="s">
        <v>513</v>
      </c>
      <c r="H36" s="383" t="s">
        <v>514</v>
      </c>
      <c r="I36" s="385">
        <v>7.5</v>
      </c>
      <c r="J36" s="385">
        <v>100</v>
      </c>
      <c r="K36" s="386">
        <v>750</v>
      </c>
    </row>
    <row r="37" spans="1:11" ht="14.4" customHeight="1" x14ac:dyDescent="0.3">
      <c r="A37" s="381" t="s">
        <v>419</v>
      </c>
      <c r="B37" s="382" t="s">
        <v>421</v>
      </c>
      <c r="C37" s="383" t="s">
        <v>425</v>
      </c>
      <c r="D37" s="384" t="s">
        <v>426</v>
      </c>
      <c r="E37" s="383" t="s">
        <v>449</v>
      </c>
      <c r="F37" s="384" t="s">
        <v>450</v>
      </c>
      <c r="G37" s="383" t="s">
        <v>515</v>
      </c>
      <c r="H37" s="383" t="s">
        <v>516</v>
      </c>
      <c r="I37" s="385">
        <v>7.5</v>
      </c>
      <c r="J37" s="385">
        <v>100</v>
      </c>
      <c r="K37" s="386">
        <v>750</v>
      </c>
    </row>
    <row r="38" spans="1:11" ht="14.4" customHeight="1" x14ac:dyDescent="0.3">
      <c r="A38" s="381" t="s">
        <v>419</v>
      </c>
      <c r="B38" s="382" t="s">
        <v>421</v>
      </c>
      <c r="C38" s="383" t="s">
        <v>425</v>
      </c>
      <c r="D38" s="384" t="s">
        <v>426</v>
      </c>
      <c r="E38" s="383" t="s">
        <v>449</v>
      </c>
      <c r="F38" s="384" t="s">
        <v>450</v>
      </c>
      <c r="G38" s="383" t="s">
        <v>517</v>
      </c>
      <c r="H38" s="383" t="s">
        <v>518</v>
      </c>
      <c r="I38" s="385">
        <v>11.01</v>
      </c>
      <c r="J38" s="385">
        <v>100</v>
      </c>
      <c r="K38" s="386">
        <v>1101</v>
      </c>
    </row>
    <row r="39" spans="1:11" ht="14.4" customHeight="1" x14ac:dyDescent="0.3">
      <c r="A39" s="381" t="s">
        <v>419</v>
      </c>
      <c r="B39" s="382" t="s">
        <v>421</v>
      </c>
      <c r="C39" s="383" t="s">
        <v>425</v>
      </c>
      <c r="D39" s="384" t="s">
        <v>426</v>
      </c>
      <c r="E39" s="383" t="s">
        <v>449</v>
      </c>
      <c r="F39" s="384" t="s">
        <v>450</v>
      </c>
      <c r="G39" s="383" t="s">
        <v>519</v>
      </c>
      <c r="H39" s="383" t="s">
        <v>520</v>
      </c>
      <c r="I39" s="385">
        <v>11</v>
      </c>
      <c r="J39" s="385">
        <v>100</v>
      </c>
      <c r="K39" s="386">
        <v>1100</v>
      </c>
    </row>
    <row r="40" spans="1:11" ht="14.4" customHeight="1" x14ac:dyDescent="0.3">
      <c r="A40" s="381" t="s">
        <v>419</v>
      </c>
      <c r="B40" s="382" t="s">
        <v>421</v>
      </c>
      <c r="C40" s="383" t="s">
        <v>425</v>
      </c>
      <c r="D40" s="384" t="s">
        <v>426</v>
      </c>
      <c r="E40" s="383" t="s">
        <v>449</v>
      </c>
      <c r="F40" s="384" t="s">
        <v>450</v>
      </c>
      <c r="G40" s="383" t="s">
        <v>521</v>
      </c>
      <c r="H40" s="383" t="s">
        <v>522</v>
      </c>
      <c r="I40" s="385">
        <v>7.5</v>
      </c>
      <c r="J40" s="385">
        <v>150</v>
      </c>
      <c r="K40" s="386">
        <v>1125.3000000000002</v>
      </c>
    </row>
    <row r="41" spans="1:11" ht="14.4" customHeight="1" x14ac:dyDescent="0.3">
      <c r="A41" s="381" t="s">
        <v>419</v>
      </c>
      <c r="B41" s="382" t="s">
        <v>421</v>
      </c>
      <c r="C41" s="383" t="s">
        <v>425</v>
      </c>
      <c r="D41" s="384" t="s">
        <v>426</v>
      </c>
      <c r="E41" s="383" t="s">
        <v>449</v>
      </c>
      <c r="F41" s="384" t="s">
        <v>450</v>
      </c>
      <c r="G41" s="383" t="s">
        <v>523</v>
      </c>
      <c r="H41" s="383" t="s">
        <v>524</v>
      </c>
      <c r="I41" s="385">
        <v>0.78</v>
      </c>
      <c r="J41" s="385">
        <v>1500</v>
      </c>
      <c r="K41" s="386">
        <v>1170</v>
      </c>
    </row>
    <row r="42" spans="1:11" ht="14.4" customHeight="1" x14ac:dyDescent="0.3">
      <c r="A42" s="381" t="s">
        <v>419</v>
      </c>
      <c r="B42" s="382" t="s">
        <v>421</v>
      </c>
      <c r="C42" s="383" t="s">
        <v>425</v>
      </c>
      <c r="D42" s="384" t="s">
        <v>426</v>
      </c>
      <c r="E42" s="383" t="s">
        <v>449</v>
      </c>
      <c r="F42" s="384" t="s">
        <v>450</v>
      </c>
      <c r="G42" s="383" t="s">
        <v>525</v>
      </c>
      <c r="H42" s="383" t="s">
        <v>526</v>
      </c>
      <c r="I42" s="385">
        <v>0.77500000000000002</v>
      </c>
      <c r="J42" s="385">
        <v>1100</v>
      </c>
      <c r="K42" s="386">
        <v>852</v>
      </c>
    </row>
    <row r="43" spans="1:11" ht="14.4" customHeight="1" x14ac:dyDescent="0.3">
      <c r="A43" s="381" t="s">
        <v>419</v>
      </c>
      <c r="B43" s="382" t="s">
        <v>421</v>
      </c>
      <c r="C43" s="383" t="s">
        <v>425</v>
      </c>
      <c r="D43" s="384" t="s">
        <v>426</v>
      </c>
      <c r="E43" s="383" t="s">
        <v>449</v>
      </c>
      <c r="F43" s="384" t="s">
        <v>450</v>
      </c>
      <c r="G43" s="383" t="s">
        <v>527</v>
      </c>
      <c r="H43" s="383" t="s">
        <v>528</v>
      </c>
      <c r="I43" s="385">
        <v>0.78</v>
      </c>
      <c r="J43" s="385">
        <v>600</v>
      </c>
      <c r="K43" s="386">
        <v>468</v>
      </c>
    </row>
    <row r="44" spans="1:11" ht="14.4" customHeight="1" x14ac:dyDescent="0.3">
      <c r="A44" s="381" t="s">
        <v>419</v>
      </c>
      <c r="B44" s="382" t="s">
        <v>421</v>
      </c>
      <c r="C44" s="383" t="s">
        <v>425</v>
      </c>
      <c r="D44" s="384" t="s">
        <v>426</v>
      </c>
      <c r="E44" s="383" t="s">
        <v>439</v>
      </c>
      <c r="F44" s="384" t="s">
        <v>440</v>
      </c>
      <c r="G44" s="383" t="s">
        <v>529</v>
      </c>
      <c r="H44" s="383" t="s">
        <v>530</v>
      </c>
      <c r="I44" s="385">
        <v>83.49</v>
      </c>
      <c r="J44" s="385">
        <v>30</v>
      </c>
      <c r="K44" s="386">
        <v>2504.6999999999998</v>
      </c>
    </row>
    <row r="45" spans="1:11" ht="14.4" customHeight="1" x14ac:dyDescent="0.3">
      <c r="A45" s="381" t="s">
        <v>419</v>
      </c>
      <c r="B45" s="382" t="s">
        <v>421</v>
      </c>
      <c r="C45" s="383" t="s">
        <v>425</v>
      </c>
      <c r="D45" s="384" t="s">
        <v>426</v>
      </c>
      <c r="E45" s="383" t="s">
        <v>439</v>
      </c>
      <c r="F45" s="384" t="s">
        <v>440</v>
      </c>
      <c r="G45" s="383" t="s">
        <v>531</v>
      </c>
      <c r="H45" s="383" t="s">
        <v>532</v>
      </c>
      <c r="I45" s="385">
        <v>139.44</v>
      </c>
      <c r="J45" s="385">
        <v>1</v>
      </c>
      <c r="K45" s="386">
        <v>139.44</v>
      </c>
    </row>
    <row r="46" spans="1:11" ht="14.4" customHeight="1" x14ac:dyDescent="0.3">
      <c r="A46" s="381" t="s">
        <v>419</v>
      </c>
      <c r="B46" s="382" t="s">
        <v>421</v>
      </c>
      <c r="C46" s="383" t="s">
        <v>425</v>
      </c>
      <c r="D46" s="384" t="s">
        <v>426</v>
      </c>
      <c r="E46" s="383" t="s">
        <v>439</v>
      </c>
      <c r="F46" s="384" t="s">
        <v>440</v>
      </c>
      <c r="G46" s="383" t="s">
        <v>533</v>
      </c>
      <c r="H46" s="383" t="s">
        <v>534</v>
      </c>
      <c r="I46" s="385">
        <v>93.17</v>
      </c>
      <c r="J46" s="385">
        <v>4</v>
      </c>
      <c r="K46" s="386">
        <v>372.68</v>
      </c>
    </row>
    <row r="47" spans="1:11" ht="14.4" customHeight="1" x14ac:dyDescent="0.3">
      <c r="A47" s="381" t="s">
        <v>419</v>
      </c>
      <c r="B47" s="382" t="s">
        <v>421</v>
      </c>
      <c r="C47" s="383" t="s">
        <v>425</v>
      </c>
      <c r="D47" s="384" t="s">
        <v>426</v>
      </c>
      <c r="E47" s="383" t="s">
        <v>439</v>
      </c>
      <c r="F47" s="384" t="s">
        <v>440</v>
      </c>
      <c r="G47" s="383" t="s">
        <v>535</v>
      </c>
      <c r="H47" s="383" t="s">
        <v>536</v>
      </c>
      <c r="I47" s="385">
        <v>506.13499999999999</v>
      </c>
      <c r="J47" s="385">
        <v>10</v>
      </c>
      <c r="K47" s="386">
        <v>4971.08</v>
      </c>
    </row>
    <row r="48" spans="1:11" ht="14.4" customHeight="1" x14ac:dyDescent="0.3">
      <c r="A48" s="381" t="s">
        <v>419</v>
      </c>
      <c r="B48" s="382" t="s">
        <v>421</v>
      </c>
      <c r="C48" s="383" t="s">
        <v>425</v>
      </c>
      <c r="D48" s="384" t="s">
        <v>426</v>
      </c>
      <c r="E48" s="383" t="s">
        <v>439</v>
      </c>
      <c r="F48" s="384" t="s">
        <v>440</v>
      </c>
      <c r="G48" s="383" t="s">
        <v>537</v>
      </c>
      <c r="H48" s="383" t="s">
        <v>538</v>
      </c>
      <c r="I48" s="385">
        <v>0.11</v>
      </c>
      <c r="J48" s="385">
        <v>5000</v>
      </c>
      <c r="K48" s="386">
        <v>544.5</v>
      </c>
    </row>
    <row r="49" spans="1:11" ht="14.4" customHeight="1" x14ac:dyDescent="0.3">
      <c r="A49" s="381" t="s">
        <v>419</v>
      </c>
      <c r="B49" s="382" t="s">
        <v>421</v>
      </c>
      <c r="C49" s="383" t="s">
        <v>425</v>
      </c>
      <c r="D49" s="384" t="s">
        <v>426</v>
      </c>
      <c r="E49" s="383" t="s">
        <v>439</v>
      </c>
      <c r="F49" s="384" t="s">
        <v>440</v>
      </c>
      <c r="G49" s="383" t="s">
        <v>539</v>
      </c>
      <c r="H49" s="383" t="s">
        <v>540</v>
      </c>
      <c r="I49" s="385">
        <v>13652.43</v>
      </c>
      <c r="J49" s="385">
        <v>2</v>
      </c>
      <c r="K49" s="386">
        <v>27304.86</v>
      </c>
    </row>
    <row r="50" spans="1:11" ht="14.4" customHeight="1" x14ac:dyDescent="0.3">
      <c r="A50" s="381" t="s">
        <v>419</v>
      </c>
      <c r="B50" s="382" t="s">
        <v>421</v>
      </c>
      <c r="C50" s="383" t="s">
        <v>425</v>
      </c>
      <c r="D50" s="384" t="s">
        <v>426</v>
      </c>
      <c r="E50" s="383" t="s">
        <v>439</v>
      </c>
      <c r="F50" s="384" t="s">
        <v>440</v>
      </c>
      <c r="G50" s="383" t="s">
        <v>541</v>
      </c>
      <c r="H50" s="383" t="s">
        <v>542</v>
      </c>
      <c r="I50" s="385">
        <v>139.15</v>
      </c>
      <c r="J50" s="385">
        <v>1</v>
      </c>
      <c r="K50" s="386">
        <v>139.15</v>
      </c>
    </row>
    <row r="51" spans="1:11" ht="14.4" customHeight="1" x14ac:dyDescent="0.3">
      <c r="A51" s="381" t="s">
        <v>419</v>
      </c>
      <c r="B51" s="382" t="s">
        <v>421</v>
      </c>
      <c r="C51" s="383" t="s">
        <v>425</v>
      </c>
      <c r="D51" s="384" t="s">
        <v>426</v>
      </c>
      <c r="E51" s="383" t="s">
        <v>439</v>
      </c>
      <c r="F51" s="384" t="s">
        <v>440</v>
      </c>
      <c r="G51" s="383" t="s">
        <v>543</v>
      </c>
      <c r="H51" s="383" t="s">
        <v>544</v>
      </c>
      <c r="I51" s="385">
        <v>266.2</v>
      </c>
      <c r="J51" s="385">
        <v>54</v>
      </c>
      <c r="K51" s="386">
        <v>14374.8</v>
      </c>
    </row>
    <row r="52" spans="1:11" ht="14.4" customHeight="1" x14ac:dyDescent="0.3">
      <c r="A52" s="381" t="s">
        <v>419</v>
      </c>
      <c r="B52" s="382" t="s">
        <v>421</v>
      </c>
      <c r="C52" s="383" t="s">
        <v>425</v>
      </c>
      <c r="D52" s="384" t="s">
        <v>426</v>
      </c>
      <c r="E52" s="383" t="s">
        <v>439</v>
      </c>
      <c r="F52" s="384" t="s">
        <v>440</v>
      </c>
      <c r="G52" s="383" t="s">
        <v>545</v>
      </c>
      <c r="H52" s="383" t="s">
        <v>546</v>
      </c>
      <c r="I52" s="385">
        <v>183.92</v>
      </c>
      <c r="J52" s="385">
        <v>1</v>
      </c>
      <c r="K52" s="386">
        <v>183.92</v>
      </c>
    </row>
    <row r="53" spans="1:11" ht="14.4" customHeight="1" x14ac:dyDescent="0.3">
      <c r="A53" s="381" t="s">
        <v>419</v>
      </c>
      <c r="B53" s="382" t="s">
        <v>421</v>
      </c>
      <c r="C53" s="383" t="s">
        <v>425</v>
      </c>
      <c r="D53" s="384" t="s">
        <v>426</v>
      </c>
      <c r="E53" s="383" t="s">
        <v>439</v>
      </c>
      <c r="F53" s="384" t="s">
        <v>440</v>
      </c>
      <c r="G53" s="383" t="s">
        <v>547</v>
      </c>
      <c r="H53" s="383" t="s">
        <v>548</v>
      </c>
      <c r="I53" s="385">
        <v>2529.4</v>
      </c>
      <c r="J53" s="385">
        <v>1</v>
      </c>
      <c r="K53" s="386">
        <v>2529.4</v>
      </c>
    </row>
    <row r="54" spans="1:11" ht="14.4" customHeight="1" x14ac:dyDescent="0.3">
      <c r="A54" s="381" t="s">
        <v>419</v>
      </c>
      <c r="B54" s="382" t="s">
        <v>421</v>
      </c>
      <c r="C54" s="383" t="s">
        <v>425</v>
      </c>
      <c r="D54" s="384" t="s">
        <v>426</v>
      </c>
      <c r="E54" s="383" t="s">
        <v>439</v>
      </c>
      <c r="F54" s="384" t="s">
        <v>440</v>
      </c>
      <c r="G54" s="383" t="s">
        <v>549</v>
      </c>
      <c r="H54" s="383" t="s">
        <v>550</v>
      </c>
      <c r="I54" s="385">
        <v>13652.43</v>
      </c>
      <c r="J54" s="385">
        <v>2</v>
      </c>
      <c r="K54" s="386">
        <v>27304.86</v>
      </c>
    </row>
    <row r="55" spans="1:11" ht="14.4" customHeight="1" x14ac:dyDescent="0.3">
      <c r="A55" s="381" t="s">
        <v>419</v>
      </c>
      <c r="B55" s="382" t="s">
        <v>421</v>
      </c>
      <c r="C55" s="383" t="s">
        <v>425</v>
      </c>
      <c r="D55" s="384" t="s">
        <v>426</v>
      </c>
      <c r="E55" s="383" t="s">
        <v>439</v>
      </c>
      <c r="F55" s="384" t="s">
        <v>440</v>
      </c>
      <c r="G55" s="383" t="s">
        <v>551</v>
      </c>
      <c r="H55" s="383" t="s">
        <v>552</v>
      </c>
      <c r="I55" s="385">
        <v>113.74</v>
      </c>
      <c r="J55" s="385">
        <v>4</v>
      </c>
      <c r="K55" s="386">
        <v>454.96</v>
      </c>
    </row>
    <row r="56" spans="1:11" ht="14.4" customHeight="1" x14ac:dyDescent="0.3">
      <c r="A56" s="381" t="s">
        <v>419</v>
      </c>
      <c r="B56" s="382" t="s">
        <v>421</v>
      </c>
      <c r="C56" s="383" t="s">
        <v>425</v>
      </c>
      <c r="D56" s="384" t="s">
        <v>426</v>
      </c>
      <c r="E56" s="383" t="s">
        <v>439</v>
      </c>
      <c r="F56" s="384" t="s">
        <v>440</v>
      </c>
      <c r="G56" s="383" t="s">
        <v>553</v>
      </c>
      <c r="H56" s="383" t="s">
        <v>554</v>
      </c>
      <c r="I56" s="385">
        <v>13652.43</v>
      </c>
      <c r="J56" s="385">
        <v>2</v>
      </c>
      <c r="K56" s="386">
        <v>27304.86</v>
      </c>
    </row>
    <row r="57" spans="1:11" ht="14.4" customHeight="1" x14ac:dyDescent="0.3">
      <c r="A57" s="381" t="s">
        <v>419</v>
      </c>
      <c r="B57" s="382" t="s">
        <v>421</v>
      </c>
      <c r="C57" s="383" t="s">
        <v>425</v>
      </c>
      <c r="D57" s="384" t="s">
        <v>426</v>
      </c>
      <c r="E57" s="383" t="s">
        <v>439</v>
      </c>
      <c r="F57" s="384" t="s">
        <v>440</v>
      </c>
      <c r="G57" s="383" t="s">
        <v>555</v>
      </c>
      <c r="H57" s="383" t="s">
        <v>556</v>
      </c>
      <c r="I57" s="385">
        <v>13652.43</v>
      </c>
      <c r="J57" s="385">
        <v>1</v>
      </c>
      <c r="K57" s="386">
        <v>13652.43</v>
      </c>
    </row>
    <row r="58" spans="1:11" ht="14.4" customHeight="1" x14ac:dyDescent="0.3">
      <c r="A58" s="381" t="s">
        <v>419</v>
      </c>
      <c r="B58" s="382" t="s">
        <v>421</v>
      </c>
      <c r="C58" s="383" t="s">
        <v>425</v>
      </c>
      <c r="D58" s="384" t="s">
        <v>426</v>
      </c>
      <c r="E58" s="383" t="s">
        <v>439</v>
      </c>
      <c r="F58" s="384" t="s">
        <v>440</v>
      </c>
      <c r="G58" s="383" t="s">
        <v>557</v>
      </c>
      <c r="H58" s="383" t="s">
        <v>558</v>
      </c>
      <c r="I58" s="385">
        <v>981.31</v>
      </c>
      <c r="J58" s="385">
        <v>5</v>
      </c>
      <c r="K58" s="386">
        <v>4906.5499999999993</v>
      </c>
    </row>
    <row r="59" spans="1:11" ht="14.4" customHeight="1" x14ac:dyDescent="0.3">
      <c r="A59" s="381" t="s">
        <v>419</v>
      </c>
      <c r="B59" s="382" t="s">
        <v>421</v>
      </c>
      <c r="C59" s="383" t="s">
        <v>425</v>
      </c>
      <c r="D59" s="384" t="s">
        <v>426</v>
      </c>
      <c r="E59" s="383" t="s">
        <v>439</v>
      </c>
      <c r="F59" s="384" t="s">
        <v>440</v>
      </c>
      <c r="G59" s="383" t="s">
        <v>559</v>
      </c>
      <c r="H59" s="383" t="s">
        <v>560</v>
      </c>
      <c r="I59" s="385">
        <v>1547.59</v>
      </c>
      <c r="J59" s="385">
        <v>2</v>
      </c>
      <c r="K59" s="386">
        <v>3095.18</v>
      </c>
    </row>
    <row r="60" spans="1:11" ht="14.4" customHeight="1" x14ac:dyDescent="0.3">
      <c r="A60" s="381" t="s">
        <v>419</v>
      </c>
      <c r="B60" s="382" t="s">
        <v>421</v>
      </c>
      <c r="C60" s="383" t="s">
        <v>425</v>
      </c>
      <c r="D60" s="384" t="s">
        <v>426</v>
      </c>
      <c r="E60" s="383" t="s">
        <v>439</v>
      </c>
      <c r="F60" s="384" t="s">
        <v>440</v>
      </c>
      <c r="G60" s="383" t="s">
        <v>561</v>
      </c>
      <c r="H60" s="383" t="s">
        <v>562</v>
      </c>
      <c r="I60" s="385">
        <v>0.13</v>
      </c>
      <c r="J60" s="385">
        <v>6000</v>
      </c>
      <c r="K60" s="386">
        <v>798.59999999999991</v>
      </c>
    </row>
    <row r="61" spans="1:11" ht="14.4" customHeight="1" x14ac:dyDescent="0.3">
      <c r="A61" s="381" t="s">
        <v>419</v>
      </c>
      <c r="B61" s="382" t="s">
        <v>421</v>
      </c>
      <c r="C61" s="383" t="s">
        <v>425</v>
      </c>
      <c r="D61" s="384" t="s">
        <v>426</v>
      </c>
      <c r="E61" s="383" t="s">
        <v>439</v>
      </c>
      <c r="F61" s="384" t="s">
        <v>440</v>
      </c>
      <c r="G61" s="383" t="s">
        <v>563</v>
      </c>
      <c r="H61" s="383" t="s">
        <v>564</v>
      </c>
      <c r="I61" s="385">
        <v>0.34</v>
      </c>
      <c r="J61" s="385">
        <v>1000</v>
      </c>
      <c r="K61" s="386">
        <v>336.4</v>
      </c>
    </row>
    <row r="62" spans="1:11" ht="14.4" customHeight="1" x14ac:dyDescent="0.3">
      <c r="A62" s="381" t="s">
        <v>419</v>
      </c>
      <c r="B62" s="382" t="s">
        <v>421</v>
      </c>
      <c r="C62" s="383" t="s">
        <v>425</v>
      </c>
      <c r="D62" s="384" t="s">
        <v>426</v>
      </c>
      <c r="E62" s="383" t="s">
        <v>439</v>
      </c>
      <c r="F62" s="384" t="s">
        <v>440</v>
      </c>
      <c r="G62" s="383" t="s">
        <v>565</v>
      </c>
      <c r="H62" s="383" t="s">
        <v>566</v>
      </c>
      <c r="I62" s="385">
        <v>186.34</v>
      </c>
      <c r="J62" s="385">
        <v>1</v>
      </c>
      <c r="K62" s="386">
        <v>186.34</v>
      </c>
    </row>
    <row r="63" spans="1:11" ht="14.4" customHeight="1" x14ac:dyDescent="0.3">
      <c r="A63" s="381" t="s">
        <v>419</v>
      </c>
      <c r="B63" s="382" t="s">
        <v>421</v>
      </c>
      <c r="C63" s="383" t="s">
        <v>425</v>
      </c>
      <c r="D63" s="384" t="s">
        <v>426</v>
      </c>
      <c r="E63" s="383" t="s">
        <v>439</v>
      </c>
      <c r="F63" s="384" t="s">
        <v>440</v>
      </c>
      <c r="G63" s="383" t="s">
        <v>567</v>
      </c>
      <c r="H63" s="383" t="s">
        <v>568</v>
      </c>
      <c r="I63" s="385">
        <v>111.32</v>
      </c>
      <c r="J63" s="385">
        <v>5</v>
      </c>
      <c r="K63" s="386">
        <v>556.6</v>
      </c>
    </row>
    <row r="64" spans="1:11" ht="14.4" customHeight="1" x14ac:dyDescent="0.3">
      <c r="A64" s="381" t="s">
        <v>419</v>
      </c>
      <c r="B64" s="382" t="s">
        <v>421</v>
      </c>
      <c r="C64" s="383" t="s">
        <v>425</v>
      </c>
      <c r="D64" s="384" t="s">
        <v>426</v>
      </c>
      <c r="E64" s="383" t="s">
        <v>439</v>
      </c>
      <c r="F64" s="384" t="s">
        <v>440</v>
      </c>
      <c r="G64" s="383" t="s">
        <v>569</v>
      </c>
      <c r="H64" s="383" t="s">
        <v>570</v>
      </c>
      <c r="I64" s="385">
        <v>987.9</v>
      </c>
      <c r="J64" s="385">
        <v>1</v>
      </c>
      <c r="K64" s="386">
        <v>987.9</v>
      </c>
    </row>
    <row r="65" spans="1:11" ht="14.4" customHeight="1" x14ac:dyDescent="0.3">
      <c r="A65" s="381" t="s">
        <v>419</v>
      </c>
      <c r="B65" s="382" t="s">
        <v>421</v>
      </c>
      <c r="C65" s="383" t="s">
        <v>425</v>
      </c>
      <c r="D65" s="384" t="s">
        <v>426</v>
      </c>
      <c r="E65" s="383" t="s">
        <v>439</v>
      </c>
      <c r="F65" s="384" t="s">
        <v>440</v>
      </c>
      <c r="G65" s="383" t="s">
        <v>571</v>
      </c>
      <c r="H65" s="383" t="s">
        <v>572</v>
      </c>
      <c r="I65" s="385">
        <v>194.69</v>
      </c>
      <c r="J65" s="385">
        <v>3</v>
      </c>
      <c r="K65" s="386">
        <v>584.05999999999995</v>
      </c>
    </row>
    <row r="66" spans="1:11" ht="14.4" customHeight="1" x14ac:dyDescent="0.3">
      <c r="A66" s="381" t="s">
        <v>419</v>
      </c>
      <c r="B66" s="382" t="s">
        <v>421</v>
      </c>
      <c r="C66" s="383" t="s">
        <v>425</v>
      </c>
      <c r="D66" s="384" t="s">
        <v>426</v>
      </c>
      <c r="E66" s="383" t="s">
        <v>439</v>
      </c>
      <c r="F66" s="384" t="s">
        <v>440</v>
      </c>
      <c r="G66" s="383" t="s">
        <v>573</v>
      </c>
      <c r="H66" s="383" t="s">
        <v>574</v>
      </c>
      <c r="I66" s="385">
        <v>9353.2999999999993</v>
      </c>
      <c r="J66" s="385">
        <v>1</v>
      </c>
      <c r="K66" s="386">
        <v>9353.2999999999993</v>
      </c>
    </row>
    <row r="67" spans="1:11" ht="14.4" customHeight="1" x14ac:dyDescent="0.3">
      <c r="A67" s="381" t="s">
        <v>419</v>
      </c>
      <c r="B67" s="382" t="s">
        <v>421</v>
      </c>
      <c r="C67" s="383" t="s">
        <v>425</v>
      </c>
      <c r="D67" s="384" t="s">
        <v>426</v>
      </c>
      <c r="E67" s="383" t="s">
        <v>439</v>
      </c>
      <c r="F67" s="384" t="s">
        <v>440</v>
      </c>
      <c r="G67" s="383" t="s">
        <v>575</v>
      </c>
      <c r="H67" s="383" t="s">
        <v>576</v>
      </c>
      <c r="I67" s="385">
        <v>27.83</v>
      </c>
      <c r="J67" s="385">
        <v>20</v>
      </c>
      <c r="K67" s="386">
        <v>556.6</v>
      </c>
    </row>
    <row r="68" spans="1:11" ht="14.4" customHeight="1" x14ac:dyDescent="0.3">
      <c r="A68" s="381" t="s">
        <v>419</v>
      </c>
      <c r="B68" s="382" t="s">
        <v>421</v>
      </c>
      <c r="C68" s="383" t="s">
        <v>425</v>
      </c>
      <c r="D68" s="384" t="s">
        <v>426</v>
      </c>
      <c r="E68" s="383" t="s">
        <v>439</v>
      </c>
      <c r="F68" s="384" t="s">
        <v>440</v>
      </c>
      <c r="G68" s="383" t="s">
        <v>577</v>
      </c>
      <c r="H68" s="383" t="s">
        <v>578</v>
      </c>
      <c r="I68" s="385">
        <v>13652.43</v>
      </c>
      <c r="J68" s="385">
        <v>1</v>
      </c>
      <c r="K68" s="386">
        <v>13652.43</v>
      </c>
    </row>
    <row r="69" spans="1:11" ht="14.4" customHeight="1" x14ac:dyDescent="0.3">
      <c r="A69" s="381" t="s">
        <v>419</v>
      </c>
      <c r="B69" s="382" t="s">
        <v>421</v>
      </c>
      <c r="C69" s="383" t="s">
        <v>425</v>
      </c>
      <c r="D69" s="384" t="s">
        <v>426</v>
      </c>
      <c r="E69" s="383" t="s">
        <v>439</v>
      </c>
      <c r="F69" s="384" t="s">
        <v>440</v>
      </c>
      <c r="G69" s="383" t="s">
        <v>579</v>
      </c>
      <c r="H69" s="383" t="s">
        <v>580</v>
      </c>
      <c r="I69" s="385">
        <v>4967.05</v>
      </c>
      <c r="J69" s="385">
        <v>1</v>
      </c>
      <c r="K69" s="386">
        <v>4967.05</v>
      </c>
    </row>
    <row r="70" spans="1:11" ht="14.4" customHeight="1" x14ac:dyDescent="0.3">
      <c r="A70" s="381" t="s">
        <v>419</v>
      </c>
      <c r="B70" s="382" t="s">
        <v>421</v>
      </c>
      <c r="C70" s="383" t="s">
        <v>425</v>
      </c>
      <c r="D70" s="384" t="s">
        <v>426</v>
      </c>
      <c r="E70" s="383" t="s">
        <v>439</v>
      </c>
      <c r="F70" s="384" t="s">
        <v>440</v>
      </c>
      <c r="G70" s="383" t="s">
        <v>581</v>
      </c>
      <c r="H70" s="383" t="s">
        <v>582</v>
      </c>
      <c r="I70" s="385">
        <v>4440.7</v>
      </c>
      <c r="J70" s="385">
        <v>1</v>
      </c>
      <c r="K70" s="386">
        <v>4440.7</v>
      </c>
    </row>
    <row r="71" spans="1:11" ht="14.4" customHeight="1" x14ac:dyDescent="0.3">
      <c r="A71" s="381" t="s">
        <v>419</v>
      </c>
      <c r="B71" s="382" t="s">
        <v>421</v>
      </c>
      <c r="C71" s="383" t="s">
        <v>425</v>
      </c>
      <c r="D71" s="384" t="s">
        <v>426</v>
      </c>
      <c r="E71" s="383" t="s">
        <v>439</v>
      </c>
      <c r="F71" s="384" t="s">
        <v>440</v>
      </c>
      <c r="G71" s="383" t="s">
        <v>583</v>
      </c>
      <c r="H71" s="383" t="s">
        <v>584</v>
      </c>
      <c r="I71" s="385">
        <v>3507.8</v>
      </c>
      <c r="J71" s="385">
        <v>1</v>
      </c>
      <c r="K71" s="386">
        <v>3507.8</v>
      </c>
    </row>
    <row r="72" spans="1:11" ht="14.4" customHeight="1" thickBot="1" x14ac:dyDescent="0.35">
      <c r="A72" s="387" t="s">
        <v>419</v>
      </c>
      <c r="B72" s="388" t="s">
        <v>421</v>
      </c>
      <c r="C72" s="389" t="s">
        <v>425</v>
      </c>
      <c r="D72" s="390" t="s">
        <v>426</v>
      </c>
      <c r="E72" s="389" t="s">
        <v>439</v>
      </c>
      <c r="F72" s="390" t="s">
        <v>440</v>
      </c>
      <c r="G72" s="389" t="s">
        <v>585</v>
      </c>
      <c r="H72" s="389" t="s">
        <v>586</v>
      </c>
      <c r="I72" s="391">
        <v>592.9</v>
      </c>
      <c r="J72" s="391">
        <v>20</v>
      </c>
      <c r="K72" s="392">
        <v>11858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6" width="12.21875" hidden="1" customWidth="1"/>
    <col min="7" max="9" width="12.21875" customWidth="1"/>
    <col min="10" max="10" width="12.21875" hidden="1" customWidth="1"/>
    <col min="11" max="12" width="12.21875" customWidth="1"/>
  </cols>
  <sheetData>
    <row r="1" spans="1:12" ht="18.600000000000001" thickBot="1" x14ac:dyDescent="0.4">
      <c r="A1" s="315" t="s">
        <v>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5" thickBot="1" x14ac:dyDescent="0.35">
      <c r="A2" s="207" t="s">
        <v>214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12" x14ac:dyDescent="0.3">
      <c r="A3" s="228" t="s">
        <v>208</v>
      </c>
      <c r="B3" s="317" t="s">
        <v>186</v>
      </c>
      <c r="C3" s="209">
        <v>0</v>
      </c>
      <c r="D3" s="210">
        <v>101</v>
      </c>
      <c r="E3" s="231">
        <v>203</v>
      </c>
      <c r="F3" s="210" t="s">
        <v>166</v>
      </c>
      <c r="G3" s="210" t="s">
        <v>167</v>
      </c>
      <c r="H3" s="210" t="s">
        <v>168</v>
      </c>
      <c r="I3" s="210" t="s">
        <v>169</v>
      </c>
      <c r="J3" s="210" t="s">
        <v>170</v>
      </c>
      <c r="K3" s="210">
        <v>930</v>
      </c>
      <c r="L3" s="211">
        <v>940</v>
      </c>
    </row>
    <row r="4" spans="1:12" ht="60.6" outlineLevel="1" thickBot="1" x14ac:dyDescent="0.35">
      <c r="A4" s="229">
        <v>2014</v>
      </c>
      <c r="B4" s="318"/>
      <c r="C4" s="212" t="s">
        <v>187</v>
      </c>
      <c r="D4" s="213" t="s">
        <v>188</v>
      </c>
      <c r="E4" s="232" t="s">
        <v>189</v>
      </c>
      <c r="F4" s="213" t="s">
        <v>190</v>
      </c>
      <c r="G4" s="213" t="s">
        <v>191</v>
      </c>
      <c r="H4" s="213" t="s">
        <v>192</v>
      </c>
      <c r="I4" s="213" t="s">
        <v>193</v>
      </c>
      <c r="J4" s="213" t="s">
        <v>194</v>
      </c>
      <c r="K4" s="213" t="s">
        <v>195</v>
      </c>
      <c r="L4" s="214" t="s">
        <v>196</v>
      </c>
    </row>
    <row r="5" spans="1:12" x14ac:dyDescent="0.3">
      <c r="A5" s="215" t="s">
        <v>197</v>
      </c>
      <c r="B5" s="259"/>
      <c r="C5" s="260"/>
      <c r="D5" s="261"/>
      <c r="E5" s="261"/>
      <c r="F5" s="261"/>
      <c r="G5" s="261"/>
      <c r="H5" s="261"/>
      <c r="I5" s="261"/>
      <c r="J5" s="261"/>
      <c r="K5" s="261"/>
      <c r="L5" s="262"/>
    </row>
    <row r="6" spans="1:12" ht="15" collapsed="1" thickBot="1" x14ac:dyDescent="0.35">
      <c r="A6" s="216" t="s">
        <v>62</v>
      </c>
      <c r="B6" s="263">
        <f xml:space="preserve">
TRUNC(IF($A$4&lt;=12,SUMIFS('ON Data'!D:D,'ON Data'!$B:$B,$A$4,'ON Data'!$C:$C,1),SUMIFS('ON Data'!D:D,'ON Data'!$C:$C,1)/'ON Data'!$B$3),1)</f>
        <v>28.5</v>
      </c>
      <c r="C6" s="264">
        <f xml:space="preserve">
TRUNC(IF($A$4&lt;=12,SUMIFS('ON Data'!E:E,'ON Data'!$B:$B,$A$4,'ON Data'!$C:$C,1),SUMIFS('ON Data'!E:E,'ON Data'!$C:$C,1)/'ON Data'!$B$3),1)</f>
        <v>0</v>
      </c>
      <c r="D6" s="265">
        <f xml:space="preserve">
TRUNC(IF($A$4&lt;=12,SUMIFS('ON Data'!F:F,'ON Data'!$B:$B,$A$4,'ON Data'!$C:$C,1),SUMIFS('ON Data'!F:F,'ON Data'!$C:$C,1)/'ON Data'!$B$3),1)</f>
        <v>7</v>
      </c>
      <c r="E6" s="265">
        <f xml:space="preserve">
TRUNC(IF($A$4&lt;=12,SUMIFS('ON Data'!H:H,'ON Data'!$B:$B,$A$4,'ON Data'!$C:$C,1),SUMIFS('ON Data'!H:H,'ON Data'!$C:$C,1)/'ON Data'!$B$3),1)</f>
        <v>0</v>
      </c>
      <c r="F6" s="265">
        <f xml:space="preserve">
TRUNC(IF($A$4&lt;=12,SUMIFS('ON Data'!I:I,'ON Data'!$B:$B,$A$4,'ON Data'!$C:$C,1),SUMIFS('ON Data'!I:I,'ON Data'!$C:$C,1)/'ON Data'!$B$3),1)</f>
        <v>0</v>
      </c>
      <c r="G6" s="265">
        <f xml:space="preserve">
TRUNC(IF($A$4&lt;=12,SUMIFS('ON Data'!J:J,'ON Data'!$B:$B,$A$4,'ON Data'!$C:$C,1),SUMIFS('ON Data'!J:J,'ON Data'!$C:$C,1)/'ON Data'!$B$3),1)</f>
        <v>9</v>
      </c>
      <c r="H6" s="265">
        <f xml:space="preserve">
TRUNC(IF($A$4&lt;=12,SUMIFS('ON Data'!K:K,'ON Data'!$B:$B,$A$4,'ON Data'!$C:$C,1),SUMIFS('ON Data'!K:K,'ON Data'!$C:$C,1)/'ON Data'!$B$3),1)</f>
        <v>4</v>
      </c>
      <c r="I6" s="265">
        <f xml:space="preserve">
TRUNC(IF($A$4&lt;=12,SUMIFS('ON Data'!L:L,'ON Data'!$B:$B,$A$4,'ON Data'!$C:$C,1),SUMIFS('ON Data'!L:L,'ON Data'!$C:$C,1)/'ON Data'!$B$3),1)</f>
        <v>5.5</v>
      </c>
      <c r="J6" s="265">
        <f xml:space="preserve">
TRUNC(IF($A$4&lt;=12,SUMIFS('ON Data'!M:M,'ON Data'!$B:$B,$A$4,'ON Data'!$C:$C,1),SUMIFS('ON Data'!M:M,'ON Data'!$C:$C,1)/'ON Data'!$B$3),1)</f>
        <v>0</v>
      </c>
      <c r="K6" s="265">
        <f xml:space="preserve">
TRUNC(IF($A$4&lt;=12,SUMIFS('ON Data'!N:N,'ON Data'!$B:$B,$A$4,'ON Data'!$C:$C,1),SUMIFS('ON Data'!N:N,'ON Data'!$C:$C,1)/'ON Data'!$B$3),1)</f>
        <v>2.5</v>
      </c>
      <c r="L6" s="266">
        <f xml:space="preserve">
TRUNC(IF($A$4&lt;=12,SUMIFS('ON Data'!O:O,'ON Data'!$B:$B,$A$4,'ON Data'!$C:$C,1),SUMIFS('ON Data'!O:O,'ON Data'!$C:$C,1)/'ON Data'!$B$3),1)</f>
        <v>0.5</v>
      </c>
    </row>
    <row r="7" spans="1:12" ht="15" hidden="1" outlineLevel="1" thickBot="1" x14ac:dyDescent="0.35">
      <c r="A7" s="216" t="s">
        <v>97</v>
      </c>
      <c r="B7" s="263"/>
      <c r="C7" s="267"/>
      <c r="D7" s="265"/>
      <c r="E7" s="265"/>
      <c r="F7" s="265"/>
      <c r="G7" s="265"/>
      <c r="H7" s="265"/>
      <c r="I7" s="265"/>
      <c r="J7" s="265"/>
      <c r="K7" s="265"/>
      <c r="L7" s="266"/>
    </row>
    <row r="8" spans="1:12" ht="15" hidden="1" outlineLevel="1" thickBot="1" x14ac:dyDescent="0.35">
      <c r="A8" s="216" t="s">
        <v>64</v>
      </c>
      <c r="B8" s="263"/>
      <c r="C8" s="267"/>
      <c r="D8" s="265"/>
      <c r="E8" s="265"/>
      <c r="F8" s="265"/>
      <c r="G8" s="265"/>
      <c r="H8" s="265"/>
      <c r="I8" s="265"/>
      <c r="J8" s="265"/>
      <c r="K8" s="265"/>
      <c r="L8" s="266"/>
    </row>
    <row r="9" spans="1:12" ht="15" hidden="1" outlineLevel="1" thickBot="1" x14ac:dyDescent="0.35">
      <c r="A9" s="217" t="s">
        <v>57</v>
      </c>
      <c r="B9" s="268"/>
      <c r="C9" s="269"/>
      <c r="D9" s="270"/>
      <c r="E9" s="270"/>
      <c r="F9" s="270"/>
      <c r="G9" s="270"/>
      <c r="H9" s="270"/>
      <c r="I9" s="270"/>
      <c r="J9" s="270"/>
      <c r="K9" s="270"/>
      <c r="L9" s="271"/>
    </row>
    <row r="10" spans="1:12" x14ac:dyDescent="0.3">
      <c r="A10" s="218" t="s">
        <v>198</v>
      </c>
      <c r="B10" s="233"/>
      <c r="C10" s="234"/>
      <c r="D10" s="235"/>
      <c r="E10" s="235"/>
      <c r="F10" s="235"/>
      <c r="G10" s="235"/>
      <c r="H10" s="235"/>
      <c r="I10" s="235"/>
      <c r="J10" s="235"/>
      <c r="K10" s="235"/>
      <c r="L10" s="236"/>
    </row>
    <row r="11" spans="1:12" x14ac:dyDescent="0.3">
      <c r="A11" s="219" t="s">
        <v>199</v>
      </c>
      <c r="B11" s="237">
        <f xml:space="preserve">
IF($A$4&lt;=12,SUMIFS('ON Data'!D:D,'ON Data'!$B:$B,$A$4,'ON Data'!$C:$C,2),SUMIFS('ON Data'!D:D,'ON Data'!$C:$C,2))</f>
        <v>8762.7999999999993</v>
      </c>
      <c r="C11" s="238">
        <f xml:space="preserve">
IF($A$4&lt;=12,SUMIFS('ON Data'!E:E,'ON Data'!$B:$B,$A$4,'ON Data'!$C:$C,2),SUMIFS('ON Data'!E:E,'ON Data'!$C:$C,2))</f>
        <v>0</v>
      </c>
      <c r="D11" s="239">
        <f xml:space="preserve">
IF($A$4&lt;=12,SUMIFS('ON Data'!F:F,'ON Data'!$B:$B,$A$4,'ON Data'!$C:$C,2),SUMIFS('ON Data'!F:F,'ON Data'!$C:$C,2))</f>
        <v>1992</v>
      </c>
      <c r="E11" s="239">
        <f xml:space="preserve">
IF($A$4&lt;=12,SUMIFS('ON Data'!H:H,'ON Data'!$B:$B,$A$4,'ON Data'!$C:$C,2),SUMIFS('ON Data'!H:H,'ON Data'!$C:$C,2))</f>
        <v>0</v>
      </c>
      <c r="F11" s="239">
        <f xml:space="preserve">
IF($A$4&lt;=12,SUMIFS('ON Data'!I:I,'ON Data'!$B:$B,$A$4,'ON Data'!$C:$C,2),SUMIFS('ON Data'!I:I,'ON Data'!$C:$C,2))</f>
        <v>0</v>
      </c>
      <c r="G11" s="239">
        <f xml:space="preserve">
IF($A$4&lt;=12,SUMIFS('ON Data'!J:J,'ON Data'!$B:$B,$A$4,'ON Data'!$C:$C,2),SUMIFS('ON Data'!J:J,'ON Data'!$C:$C,2))</f>
        <v>2748</v>
      </c>
      <c r="H11" s="239">
        <f xml:space="preserve">
IF($A$4&lt;=12,SUMIFS('ON Data'!K:K,'ON Data'!$B:$B,$A$4,'ON Data'!$C:$C,2),SUMIFS('ON Data'!K:K,'ON Data'!$C:$C,2))</f>
        <v>1214.8</v>
      </c>
      <c r="I11" s="239">
        <f xml:space="preserve">
IF($A$4&lt;=12,SUMIFS('ON Data'!L:L,'ON Data'!$B:$B,$A$4,'ON Data'!$C:$C,2),SUMIFS('ON Data'!L:L,'ON Data'!$C:$C,2))</f>
        <v>1920</v>
      </c>
      <c r="J11" s="239">
        <f xml:space="preserve">
IF($A$4&lt;=12,SUMIFS('ON Data'!M:M,'ON Data'!$B:$B,$A$4,'ON Data'!$C:$C,2),SUMIFS('ON Data'!M:M,'ON Data'!$C:$C,2))</f>
        <v>0</v>
      </c>
      <c r="K11" s="239">
        <f xml:space="preserve">
IF($A$4&lt;=12,SUMIFS('ON Data'!N:N,'ON Data'!$B:$B,$A$4,'ON Data'!$C:$C,2),SUMIFS('ON Data'!N:N,'ON Data'!$C:$C,2))</f>
        <v>748</v>
      </c>
      <c r="L11" s="240">
        <f xml:space="preserve">
IF($A$4&lt;=12,SUMIFS('ON Data'!O:O,'ON Data'!$B:$B,$A$4,'ON Data'!$C:$C,2),SUMIFS('ON Data'!O:O,'ON Data'!$C:$C,2))</f>
        <v>140</v>
      </c>
    </row>
    <row r="12" spans="1:12" x14ac:dyDescent="0.3">
      <c r="A12" s="219" t="s">
        <v>200</v>
      </c>
      <c r="B12" s="237">
        <f xml:space="preserve">
IF($A$4&lt;=12,SUMIFS('ON Data'!D:D,'ON Data'!$B:$B,$A$4,'ON Data'!$C:$C,3),SUMIFS('ON Data'!D:D,'ON Data'!$C:$C,3))</f>
        <v>78</v>
      </c>
      <c r="C12" s="238">
        <f xml:space="preserve">
IF($A$4&lt;=12,SUMIFS('ON Data'!E:E,'ON Data'!$B:$B,$A$4,'ON Data'!$C:$C,3),SUMIFS('ON Data'!E:E,'ON Data'!$C:$C,3))</f>
        <v>0</v>
      </c>
      <c r="D12" s="239">
        <f xml:space="preserve">
IF($A$4&lt;=12,SUMIFS('ON Data'!F:F,'ON Data'!$B:$B,$A$4,'ON Data'!$C:$C,3),SUMIFS('ON Data'!F:F,'ON Data'!$C:$C,3))</f>
        <v>0</v>
      </c>
      <c r="E12" s="239">
        <f xml:space="preserve">
IF($A$4&lt;=12,SUMIFS('ON Data'!H:H,'ON Data'!$B:$B,$A$4,'ON Data'!$C:$C,3),SUMIFS('ON Data'!H:H,'ON Data'!$C:$C,3))</f>
        <v>0</v>
      </c>
      <c r="F12" s="239">
        <f xml:space="preserve">
IF($A$4&lt;=12,SUMIFS('ON Data'!I:I,'ON Data'!$B:$B,$A$4,'ON Data'!$C:$C,3),SUMIFS('ON Data'!I:I,'ON Data'!$C:$C,3))</f>
        <v>0</v>
      </c>
      <c r="G12" s="239">
        <f xml:space="preserve">
IF($A$4&lt;=12,SUMIFS('ON Data'!J:J,'ON Data'!$B:$B,$A$4,'ON Data'!$C:$C,3),SUMIFS('ON Data'!J:J,'ON Data'!$C:$C,3))</f>
        <v>0</v>
      </c>
      <c r="H12" s="239">
        <f xml:space="preserve">
IF($A$4&lt;=12,SUMIFS('ON Data'!K:K,'ON Data'!$B:$B,$A$4,'ON Data'!$C:$C,3),SUMIFS('ON Data'!K:K,'ON Data'!$C:$C,3))</f>
        <v>78</v>
      </c>
      <c r="I12" s="239">
        <f xml:space="preserve">
IF($A$4&lt;=12,SUMIFS('ON Data'!L:L,'ON Data'!$B:$B,$A$4,'ON Data'!$C:$C,3),SUMIFS('ON Data'!L:L,'ON Data'!$C:$C,3))</f>
        <v>0</v>
      </c>
      <c r="J12" s="239">
        <f xml:space="preserve">
IF($A$4&lt;=12,SUMIFS('ON Data'!M:M,'ON Data'!$B:$B,$A$4,'ON Data'!$C:$C,3),SUMIFS('ON Data'!M:M,'ON Data'!$C:$C,3))</f>
        <v>0</v>
      </c>
      <c r="K12" s="239">
        <f xml:space="preserve">
IF($A$4&lt;=12,SUMIFS('ON Data'!N:N,'ON Data'!$B:$B,$A$4,'ON Data'!$C:$C,3),SUMIFS('ON Data'!N:N,'ON Data'!$C:$C,3))</f>
        <v>0</v>
      </c>
      <c r="L12" s="240">
        <f xml:space="preserve">
IF($A$4&lt;=12,SUMIFS('ON Data'!O:O,'ON Data'!$B:$B,$A$4,'ON Data'!$C:$C,3),SUMIFS('ON Data'!O:O,'ON Data'!$C:$C,3))</f>
        <v>0</v>
      </c>
    </row>
    <row r="13" spans="1:12" x14ac:dyDescent="0.3">
      <c r="A13" s="219" t="s">
        <v>209</v>
      </c>
      <c r="B13" s="237">
        <f xml:space="preserve">
IF($A$4&lt;=12,SUMIFS('ON Data'!D:D,'ON Data'!$B:$B,$A$4,'ON Data'!$C:$C,4),SUMIFS('ON Data'!D:D,'ON Data'!$C:$C,4))</f>
        <v>198</v>
      </c>
      <c r="C13" s="238">
        <f xml:space="preserve">
IF($A$4&lt;=12,SUMIFS('ON Data'!E:E,'ON Data'!$B:$B,$A$4,'ON Data'!$C:$C,4),SUMIFS('ON Data'!E:E,'ON Data'!$C:$C,4))</f>
        <v>0</v>
      </c>
      <c r="D13" s="239">
        <f xml:space="preserve">
IF($A$4&lt;=12,SUMIFS('ON Data'!F:F,'ON Data'!$B:$B,$A$4,'ON Data'!$C:$C,4),SUMIFS('ON Data'!F:F,'ON Data'!$C:$C,4))</f>
        <v>0</v>
      </c>
      <c r="E13" s="239">
        <f xml:space="preserve">
IF($A$4&lt;=12,SUMIFS('ON Data'!H:H,'ON Data'!$B:$B,$A$4,'ON Data'!$C:$C,4),SUMIFS('ON Data'!H:H,'ON Data'!$C:$C,4))</f>
        <v>0</v>
      </c>
      <c r="F13" s="239">
        <f xml:space="preserve">
IF($A$4&lt;=12,SUMIFS('ON Data'!I:I,'ON Data'!$B:$B,$A$4,'ON Data'!$C:$C,4),SUMIFS('ON Data'!I:I,'ON Data'!$C:$C,4))</f>
        <v>0</v>
      </c>
      <c r="G13" s="239">
        <f xml:space="preserve">
IF($A$4&lt;=12,SUMIFS('ON Data'!J:J,'ON Data'!$B:$B,$A$4,'ON Data'!$C:$C,4),SUMIFS('ON Data'!J:J,'ON Data'!$C:$C,4))</f>
        <v>0</v>
      </c>
      <c r="H13" s="239">
        <f xml:space="preserve">
IF($A$4&lt;=12,SUMIFS('ON Data'!K:K,'ON Data'!$B:$B,$A$4,'ON Data'!$C:$C,4),SUMIFS('ON Data'!K:K,'ON Data'!$C:$C,4))</f>
        <v>166</v>
      </c>
      <c r="I13" s="239">
        <f xml:space="preserve">
IF($A$4&lt;=12,SUMIFS('ON Data'!L:L,'ON Data'!$B:$B,$A$4,'ON Data'!$C:$C,4),SUMIFS('ON Data'!L:L,'ON Data'!$C:$C,4))</f>
        <v>32</v>
      </c>
      <c r="J13" s="239">
        <f xml:space="preserve">
IF($A$4&lt;=12,SUMIFS('ON Data'!M:M,'ON Data'!$B:$B,$A$4,'ON Data'!$C:$C,4),SUMIFS('ON Data'!M:M,'ON Data'!$C:$C,4))</f>
        <v>0</v>
      </c>
      <c r="K13" s="239">
        <f xml:space="preserve">
IF($A$4&lt;=12,SUMIFS('ON Data'!N:N,'ON Data'!$B:$B,$A$4,'ON Data'!$C:$C,4),SUMIFS('ON Data'!N:N,'ON Data'!$C:$C,4))</f>
        <v>0</v>
      </c>
      <c r="L13" s="240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20" t="s">
        <v>201</v>
      </c>
      <c r="B14" s="241">
        <f xml:space="preserve">
IF($A$4&lt;=12,SUMIFS('ON Data'!D:D,'ON Data'!$B:$B,$A$4,'ON Data'!$C:$C,5),SUMIFS('ON Data'!D:D,'ON Data'!$C:$C,5))</f>
        <v>1958</v>
      </c>
      <c r="C14" s="242">
        <f xml:space="preserve">
IF($A$4&lt;=12,SUMIFS('ON Data'!E:E,'ON Data'!$B:$B,$A$4,'ON Data'!$C:$C,5),SUMIFS('ON Data'!E:E,'ON Data'!$C:$C,5))</f>
        <v>1958</v>
      </c>
      <c r="D14" s="243">
        <f xml:space="preserve">
IF($A$4&lt;=12,SUMIFS('ON Data'!F:F,'ON Data'!$B:$B,$A$4,'ON Data'!$C:$C,5),SUMIFS('ON Data'!F:F,'ON Data'!$C:$C,5))</f>
        <v>0</v>
      </c>
      <c r="E14" s="243">
        <f xml:space="preserve">
IF($A$4&lt;=12,SUMIFS('ON Data'!H:H,'ON Data'!$B:$B,$A$4,'ON Data'!$C:$C,5),SUMIFS('ON Data'!H:H,'ON Data'!$C:$C,5))</f>
        <v>0</v>
      </c>
      <c r="F14" s="243">
        <f xml:space="preserve">
IF($A$4&lt;=12,SUMIFS('ON Data'!I:I,'ON Data'!$B:$B,$A$4,'ON Data'!$C:$C,5),SUMIFS('ON Data'!I:I,'ON Data'!$C:$C,5))</f>
        <v>0</v>
      </c>
      <c r="G14" s="243">
        <f xml:space="preserve">
IF($A$4&lt;=12,SUMIFS('ON Data'!J:J,'ON Data'!$B:$B,$A$4,'ON Data'!$C:$C,5),SUMIFS('ON Data'!J:J,'ON Data'!$C:$C,5))</f>
        <v>0</v>
      </c>
      <c r="H14" s="243">
        <f xml:space="preserve">
IF($A$4&lt;=12,SUMIFS('ON Data'!K:K,'ON Data'!$B:$B,$A$4,'ON Data'!$C:$C,5),SUMIFS('ON Data'!K:K,'ON Data'!$C:$C,5))</f>
        <v>0</v>
      </c>
      <c r="I14" s="243">
        <f xml:space="preserve">
IF($A$4&lt;=12,SUMIFS('ON Data'!L:L,'ON Data'!$B:$B,$A$4,'ON Data'!$C:$C,5),SUMIFS('ON Data'!L:L,'ON Data'!$C:$C,5))</f>
        <v>0</v>
      </c>
      <c r="J14" s="243">
        <f xml:space="preserve">
IF($A$4&lt;=12,SUMIFS('ON Data'!M:M,'ON Data'!$B:$B,$A$4,'ON Data'!$C:$C,5),SUMIFS('ON Data'!M:M,'ON Data'!$C:$C,5))</f>
        <v>0</v>
      </c>
      <c r="K14" s="243">
        <f xml:space="preserve">
IF($A$4&lt;=12,SUMIFS('ON Data'!N:N,'ON Data'!$B:$B,$A$4,'ON Data'!$C:$C,5),SUMIFS('ON Data'!N:N,'ON Data'!$C:$C,5))</f>
        <v>0</v>
      </c>
      <c r="L14" s="244">
        <f xml:space="preserve">
IF($A$4&lt;=12,SUMIFS('ON Data'!O:O,'ON Data'!$B:$B,$A$4,'ON Data'!$C:$C,5),SUMIFS('ON Data'!O:O,'ON Data'!$C:$C,5))</f>
        <v>0</v>
      </c>
    </row>
    <row r="15" spans="1:12" x14ac:dyDescent="0.3">
      <c r="A15" s="141" t="s">
        <v>213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8"/>
    </row>
    <row r="16" spans="1:12" x14ac:dyDescent="0.3">
      <c r="A16" s="221" t="s">
        <v>202</v>
      </c>
      <c r="B16" s="237">
        <f xml:space="preserve">
IF($A$4&lt;=12,SUMIFS('ON Data'!D:D,'ON Data'!$B:$B,$A$4,'ON Data'!$C:$C,7),SUMIFS('ON Data'!D:D,'ON Data'!$C:$C,7))</f>
        <v>0</v>
      </c>
      <c r="C16" s="238">
        <f xml:space="preserve">
IF($A$4&lt;=12,SUMIFS('ON Data'!E:E,'ON Data'!$B:$B,$A$4,'ON Data'!$C:$C,7),SUMIFS('ON Data'!E:E,'ON Data'!$C:$C,7))</f>
        <v>0</v>
      </c>
      <c r="D16" s="239">
        <f xml:space="preserve">
IF($A$4&lt;=12,SUMIFS('ON Data'!F:F,'ON Data'!$B:$B,$A$4,'ON Data'!$C:$C,7),SUMIFS('ON Data'!F:F,'ON Data'!$C:$C,7))</f>
        <v>0</v>
      </c>
      <c r="E16" s="239">
        <f xml:space="preserve">
IF($A$4&lt;=12,SUMIFS('ON Data'!H:H,'ON Data'!$B:$B,$A$4,'ON Data'!$C:$C,7),SUMIFS('ON Data'!H:H,'ON Data'!$C:$C,7))</f>
        <v>0</v>
      </c>
      <c r="F16" s="239">
        <f xml:space="preserve">
IF($A$4&lt;=12,SUMIFS('ON Data'!I:I,'ON Data'!$B:$B,$A$4,'ON Data'!$C:$C,7),SUMIFS('ON Data'!I:I,'ON Data'!$C:$C,7))</f>
        <v>0</v>
      </c>
      <c r="G16" s="239">
        <f xml:space="preserve">
IF($A$4&lt;=12,SUMIFS('ON Data'!J:J,'ON Data'!$B:$B,$A$4,'ON Data'!$C:$C,7),SUMIFS('ON Data'!J:J,'ON Data'!$C:$C,7))</f>
        <v>0</v>
      </c>
      <c r="H16" s="239">
        <f xml:space="preserve">
IF($A$4&lt;=12,SUMIFS('ON Data'!K:K,'ON Data'!$B:$B,$A$4,'ON Data'!$C:$C,7),SUMIFS('ON Data'!K:K,'ON Data'!$C:$C,7))</f>
        <v>0</v>
      </c>
      <c r="I16" s="239">
        <f xml:space="preserve">
IF($A$4&lt;=12,SUMIFS('ON Data'!L:L,'ON Data'!$B:$B,$A$4,'ON Data'!$C:$C,7),SUMIFS('ON Data'!L:L,'ON Data'!$C:$C,7))</f>
        <v>0</v>
      </c>
      <c r="J16" s="239">
        <f xml:space="preserve">
IF($A$4&lt;=12,SUMIFS('ON Data'!M:M,'ON Data'!$B:$B,$A$4,'ON Data'!$C:$C,7),SUMIFS('ON Data'!M:M,'ON Data'!$C:$C,7))</f>
        <v>0</v>
      </c>
      <c r="K16" s="239">
        <f xml:space="preserve">
IF($A$4&lt;=12,SUMIFS('ON Data'!N:N,'ON Data'!$B:$B,$A$4,'ON Data'!$C:$C,7),SUMIFS('ON Data'!N:N,'ON Data'!$C:$C,7))</f>
        <v>0</v>
      </c>
      <c r="L16" s="240">
        <f xml:space="preserve">
IF($A$4&lt;=12,SUMIFS('ON Data'!O:O,'ON Data'!$B:$B,$A$4,'ON Data'!$C:$C,7),SUMIFS('ON Data'!O:O,'ON Data'!$C:$C,7))</f>
        <v>0</v>
      </c>
    </row>
    <row r="17" spans="1:12" x14ac:dyDescent="0.3">
      <c r="A17" s="221" t="s">
        <v>203</v>
      </c>
      <c r="B17" s="237">
        <f xml:space="preserve">
IF($A$4&lt;=12,SUMIFS('ON Data'!D:D,'ON Data'!$B:$B,$A$4,'ON Data'!$C:$C,8),SUMIFS('ON Data'!D:D,'ON Data'!$C:$C,8))</f>
        <v>0</v>
      </c>
      <c r="C17" s="238">
        <f xml:space="preserve">
IF($A$4&lt;=12,SUMIFS('ON Data'!E:E,'ON Data'!$B:$B,$A$4,'ON Data'!$C:$C,8),SUMIFS('ON Data'!E:E,'ON Data'!$C:$C,8))</f>
        <v>0</v>
      </c>
      <c r="D17" s="239">
        <f xml:space="preserve">
IF($A$4&lt;=12,SUMIFS('ON Data'!F:F,'ON Data'!$B:$B,$A$4,'ON Data'!$C:$C,8),SUMIFS('ON Data'!F:F,'ON Data'!$C:$C,8))</f>
        <v>0</v>
      </c>
      <c r="E17" s="239">
        <f xml:space="preserve">
IF($A$4&lt;=12,SUMIFS('ON Data'!H:H,'ON Data'!$B:$B,$A$4,'ON Data'!$C:$C,8),SUMIFS('ON Data'!H:H,'ON Data'!$C:$C,8))</f>
        <v>0</v>
      </c>
      <c r="F17" s="239">
        <f xml:space="preserve">
IF($A$4&lt;=12,SUMIFS('ON Data'!I:I,'ON Data'!$B:$B,$A$4,'ON Data'!$C:$C,8),SUMIFS('ON Data'!I:I,'ON Data'!$C:$C,8))</f>
        <v>0</v>
      </c>
      <c r="G17" s="239">
        <f xml:space="preserve">
IF($A$4&lt;=12,SUMIFS('ON Data'!J:J,'ON Data'!$B:$B,$A$4,'ON Data'!$C:$C,8),SUMIFS('ON Data'!J:J,'ON Data'!$C:$C,8))</f>
        <v>0</v>
      </c>
      <c r="H17" s="239">
        <f xml:space="preserve">
IF($A$4&lt;=12,SUMIFS('ON Data'!K:K,'ON Data'!$B:$B,$A$4,'ON Data'!$C:$C,8),SUMIFS('ON Data'!K:K,'ON Data'!$C:$C,8))</f>
        <v>0</v>
      </c>
      <c r="I17" s="239">
        <f xml:space="preserve">
IF($A$4&lt;=12,SUMIFS('ON Data'!L:L,'ON Data'!$B:$B,$A$4,'ON Data'!$C:$C,8),SUMIFS('ON Data'!L:L,'ON Data'!$C:$C,8))</f>
        <v>0</v>
      </c>
      <c r="J17" s="239">
        <f xml:space="preserve">
IF($A$4&lt;=12,SUMIFS('ON Data'!M:M,'ON Data'!$B:$B,$A$4,'ON Data'!$C:$C,8),SUMIFS('ON Data'!M:M,'ON Data'!$C:$C,8))</f>
        <v>0</v>
      </c>
      <c r="K17" s="239">
        <f xml:space="preserve">
IF($A$4&lt;=12,SUMIFS('ON Data'!N:N,'ON Data'!$B:$B,$A$4,'ON Data'!$C:$C,8),SUMIFS('ON Data'!N:N,'ON Data'!$C:$C,8))</f>
        <v>0</v>
      </c>
      <c r="L17" s="240">
        <f xml:space="preserve">
IF($A$4&lt;=12,SUMIFS('ON Data'!O:O,'ON Data'!$B:$B,$A$4,'ON Data'!$C:$C,8),SUMIFS('ON Data'!O:O,'ON Data'!$C:$C,8))</f>
        <v>0</v>
      </c>
    </row>
    <row r="18" spans="1:12" x14ac:dyDescent="0.3">
      <c r="A18" s="221" t="s">
        <v>204</v>
      </c>
      <c r="B18" s="237">
        <f xml:space="preserve">
B19-B16-B17</f>
        <v>62481</v>
      </c>
      <c r="C18" s="238">
        <f t="shared" ref="C18:L18" si="0" xml:space="preserve">
C19-C16-C17</f>
        <v>0</v>
      </c>
      <c r="D18" s="239">
        <f t="shared" si="0"/>
        <v>32024</v>
      </c>
      <c r="E18" s="239">
        <f t="shared" si="0"/>
        <v>0</v>
      </c>
      <c r="F18" s="239">
        <f t="shared" si="0"/>
        <v>0</v>
      </c>
      <c r="G18" s="239">
        <f t="shared" si="0"/>
        <v>0</v>
      </c>
      <c r="H18" s="239">
        <f t="shared" si="0"/>
        <v>26446</v>
      </c>
      <c r="I18" s="239">
        <f t="shared" si="0"/>
        <v>4011</v>
      </c>
      <c r="J18" s="239">
        <f t="shared" si="0"/>
        <v>0</v>
      </c>
      <c r="K18" s="239">
        <f t="shared" si="0"/>
        <v>0</v>
      </c>
      <c r="L18" s="240">
        <f t="shared" si="0"/>
        <v>0</v>
      </c>
    </row>
    <row r="19" spans="1:12" ht="15" thickBot="1" x14ac:dyDescent="0.35">
      <c r="A19" s="222" t="s">
        <v>205</v>
      </c>
      <c r="B19" s="249">
        <f xml:space="preserve">
IF($A$4&lt;=12,SUMIFS('ON Data'!D:D,'ON Data'!$B:$B,$A$4,'ON Data'!$C:$C,9),SUMIFS('ON Data'!D:D,'ON Data'!$C:$C,9))</f>
        <v>62481</v>
      </c>
      <c r="C19" s="250">
        <f xml:space="preserve">
IF($A$4&lt;=12,SUMIFS('ON Data'!E:E,'ON Data'!$B:$B,$A$4,'ON Data'!$C:$C,9),SUMIFS('ON Data'!E:E,'ON Data'!$C:$C,9))</f>
        <v>0</v>
      </c>
      <c r="D19" s="251">
        <f xml:space="preserve">
IF($A$4&lt;=12,SUMIFS('ON Data'!F:F,'ON Data'!$B:$B,$A$4,'ON Data'!$C:$C,9),SUMIFS('ON Data'!F:F,'ON Data'!$C:$C,9))</f>
        <v>32024</v>
      </c>
      <c r="E19" s="251">
        <f xml:space="preserve">
IF($A$4&lt;=12,SUMIFS('ON Data'!H:H,'ON Data'!$B:$B,$A$4,'ON Data'!$C:$C,9),SUMIFS('ON Data'!H:H,'ON Data'!$C:$C,9))</f>
        <v>0</v>
      </c>
      <c r="F19" s="251">
        <f xml:space="preserve">
IF($A$4&lt;=12,SUMIFS('ON Data'!I:I,'ON Data'!$B:$B,$A$4,'ON Data'!$C:$C,9),SUMIFS('ON Data'!I:I,'ON Data'!$C:$C,9))</f>
        <v>0</v>
      </c>
      <c r="G19" s="251">
        <f xml:space="preserve">
IF($A$4&lt;=12,SUMIFS('ON Data'!J:J,'ON Data'!$B:$B,$A$4,'ON Data'!$C:$C,9),SUMIFS('ON Data'!J:J,'ON Data'!$C:$C,9))</f>
        <v>0</v>
      </c>
      <c r="H19" s="251">
        <f xml:space="preserve">
IF($A$4&lt;=12,SUMIFS('ON Data'!K:K,'ON Data'!$B:$B,$A$4,'ON Data'!$C:$C,9),SUMIFS('ON Data'!K:K,'ON Data'!$C:$C,9))</f>
        <v>26446</v>
      </c>
      <c r="I19" s="251">
        <f xml:space="preserve">
IF($A$4&lt;=12,SUMIFS('ON Data'!L:L,'ON Data'!$B:$B,$A$4,'ON Data'!$C:$C,9),SUMIFS('ON Data'!L:L,'ON Data'!$C:$C,9))</f>
        <v>4011</v>
      </c>
      <c r="J19" s="251">
        <f xml:space="preserve">
IF($A$4&lt;=12,SUMIFS('ON Data'!M:M,'ON Data'!$B:$B,$A$4,'ON Data'!$C:$C,9),SUMIFS('ON Data'!M:M,'ON Data'!$C:$C,9))</f>
        <v>0</v>
      </c>
      <c r="K19" s="251">
        <f xml:space="preserve">
IF($A$4&lt;=12,SUMIFS('ON Data'!N:N,'ON Data'!$B:$B,$A$4,'ON Data'!$C:$C,9),SUMIFS('ON Data'!N:N,'ON Data'!$C:$C,9))</f>
        <v>0</v>
      </c>
      <c r="L19" s="252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23" t="s">
        <v>62</v>
      </c>
      <c r="B20" s="253">
        <f xml:space="preserve">
IF($A$4&lt;=12,SUMIFS('ON Data'!D:D,'ON Data'!$B:$B,$A$4,'ON Data'!$C:$C,6),SUMIFS('ON Data'!D:D,'ON Data'!$C:$C,6))</f>
        <v>1995321</v>
      </c>
      <c r="C20" s="254">
        <f xml:space="preserve">
IF($A$4&lt;=12,SUMIFS('ON Data'!E:E,'ON Data'!$B:$B,$A$4,'ON Data'!$C:$C,6),SUMIFS('ON Data'!E:E,'ON Data'!$C:$C,6))</f>
        <v>187040</v>
      </c>
      <c r="D20" s="255">
        <f xml:space="preserve">
IF($A$4&lt;=12,SUMIFS('ON Data'!F:F,'ON Data'!$B:$B,$A$4,'ON Data'!$C:$C,6),SUMIFS('ON Data'!F:F,'ON Data'!$C:$C,6))</f>
        <v>582866</v>
      </c>
      <c r="E20" s="255">
        <f xml:space="preserve">
IF($A$4&lt;=12,SUMIFS('ON Data'!H:H,'ON Data'!$B:$B,$A$4,'ON Data'!$C:$C,6),SUMIFS('ON Data'!H:H,'ON Data'!$C:$C,6))</f>
        <v>0</v>
      </c>
      <c r="F20" s="255">
        <f xml:space="preserve">
IF($A$4&lt;=12,SUMIFS('ON Data'!I:I,'ON Data'!$B:$B,$A$4,'ON Data'!$C:$C,6),SUMIFS('ON Data'!I:I,'ON Data'!$C:$C,6))</f>
        <v>0</v>
      </c>
      <c r="G20" s="255">
        <f xml:space="preserve">
IF($A$4&lt;=12,SUMIFS('ON Data'!J:J,'ON Data'!$B:$B,$A$4,'ON Data'!$C:$C,6),SUMIFS('ON Data'!J:J,'ON Data'!$C:$C,6))</f>
        <v>418508</v>
      </c>
      <c r="H20" s="255">
        <f xml:space="preserve">
IF($A$4&lt;=12,SUMIFS('ON Data'!K:K,'ON Data'!$B:$B,$A$4,'ON Data'!$C:$C,6),SUMIFS('ON Data'!K:K,'ON Data'!$C:$C,6))</f>
        <v>471985</v>
      </c>
      <c r="I20" s="255">
        <f xml:space="preserve">
IF($A$4&lt;=12,SUMIFS('ON Data'!L:L,'ON Data'!$B:$B,$A$4,'ON Data'!$C:$C,6),SUMIFS('ON Data'!L:L,'ON Data'!$C:$C,6))</f>
        <v>211491</v>
      </c>
      <c r="J20" s="255">
        <f xml:space="preserve">
IF($A$4&lt;=12,SUMIFS('ON Data'!M:M,'ON Data'!$B:$B,$A$4,'ON Data'!$C:$C,6),SUMIFS('ON Data'!M:M,'ON Data'!$C:$C,6))</f>
        <v>0</v>
      </c>
      <c r="K20" s="255">
        <f xml:space="preserve">
IF($A$4&lt;=12,SUMIFS('ON Data'!N:N,'ON Data'!$B:$B,$A$4,'ON Data'!$C:$C,6),SUMIFS('ON Data'!N:N,'ON Data'!$C:$C,6))</f>
        <v>106372</v>
      </c>
      <c r="L20" s="256">
        <f xml:space="preserve">
IF($A$4&lt;=12,SUMIFS('ON Data'!O:O,'ON Data'!$B:$B,$A$4,'ON Data'!$C:$C,6),SUMIFS('ON Data'!O:O,'ON Data'!$C:$C,6))</f>
        <v>17059</v>
      </c>
    </row>
    <row r="21" spans="1:12" ht="15" hidden="1" outlineLevel="1" thickBot="1" x14ac:dyDescent="0.35">
      <c r="A21" s="216" t="s">
        <v>97</v>
      </c>
      <c r="B21" s="237"/>
      <c r="C21" s="238"/>
      <c r="D21" s="239"/>
      <c r="E21" s="239"/>
      <c r="F21" s="239"/>
      <c r="G21" s="239"/>
      <c r="H21" s="239"/>
      <c r="I21" s="239"/>
      <c r="J21" s="239"/>
      <c r="K21" s="239"/>
      <c r="L21" s="240"/>
    </row>
    <row r="22" spans="1:12" ht="15" hidden="1" outlineLevel="1" thickBot="1" x14ac:dyDescent="0.35">
      <c r="A22" s="216" t="s">
        <v>64</v>
      </c>
      <c r="B22" s="237"/>
      <c r="C22" s="238"/>
      <c r="D22" s="239"/>
      <c r="E22" s="239"/>
      <c r="F22" s="239"/>
      <c r="G22" s="239"/>
      <c r="H22" s="239"/>
      <c r="I22" s="239"/>
      <c r="J22" s="239"/>
      <c r="K22" s="239"/>
      <c r="L22" s="240"/>
    </row>
    <row r="23" spans="1:12" ht="15" hidden="1" outlineLevel="1" thickBot="1" x14ac:dyDescent="0.35">
      <c r="A23" s="224" t="s">
        <v>57</v>
      </c>
      <c r="B23" s="241"/>
      <c r="C23" s="242"/>
      <c r="D23" s="243"/>
      <c r="E23" s="243"/>
      <c r="F23" s="243"/>
      <c r="G23" s="243"/>
      <c r="H23" s="243"/>
      <c r="I23" s="243"/>
      <c r="J23" s="243"/>
      <c r="K23" s="243"/>
      <c r="L23" s="244"/>
    </row>
    <row r="24" spans="1:12" x14ac:dyDescent="0.3">
      <c r="A24" s="218" t="s">
        <v>206</v>
      </c>
      <c r="B24" s="233"/>
      <c r="C24" s="234"/>
      <c r="D24" s="278" t="s">
        <v>188</v>
      </c>
      <c r="E24" s="320" t="s">
        <v>207</v>
      </c>
      <c r="F24" s="320"/>
      <c r="G24" s="320"/>
      <c r="H24" s="320"/>
      <c r="I24" s="235"/>
      <c r="J24" s="235"/>
      <c r="K24" s="235"/>
      <c r="L24" s="236"/>
    </row>
    <row r="25" spans="1:12" ht="15" collapsed="1" thickBot="1" x14ac:dyDescent="0.35">
      <c r="A25" s="219" t="s">
        <v>62</v>
      </c>
      <c r="B25" s="237">
        <f>SUM(D25:H25)</f>
        <v>0</v>
      </c>
      <c r="C25" s="257">
        <v>0</v>
      </c>
      <c r="D25" s="277">
        <v>0</v>
      </c>
      <c r="E25" s="319">
        <v>0</v>
      </c>
      <c r="F25" s="319"/>
      <c r="G25" s="319"/>
      <c r="H25" s="319"/>
      <c r="I25" s="239">
        <v>0</v>
      </c>
      <c r="J25" s="239">
        <v>0</v>
      </c>
      <c r="K25" s="239">
        <v>0</v>
      </c>
      <c r="L25" s="240">
        <v>0</v>
      </c>
    </row>
    <row r="26" spans="1:12" ht="14.4" hidden="1" customHeight="1" outlineLevel="1" x14ac:dyDescent="0.35">
      <c r="A26" s="225" t="s">
        <v>97</v>
      </c>
      <c r="B26" s="249">
        <f t="shared" ref="B26:B28" si="1">SUM(D26:H26)</f>
        <v>0</v>
      </c>
      <c r="C26" s="257">
        <v>0</v>
      </c>
      <c r="D26" s="277">
        <v>0</v>
      </c>
      <c r="E26" s="319">
        <v>0</v>
      </c>
      <c r="F26" s="319"/>
      <c r="G26" s="319"/>
      <c r="H26" s="319"/>
      <c r="I26" s="239">
        <v>0</v>
      </c>
      <c r="J26" s="239">
        <v>0</v>
      </c>
      <c r="K26" s="239">
        <v>0</v>
      </c>
      <c r="L26" s="240">
        <v>0</v>
      </c>
    </row>
    <row r="27" spans="1:12" ht="14.4" hidden="1" customHeight="1" outlineLevel="1" x14ac:dyDescent="0.35">
      <c r="A27" s="225" t="s">
        <v>64</v>
      </c>
      <c r="B27" s="249">
        <f t="shared" si="1"/>
        <v>0</v>
      </c>
      <c r="C27" s="257">
        <v>0</v>
      </c>
      <c r="D27" s="277">
        <v>0</v>
      </c>
      <c r="E27" s="319">
        <v>0</v>
      </c>
      <c r="F27" s="319"/>
      <c r="G27" s="319"/>
      <c r="H27" s="319"/>
      <c r="I27" s="239">
        <v>0</v>
      </c>
      <c r="J27" s="239">
        <v>0</v>
      </c>
      <c r="K27" s="239">
        <v>0</v>
      </c>
      <c r="L27" s="240">
        <v>0</v>
      </c>
    </row>
    <row r="28" spans="1:12" ht="15" hidden="1" customHeight="1" outlineLevel="1" thickBot="1" x14ac:dyDescent="0.35">
      <c r="A28" s="225" t="s">
        <v>57</v>
      </c>
      <c r="B28" s="249">
        <f t="shared" si="1"/>
        <v>0</v>
      </c>
      <c r="C28" s="258">
        <v>0</v>
      </c>
      <c r="D28" s="276">
        <v>0</v>
      </c>
      <c r="E28" s="314">
        <v>0</v>
      </c>
      <c r="F28" s="314"/>
      <c r="G28" s="314"/>
      <c r="H28" s="314"/>
      <c r="I28" s="243">
        <v>0</v>
      </c>
      <c r="J28" s="243">
        <v>0</v>
      </c>
      <c r="K28" s="243">
        <v>0</v>
      </c>
      <c r="L28" s="244">
        <v>0</v>
      </c>
    </row>
    <row r="29" spans="1:12" x14ac:dyDescent="0.3">
      <c r="A29" s="226"/>
      <c r="B29" s="226"/>
      <c r="C29" s="227"/>
      <c r="D29" s="226"/>
      <c r="E29" s="227"/>
      <c r="F29" s="226"/>
      <c r="G29" s="226"/>
      <c r="H29" s="226"/>
      <c r="I29" s="226"/>
      <c r="J29" s="226"/>
      <c r="K29" s="226"/>
      <c r="L29" s="226"/>
    </row>
    <row r="30" spans="1:12" x14ac:dyDescent="0.3">
      <c r="A30" s="93" t="s">
        <v>132</v>
      </c>
      <c r="B30" s="110"/>
      <c r="C30" s="110"/>
      <c r="D30" s="110"/>
      <c r="E30" s="110"/>
      <c r="F30" s="110"/>
      <c r="G30" s="110"/>
      <c r="H30" s="129"/>
      <c r="I30" s="129"/>
      <c r="J30" s="129"/>
      <c r="K30" s="129"/>
      <c r="L30" s="129"/>
    </row>
    <row r="31" spans="1:12" ht="14.4" customHeight="1" x14ac:dyDescent="0.3">
      <c r="A31" s="274" t="s">
        <v>212</v>
      </c>
      <c r="B31" s="275"/>
      <c r="C31" s="275"/>
      <c r="D31" s="275"/>
      <c r="E31" s="275"/>
      <c r="F31" s="275"/>
      <c r="G31" s="275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8"/>
  <sheetViews>
    <sheetView showGridLines="0" showRowColHeaders="0" workbookViewId="0"/>
  </sheetViews>
  <sheetFormatPr defaultRowHeight="14.4" x14ac:dyDescent="0.3"/>
  <cols>
    <col min="1" max="16384" width="8.88671875" style="203"/>
  </cols>
  <sheetData>
    <row r="1" spans="1:18" x14ac:dyDescent="0.3">
      <c r="A1" s="203" t="s">
        <v>588</v>
      </c>
    </row>
    <row r="2" spans="1:18" x14ac:dyDescent="0.3">
      <c r="A2" s="207" t="s">
        <v>214</v>
      </c>
    </row>
    <row r="3" spans="1:18" x14ac:dyDescent="0.3">
      <c r="B3" s="204">
        <f>MAX(B5:B1048576)</f>
        <v>2</v>
      </c>
      <c r="D3" s="204">
        <f t="shared" ref="D3:G3" si="0">SUM(D5:D1048576)</f>
        <v>2068855.95</v>
      </c>
      <c r="E3" s="204">
        <f t="shared" si="0"/>
        <v>188998</v>
      </c>
      <c r="F3" s="204">
        <f t="shared" si="0"/>
        <v>616896</v>
      </c>
      <c r="G3" s="204">
        <f t="shared" si="0"/>
        <v>0</v>
      </c>
      <c r="H3" s="204">
        <f t="shared" ref="H3:O3" si="1">SUM(H5:H1048576)</f>
        <v>0</v>
      </c>
      <c r="I3" s="204">
        <f t="shared" si="1"/>
        <v>0</v>
      </c>
      <c r="J3" s="204">
        <f t="shared" si="1"/>
        <v>421274</v>
      </c>
      <c r="K3" s="204">
        <f t="shared" si="1"/>
        <v>499897.95</v>
      </c>
      <c r="L3" s="204">
        <f t="shared" si="1"/>
        <v>217465</v>
      </c>
      <c r="M3" s="204">
        <f t="shared" si="1"/>
        <v>0</v>
      </c>
      <c r="N3" s="204">
        <f t="shared" si="1"/>
        <v>107125</v>
      </c>
      <c r="O3" s="204">
        <f t="shared" si="1"/>
        <v>17200</v>
      </c>
      <c r="Q3" s="203" t="s">
        <v>173</v>
      </c>
      <c r="R3" s="230">
        <v>2014</v>
      </c>
    </row>
    <row r="4" spans="1:18" x14ac:dyDescent="0.3">
      <c r="A4" s="205" t="s">
        <v>8</v>
      </c>
      <c r="B4" s="206" t="s">
        <v>56</v>
      </c>
      <c r="C4" s="206" t="s">
        <v>161</v>
      </c>
      <c r="D4" s="206" t="s">
        <v>6</v>
      </c>
      <c r="E4" s="206" t="s">
        <v>162</v>
      </c>
      <c r="F4" s="206" t="s">
        <v>163</v>
      </c>
      <c r="G4" s="206" t="s">
        <v>164</v>
      </c>
      <c r="H4" s="206" t="s">
        <v>165</v>
      </c>
      <c r="I4" s="206" t="s">
        <v>166</v>
      </c>
      <c r="J4" s="206" t="s">
        <v>167</v>
      </c>
      <c r="K4" s="206" t="s">
        <v>168</v>
      </c>
      <c r="L4" s="206" t="s">
        <v>169</v>
      </c>
      <c r="M4" s="206" t="s">
        <v>170</v>
      </c>
      <c r="N4" s="206" t="s">
        <v>171</v>
      </c>
      <c r="O4" s="206" t="s">
        <v>172</v>
      </c>
      <c r="Q4" s="203" t="s">
        <v>174</v>
      </c>
      <c r="R4" s="230">
        <v>1</v>
      </c>
    </row>
    <row r="5" spans="1:18" x14ac:dyDescent="0.3">
      <c r="A5" s="203">
        <v>38</v>
      </c>
      <c r="B5" s="203">
        <v>1</v>
      </c>
      <c r="C5" s="203">
        <v>1</v>
      </c>
      <c r="D5" s="203">
        <v>29.2</v>
      </c>
      <c r="E5" s="203">
        <v>0</v>
      </c>
      <c r="F5" s="203">
        <v>7</v>
      </c>
      <c r="G5" s="203">
        <v>0</v>
      </c>
      <c r="H5" s="203">
        <v>0</v>
      </c>
      <c r="I5" s="203">
        <v>0</v>
      </c>
      <c r="J5" s="203">
        <v>9</v>
      </c>
      <c r="K5" s="203">
        <v>4.2</v>
      </c>
      <c r="L5" s="203">
        <v>6</v>
      </c>
      <c r="M5" s="203">
        <v>0</v>
      </c>
      <c r="N5" s="203">
        <v>2.5</v>
      </c>
      <c r="O5" s="203">
        <v>0.5</v>
      </c>
      <c r="Q5" s="203" t="s">
        <v>175</v>
      </c>
      <c r="R5" s="230">
        <v>2</v>
      </c>
    </row>
    <row r="6" spans="1:18" x14ac:dyDescent="0.3">
      <c r="A6" s="203">
        <v>38</v>
      </c>
      <c r="B6" s="203">
        <v>1</v>
      </c>
      <c r="C6" s="203">
        <v>2</v>
      </c>
      <c r="D6" s="203">
        <v>4856.8</v>
      </c>
      <c r="E6" s="203">
        <v>0</v>
      </c>
      <c r="F6" s="203">
        <v>1080</v>
      </c>
      <c r="G6" s="203">
        <v>0</v>
      </c>
      <c r="H6" s="203">
        <v>0</v>
      </c>
      <c r="I6" s="203">
        <v>0</v>
      </c>
      <c r="J6" s="203">
        <v>1480</v>
      </c>
      <c r="K6" s="203">
        <v>708.8</v>
      </c>
      <c r="L6" s="203">
        <v>1080</v>
      </c>
      <c r="M6" s="203">
        <v>0</v>
      </c>
      <c r="N6" s="203">
        <v>448</v>
      </c>
      <c r="O6" s="203">
        <v>60</v>
      </c>
      <c r="Q6" s="203" t="s">
        <v>176</v>
      </c>
      <c r="R6" s="230">
        <v>3</v>
      </c>
    </row>
    <row r="7" spans="1:18" x14ac:dyDescent="0.3">
      <c r="A7" s="203">
        <v>38</v>
      </c>
      <c r="B7" s="203">
        <v>1</v>
      </c>
      <c r="C7" s="203">
        <v>3</v>
      </c>
      <c r="D7" s="203">
        <v>32</v>
      </c>
      <c r="E7" s="203">
        <v>0</v>
      </c>
      <c r="F7" s="203">
        <v>0</v>
      </c>
      <c r="G7" s="203">
        <v>0</v>
      </c>
      <c r="H7" s="203">
        <v>0</v>
      </c>
      <c r="I7" s="203">
        <v>0</v>
      </c>
      <c r="J7" s="203">
        <v>0</v>
      </c>
      <c r="K7" s="203">
        <v>32</v>
      </c>
      <c r="L7" s="203">
        <v>0</v>
      </c>
      <c r="M7" s="203">
        <v>0</v>
      </c>
      <c r="N7" s="203">
        <v>0</v>
      </c>
      <c r="O7" s="203">
        <v>0</v>
      </c>
      <c r="Q7" s="203" t="s">
        <v>177</v>
      </c>
      <c r="R7" s="230">
        <v>4</v>
      </c>
    </row>
    <row r="8" spans="1:18" x14ac:dyDescent="0.3">
      <c r="A8" s="203">
        <v>38</v>
      </c>
      <c r="B8" s="203">
        <v>1</v>
      </c>
      <c r="C8" s="203">
        <v>4</v>
      </c>
      <c r="D8" s="203">
        <v>111</v>
      </c>
      <c r="E8" s="203">
        <v>0</v>
      </c>
      <c r="F8" s="203">
        <v>0</v>
      </c>
      <c r="G8" s="203">
        <v>0</v>
      </c>
      <c r="H8" s="203">
        <v>0</v>
      </c>
      <c r="I8" s="203">
        <v>0</v>
      </c>
      <c r="J8" s="203">
        <v>0</v>
      </c>
      <c r="K8" s="203">
        <v>100</v>
      </c>
      <c r="L8" s="203">
        <v>11</v>
      </c>
      <c r="M8" s="203">
        <v>0</v>
      </c>
      <c r="N8" s="203">
        <v>0</v>
      </c>
      <c r="O8" s="203">
        <v>0</v>
      </c>
      <c r="Q8" s="203" t="s">
        <v>178</v>
      </c>
      <c r="R8" s="230">
        <v>5</v>
      </c>
    </row>
    <row r="9" spans="1:18" x14ac:dyDescent="0.3">
      <c r="A9" s="203">
        <v>38</v>
      </c>
      <c r="B9" s="203">
        <v>1</v>
      </c>
      <c r="C9" s="203">
        <v>5</v>
      </c>
      <c r="D9" s="203">
        <v>1023</v>
      </c>
      <c r="E9" s="203">
        <v>1023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Q9" s="203" t="s">
        <v>179</v>
      </c>
      <c r="R9" s="230">
        <v>6</v>
      </c>
    </row>
    <row r="10" spans="1:18" x14ac:dyDescent="0.3">
      <c r="A10" s="203">
        <v>38</v>
      </c>
      <c r="B10" s="203">
        <v>1</v>
      </c>
      <c r="C10" s="203">
        <v>6</v>
      </c>
      <c r="D10" s="203">
        <v>1003341</v>
      </c>
      <c r="E10" s="203">
        <v>100190</v>
      </c>
      <c r="F10" s="203">
        <v>290131</v>
      </c>
      <c r="G10" s="203">
        <v>0</v>
      </c>
      <c r="H10" s="203">
        <v>0</v>
      </c>
      <c r="I10" s="203">
        <v>0</v>
      </c>
      <c r="J10" s="203">
        <v>211203</v>
      </c>
      <c r="K10" s="203">
        <v>231600</v>
      </c>
      <c r="L10" s="203">
        <v>108347</v>
      </c>
      <c r="M10" s="203">
        <v>0</v>
      </c>
      <c r="N10" s="203">
        <v>53136</v>
      </c>
      <c r="O10" s="203">
        <v>8734</v>
      </c>
      <c r="Q10" s="203" t="s">
        <v>180</v>
      </c>
      <c r="R10" s="230">
        <v>7</v>
      </c>
    </row>
    <row r="11" spans="1:18" x14ac:dyDescent="0.3">
      <c r="A11" s="203">
        <v>38</v>
      </c>
      <c r="B11" s="203">
        <v>1</v>
      </c>
      <c r="C11" s="203">
        <v>9</v>
      </c>
      <c r="D11" s="203">
        <v>30349</v>
      </c>
      <c r="E11" s="203">
        <v>0</v>
      </c>
      <c r="F11" s="203">
        <v>16012</v>
      </c>
      <c r="G11" s="203">
        <v>0</v>
      </c>
      <c r="H11" s="203">
        <v>0</v>
      </c>
      <c r="I11" s="203">
        <v>0</v>
      </c>
      <c r="J11" s="203">
        <v>0</v>
      </c>
      <c r="K11" s="203">
        <v>13206</v>
      </c>
      <c r="L11" s="203">
        <v>1131</v>
      </c>
      <c r="M11" s="203">
        <v>0</v>
      </c>
      <c r="N11" s="203">
        <v>0</v>
      </c>
      <c r="O11" s="203">
        <v>0</v>
      </c>
      <c r="Q11" s="203" t="s">
        <v>181</v>
      </c>
      <c r="R11" s="230">
        <v>8</v>
      </c>
    </row>
    <row r="12" spans="1:18" x14ac:dyDescent="0.3">
      <c r="A12" s="203">
        <v>38</v>
      </c>
      <c r="B12" s="203">
        <v>2</v>
      </c>
      <c r="C12" s="203">
        <v>1</v>
      </c>
      <c r="D12" s="203">
        <v>27.95</v>
      </c>
      <c r="E12" s="203">
        <v>0</v>
      </c>
      <c r="F12" s="203">
        <v>7</v>
      </c>
      <c r="G12" s="203">
        <v>0</v>
      </c>
      <c r="H12" s="203">
        <v>0</v>
      </c>
      <c r="I12" s="203">
        <v>0</v>
      </c>
      <c r="J12" s="203">
        <v>9</v>
      </c>
      <c r="K12" s="203">
        <v>3.95</v>
      </c>
      <c r="L12" s="203">
        <v>5</v>
      </c>
      <c r="M12" s="203">
        <v>0</v>
      </c>
      <c r="N12" s="203">
        <v>2.5</v>
      </c>
      <c r="O12" s="203">
        <v>0.5</v>
      </c>
      <c r="Q12" s="203" t="s">
        <v>182</v>
      </c>
      <c r="R12" s="230">
        <v>9</v>
      </c>
    </row>
    <row r="13" spans="1:18" x14ac:dyDescent="0.3">
      <c r="A13" s="203">
        <v>38</v>
      </c>
      <c r="B13" s="203">
        <v>2</v>
      </c>
      <c r="C13" s="203">
        <v>2</v>
      </c>
      <c r="D13" s="203">
        <v>3906</v>
      </c>
      <c r="E13" s="203">
        <v>0</v>
      </c>
      <c r="F13" s="203">
        <v>912</v>
      </c>
      <c r="G13" s="203">
        <v>0</v>
      </c>
      <c r="H13" s="203">
        <v>0</v>
      </c>
      <c r="I13" s="203">
        <v>0</v>
      </c>
      <c r="J13" s="203">
        <v>1268</v>
      </c>
      <c r="K13" s="203">
        <v>506</v>
      </c>
      <c r="L13" s="203">
        <v>840</v>
      </c>
      <c r="M13" s="203">
        <v>0</v>
      </c>
      <c r="N13" s="203">
        <v>300</v>
      </c>
      <c r="O13" s="203">
        <v>80</v>
      </c>
      <c r="Q13" s="203" t="s">
        <v>183</v>
      </c>
      <c r="R13" s="230">
        <v>10</v>
      </c>
    </row>
    <row r="14" spans="1:18" x14ac:dyDescent="0.3">
      <c r="A14" s="203">
        <v>38</v>
      </c>
      <c r="B14" s="203">
        <v>2</v>
      </c>
      <c r="C14" s="203">
        <v>3</v>
      </c>
      <c r="D14" s="203">
        <v>46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46</v>
      </c>
      <c r="L14" s="203">
        <v>0</v>
      </c>
      <c r="M14" s="203">
        <v>0</v>
      </c>
      <c r="N14" s="203">
        <v>0</v>
      </c>
      <c r="O14" s="203">
        <v>0</v>
      </c>
      <c r="Q14" s="203" t="s">
        <v>184</v>
      </c>
      <c r="R14" s="230">
        <v>11</v>
      </c>
    </row>
    <row r="15" spans="1:18" x14ac:dyDescent="0.3">
      <c r="A15" s="203">
        <v>38</v>
      </c>
      <c r="B15" s="203">
        <v>2</v>
      </c>
      <c r="C15" s="203">
        <v>4</v>
      </c>
      <c r="D15" s="203">
        <v>87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66</v>
      </c>
      <c r="L15" s="203">
        <v>21</v>
      </c>
      <c r="M15" s="203">
        <v>0</v>
      </c>
      <c r="N15" s="203">
        <v>0</v>
      </c>
      <c r="O15" s="203">
        <v>0</v>
      </c>
      <c r="Q15" s="203" t="s">
        <v>185</v>
      </c>
      <c r="R15" s="230">
        <v>12</v>
      </c>
    </row>
    <row r="16" spans="1:18" x14ac:dyDescent="0.3">
      <c r="A16" s="203">
        <v>38</v>
      </c>
      <c r="B16" s="203">
        <v>2</v>
      </c>
      <c r="C16" s="203">
        <v>5</v>
      </c>
      <c r="D16" s="203">
        <v>935</v>
      </c>
      <c r="E16" s="203">
        <v>935</v>
      </c>
      <c r="F16" s="203">
        <v>0</v>
      </c>
      <c r="G16" s="203">
        <v>0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Q16" s="203" t="s">
        <v>173</v>
      </c>
      <c r="R16" s="230">
        <v>2014</v>
      </c>
    </row>
    <row r="17" spans="1:15" x14ac:dyDescent="0.3">
      <c r="A17" s="203">
        <v>38</v>
      </c>
      <c r="B17" s="203">
        <v>2</v>
      </c>
      <c r="C17" s="203">
        <v>6</v>
      </c>
      <c r="D17" s="203">
        <v>991980</v>
      </c>
      <c r="E17" s="203">
        <v>86850</v>
      </c>
      <c r="F17" s="203">
        <v>292735</v>
      </c>
      <c r="G17" s="203">
        <v>0</v>
      </c>
      <c r="H17" s="203">
        <v>0</v>
      </c>
      <c r="I17" s="203">
        <v>0</v>
      </c>
      <c r="J17" s="203">
        <v>207305</v>
      </c>
      <c r="K17" s="203">
        <v>240385</v>
      </c>
      <c r="L17" s="203">
        <v>103144</v>
      </c>
      <c r="M17" s="203">
        <v>0</v>
      </c>
      <c r="N17" s="203">
        <v>53236</v>
      </c>
      <c r="O17" s="203">
        <v>8325</v>
      </c>
    </row>
    <row r="18" spans="1:15" x14ac:dyDescent="0.3">
      <c r="A18" s="203">
        <v>38</v>
      </c>
      <c r="B18" s="203">
        <v>2</v>
      </c>
      <c r="C18" s="203">
        <v>9</v>
      </c>
      <c r="D18" s="203">
        <v>32132</v>
      </c>
      <c r="E18" s="203">
        <v>0</v>
      </c>
      <c r="F18" s="203">
        <v>16012</v>
      </c>
      <c r="G18" s="203">
        <v>0</v>
      </c>
      <c r="H18" s="203">
        <v>0</v>
      </c>
      <c r="I18" s="203">
        <v>0</v>
      </c>
      <c r="J18" s="203">
        <v>0</v>
      </c>
      <c r="K18" s="203">
        <v>13240</v>
      </c>
      <c r="L18" s="203">
        <v>2880</v>
      </c>
      <c r="M18" s="203">
        <v>0</v>
      </c>
      <c r="N18" s="203">
        <v>0</v>
      </c>
      <c r="O18" s="20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0" bestFit="1" customWidth="1"/>
    <col min="2" max="2" width="7.77734375" style="86" customWidth="1"/>
    <col min="3" max="3" width="5.44140625" style="110" hidden="1" customWidth="1"/>
    <col min="4" max="4" width="7.77734375" style="86" customWidth="1"/>
    <col min="5" max="5" width="5.44140625" style="110" hidden="1" customWidth="1"/>
    <col min="6" max="6" width="7.77734375" style="86" customWidth="1"/>
    <col min="7" max="7" width="7.77734375" style="189" customWidth="1"/>
    <col min="8" max="8" width="7.77734375" style="86" customWidth="1"/>
    <col min="9" max="9" width="5.44140625" style="110" hidden="1" customWidth="1"/>
    <col min="10" max="10" width="7.77734375" style="86" customWidth="1"/>
    <col min="11" max="11" width="5.44140625" style="110" hidden="1" customWidth="1"/>
    <col min="12" max="12" width="7.77734375" style="86" customWidth="1"/>
    <col min="13" max="13" width="7.77734375" style="189" customWidth="1"/>
    <col min="14" max="14" width="7.77734375" style="86" customWidth="1"/>
    <col min="15" max="15" width="5" style="110" hidden="1" customWidth="1"/>
    <col min="16" max="16" width="7.77734375" style="86" customWidth="1"/>
    <col min="17" max="17" width="5" style="110" hidden="1" customWidth="1"/>
    <col min="18" max="18" width="7.77734375" style="86" customWidth="1"/>
    <col min="19" max="19" width="7.77734375" style="189" customWidth="1"/>
    <col min="20" max="16384" width="8.88671875" style="110"/>
  </cols>
  <sheetData>
    <row r="1" spans="1:19" ht="18.600000000000001" customHeight="1" thickBot="1" x14ac:dyDescent="0.4">
      <c r="A1" s="321" t="s">
        <v>593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207" t="s">
        <v>214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4.4" customHeight="1" thickBot="1" x14ac:dyDescent="0.35">
      <c r="A3" s="193" t="s">
        <v>116</v>
      </c>
      <c r="B3" s="194">
        <f>SUBTOTAL(9,B6:B1048576)</f>
        <v>2558370</v>
      </c>
      <c r="C3" s="195">
        <f t="shared" ref="C3:R3" si="0">SUBTOTAL(9,C6:C1048576)</f>
        <v>2</v>
      </c>
      <c r="D3" s="195">
        <f t="shared" si="0"/>
        <v>3029811</v>
      </c>
      <c r="E3" s="195">
        <f t="shared" si="0"/>
        <v>2.4735092346516314</v>
      </c>
      <c r="F3" s="195">
        <f t="shared" si="0"/>
        <v>2474565</v>
      </c>
      <c r="G3" s="196">
        <f>IF(B3&lt;&gt;0,F3/B3,"")</f>
        <v>0.96724281476096108</v>
      </c>
      <c r="H3" s="197">
        <f t="shared" si="0"/>
        <v>0</v>
      </c>
      <c r="I3" s="195">
        <f t="shared" si="0"/>
        <v>0</v>
      </c>
      <c r="J3" s="195">
        <f t="shared" si="0"/>
        <v>0</v>
      </c>
      <c r="K3" s="195">
        <f t="shared" si="0"/>
        <v>0</v>
      </c>
      <c r="L3" s="195">
        <f t="shared" si="0"/>
        <v>0</v>
      </c>
      <c r="M3" s="198" t="str">
        <f>IF(H3&lt;&gt;0,L3/H3,"")</f>
        <v/>
      </c>
      <c r="N3" s="194">
        <f t="shared" si="0"/>
        <v>0</v>
      </c>
      <c r="O3" s="195">
        <f t="shared" si="0"/>
        <v>0</v>
      </c>
      <c r="P3" s="195">
        <f t="shared" si="0"/>
        <v>0</v>
      </c>
      <c r="Q3" s="195">
        <f t="shared" si="0"/>
        <v>0</v>
      </c>
      <c r="R3" s="195">
        <f t="shared" si="0"/>
        <v>0</v>
      </c>
      <c r="S3" s="196" t="str">
        <f>IF(N3&lt;&gt;0,R3/N3,"")</f>
        <v/>
      </c>
    </row>
    <row r="4" spans="1:19" ht="14.4" customHeight="1" x14ac:dyDescent="0.3">
      <c r="A4" s="322" t="s">
        <v>88</v>
      </c>
      <c r="B4" s="323" t="s">
        <v>89</v>
      </c>
      <c r="C4" s="324"/>
      <c r="D4" s="324"/>
      <c r="E4" s="324"/>
      <c r="F4" s="324"/>
      <c r="G4" s="325"/>
      <c r="H4" s="323" t="s">
        <v>90</v>
      </c>
      <c r="I4" s="324"/>
      <c r="J4" s="324"/>
      <c r="K4" s="324"/>
      <c r="L4" s="324"/>
      <c r="M4" s="325"/>
      <c r="N4" s="323" t="s">
        <v>91</v>
      </c>
      <c r="O4" s="324"/>
      <c r="P4" s="324"/>
      <c r="Q4" s="324"/>
      <c r="R4" s="324"/>
      <c r="S4" s="325"/>
    </row>
    <row r="5" spans="1:19" ht="14.4" customHeight="1" thickBot="1" x14ac:dyDescent="0.35">
      <c r="A5" s="393"/>
      <c r="B5" s="394">
        <v>2012</v>
      </c>
      <c r="C5" s="395"/>
      <c r="D5" s="395">
        <v>2013</v>
      </c>
      <c r="E5" s="395"/>
      <c r="F5" s="395">
        <v>2014</v>
      </c>
      <c r="G5" s="396" t="s">
        <v>5</v>
      </c>
      <c r="H5" s="394">
        <v>2012</v>
      </c>
      <c r="I5" s="395"/>
      <c r="J5" s="395">
        <v>2013</v>
      </c>
      <c r="K5" s="395"/>
      <c r="L5" s="395">
        <v>2014</v>
      </c>
      <c r="M5" s="396" t="s">
        <v>5</v>
      </c>
      <c r="N5" s="394">
        <v>2012</v>
      </c>
      <c r="O5" s="395"/>
      <c r="P5" s="395">
        <v>2013</v>
      </c>
      <c r="Q5" s="395"/>
      <c r="R5" s="395">
        <v>2014</v>
      </c>
      <c r="S5" s="396" t="s">
        <v>5</v>
      </c>
    </row>
    <row r="6" spans="1:19" ht="14.4" customHeight="1" x14ac:dyDescent="0.3">
      <c r="A6" s="403" t="s">
        <v>589</v>
      </c>
      <c r="B6" s="397">
        <v>2077365</v>
      </c>
      <c r="C6" s="376">
        <v>1</v>
      </c>
      <c r="D6" s="397">
        <v>2394470</v>
      </c>
      <c r="E6" s="376">
        <v>1.1526477051457014</v>
      </c>
      <c r="F6" s="397">
        <v>1938885</v>
      </c>
      <c r="G6" s="398">
        <v>0.93333862850293525</v>
      </c>
      <c r="H6" s="397"/>
      <c r="I6" s="376"/>
      <c r="J6" s="397"/>
      <c r="K6" s="376"/>
      <c r="L6" s="397"/>
      <c r="M6" s="398"/>
      <c r="N6" s="397"/>
      <c r="O6" s="376"/>
      <c r="P6" s="397"/>
      <c r="Q6" s="376"/>
      <c r="R6" s="397"/>
      <c r="S6" s="399"/>
    </row>
    <row r="7" spans="1:19" ht="14.4" customHeight="1" thickBot="1" x14ac:dyDescent="0.35">
      <c r="A7" s="404" t="s">
        <v>590</v>
      </c>
      <c r="B7" s="400">
        <v>481005</v>
      </c>
      <c r="C7" s="388">
        <v>1</v>
      </c>
      <c r="D7" s="400">
        <v>635341</v>
      </c>
      <c r="E7" s="388">
        <v>1.3208615295059303</v>
      </c>
      <c r="F7" s="400">
        <v>535680</v>
      </c>
      <c r="G7" s="401">
        <v>1.1136682570867247</v>
      </c>
      <c r="H7" s="400"/>
      <c r="I7" s="388"/>
      <c r="J7" s="400"/>
      <c r="K7" s="388"/>
      <c r="L7" s="400"/>
      <c r="M7" s="401"/>
      <c r="N7" s="400"/>
      <c r="O7" s="388"/>
      <c r="P7" s="400"/>
      <c r="Q7" s="388"/>
      <c r="R7" s="400"/>
      <c r="S7" s="402"/>
    </row>
    <row r="8" spans="1:19" ht="14.4" customHeight="1" x14ac:dyDescent="0.3">
      <c r="A8" s="405" t="s">
        <v>591</v>
      </c>
    </row>
    <row r="9" spans="1:19" ht="14.4" customHeight="1" x14ac:dyDescent="0.3">
      <c r="A9" s="406" t="s">
        <v>159</v>
      </c>
    </row>
    <row r="10" spans="1:19" ht="14.4" customHeight="1" x14ac:dyDescent="0.3">
      <c r="A10" s="405" t="s">
        <v>592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0" bestFit="1" customWidth="1"/>
    <col min="2" max="2" width="2.109375" style="110" bestFit="1" customWidth="1"/>
    <col min="3" max="3" width="8" style="110" bestFit="1" customWidth="1"/>
    <col min="4" max="4" width="50.88671875" style="110" bestFit="1" customWidth="1"/>
    <col min="5" max="6" width="11.109375" style="186" customWidth="1"/>
    <col min="7" max="8" width="9.33203125" style="110" hidden="1" customWidth="1"/>
    <col min="9" max="10" width="11.109375" style="186" customWidth="1"/>
    <col min="11" max="12" width="9.33203125" style="110" hidden="1" customWidth="1"/>
    <col min="13" max="14" width="11.109375" style="186" customWidth="1"/>
    <col min="15" max="15" width="11.109375" style="189" customWidth="1"/>
    <col min="16" max="16" width="11.109375" style="186" customWidth="1"/>
    <col min="17" max="16384" width="8.88671875" style="110"/>
  </cols>
  <sheetData>
    <row r="1" spans="1:16" ht="18.600000000000001" customHeight="1" thickBot="1" x14ac:dyDescent="0.4">
      <c r="A1" s="283" t="s">
        <v>651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6" ht="14.4" customHeight="1" thickBot="1" x14ac:dyDescent="0.35">
      <c r="A2" s="207" t="s">
        <v>214</v>
      </c>
      <c r="B2" s="111"/>
      <c r="C2" s="111"/>
      <c r="D2" s="111"/>
      <c r="E2" s="201"/>
      <c r="F2" s="201"/>
      <c r="G2" s="111"/>
      <c r="H2" s="111"/>
      <c r="I2" s="201"/>
      <c r="J2" s="201"/>
      <c r="K2" s="111"/>
      <c r="L2" s="111"/>
      <c r="M2" s="201"/>
      <c r="N2" s="201"/>
      <c r="O2" s="202"/>
      <c r="P2" s="201"/>
    </row>
    <row r="3" spans="1:16" ht="14.4" customHeight="1" thickBot="1" x14ac:dyDescent="0.35">
      <c r="D3" s="65" t="s">
        <v>116</v>
      </c>
      <c r="E3" s="82">
        <f t="shared" ref="E3:N3" si="0">SUBTOTAL(9,E6:E1048576)</f>
        <v>736</v>
      </c>
      <c r="F3" s="83">
        <f t="shared" si="0"/>
        <v>2558370</v>
      </c>
      <c r="G3" s="58"/>
      <c r="H3" s="58"/>
      <c r="I3" s="83">
        <f t="shared" si="0"/>
        <v>992</v>
      </c>
      <c r="J3" s="83">
        <f t="shared" si="0"/>
        <v>3029811</v>
      </c>
      <c r="K3" s="58"/>
      <c r="L3" s="58"/>
      <c r="M3" s="83">
        <f t="shared" si="0"/>
        <v>1140</v>
      </c>
      <c r="N3" s="83">
        <f t="shared" si="0"/>
        <v>2474565</v>
      </c>
      <c r="O3" s="59">
        <f>IF(F3=0,0,N3/F3)</f>
        <v>0.96724281476096108</v>
      </c>
      <c r="P3" s="84">
        <f>IF(M3=0,0,N3/M3)</f>
        <v>2170.6710526315787</v>
      </c>
    </row>
    <row r="4" spans="1:16" ht="14.4" customHeight="1" x14ac:dyDescent="0.3">
      <c r="A4" s="327" t="s">
        <v>84</v>
      </c>
      <c r="B4" s="328" t="s">
        <v>85</v>
      </c>
      <c r="C4" s="329" t="s">
        <v>86</v>
      </c>
      <c r="D4" s="330" t="s">
        <v>59</v>
      </c>
      <c r="E4" s="331">
        <v>2012</v>
      </c>
      <c r="F4" s="332"/>
      <c r="G4" s="81"/>
      <c r="H4" s="81"/>
      <c r="I4" s="331">
        <v>2013</v>
      </c>
      <c r="J4" s="332"/>
      <c r="K4" s="81"/>
      <c r="L4" s="81"/>
      <c r="M4" s="331">
        <v>2014</v>
      </c>
      <c r="N4" s="332"/>
      <c r="O4" s="333" t="s">
        <v>5</v>
      </c>
      <c r="P4" s="326" t="s">
        <v>87</v>
      </c>
    </row>
    <row r="5" spans="1:16" ht="14.4" customHeight="1" thickBot="1" x14ac:dyDescent="0.35">
      <c r="A5" s="407"/>
      <c r="B5" s="408"/>
      <c r="C5" s="409"/>
      <c r="D5" s="410"/>
      <c r="E5" s="411" t="s">
        <v>61</v>
      </c>
      <c r="F5" s="412" t="s">
        <v>17</v>
      </c>
      <c r="G5" s="413"/>
      <c r="H5" s="413"/>
      <c r="I5" s="411" t="s">
        <v>61</v>
      </c>
      <c r="J5" s="412" t="s">
        <v>17</v>
      </c>
      <c r="K5" s="413"/>
      <c r="L5" s="413"/>
      <c r="M5" s="411" t="s">
        <v>61</v>
      </c>
      <c r="N5" s="412" t="s">
        <v>17</v>
      </c>
      <c r="O5" s="414"/>
      <c r="P5" s="415"/>
    </row>
    <row r="6" spans="1:16" ht="14.4" customHeight="1" x14ac:dyDescent="0.3">
      <c r="A6" s="375" t="s">
        <v>594</v>
      </c>
      <c r="B6" s="376" t="s">
        <v>595</v>
      </c>
      <c r="C6" s="376" t="s">
        <v>596</v>
      </c>
      <c r="D6" s="376" t="s">
        <v>597</v>
      </c>
      <c r="E6" s="379">
        <v>197</v>
      </c>
      <c r="F6" s="379">
        <v>2077365</v>
      </c>
      <c r="G6" s="376">
        <v>1</v>
      </c>
      <c r="H6" s="376">
        <v>10545</v>
      </c>
      <c r="I6" s="379">
        <v>226</v>
      </c>
      <c r="J6" s="379">
        <v>2394470</v>
      </c>
      <c r="K6" s="376">
        <v>1.1526477051457014</v>
      </c>
      <c r="L6" s="376">
        <v>10595</v>
      </c>
      <c r="M6" s="379">
        <v>183</v>
      </c>
      <c r="N6" s="379">
        <v>1938885</v>
      </c>
      <c r="O6" s="398">
        <v>0.93333862850293525</v>
      </c>
      <c r="P6" s="380">
        <v>10595</v>
      </c>
    </row>
    <row r="7" spans="1:16" ht="14.4" customHeight="1" x14ac:dyDescent="0.3">
      <c r="A7" s="381" t="s">
        <v>598</v>
      </c>
      <c r="B7" s="382" t="s">
        <v>595</v>
      </c>
      <c r="C7" s="382" t="s">
        <v>599</v>
      </c>
      <c r="D7" s="382" t="s">
        <v>600</v>
      </c>
      <c r="E7" s="385">
        <v>6</v>
      </c>
      <c r="F7" s="385">
        <v>750</v>
      </c>
      <c r="G7" s="382">
        <v>1</v>
      </c>
      <c r="H7" s="382">
        <v>125</v>
      </c>
      <c r="I7" s="385">
        <v>6</v>
      </c>
      <c r="J7" s="385">
        <v>756</v>
      </c>
      <c r="K7" s="382">
        <v>1.008</v>
      </c>
      <c r="L7" s="382">
        <v>126</v>
      </c>
      <c r="M7" s="385">
        <v>2</v>
      </c>
      <c r="N7" s="385">
        <v>252</v>
      </c>
      <c r="O7" s="416">
        <v>0.33600000000000002</v>
      </c>
      <c r="P7" s="386">
        <v>126</v>
      </c>
    </row>
    <row r="8" spans="1:16" ht="14.4" customHeight="1" x14ac:dyDescent="0.3">
      <c r="A8" s="381" t="s">
        <v>598</v>
      </c>
      <c r="B8" s="382" t="s">
        <v>595</v>
      </c>
      <c r="C8" s="382" t="s">
        <v>601</v>
      </c>
      <c r="D8" s="382" t="s">
        <v>602</v>
      </c>
      <c r="E8" s="385">
        <v>8</v>
      </c>
      <c r="F8" s="385">
        <v>9736</v>
      </c>
      <c r="G8" s="382">
        <v>1</v>
      </c>
      <c r="H8" s="382">
        <v>1217</v>
      </c>
      <c r="I8" s="385">
        <v>3</v>
      </c>
      <c r="J8" s="385">
        <v>3660</v>
      </c>
      <c r="K8" s="382">
        <v>0.37592440427280199</v>
      </c>
      <c r="L8" s="382">
        <v>1220</v>
      </c>
      <c r="M8" s="385">
        <v>6</v>
      </c>
      <c r="N8" s="385">
        <v>7320</v>
      </c>
      <c r="O8" s="416">
        <v>0.75184880854560399</v>
      </c>
      <c r="P8" s="386">
        <v>1220</v>
      </c>
    </row>
    <row r="9" spans="1:16" ht="14.4" customHeight="1" x14ac:dyDescent="0.3">
      <c r="A9" s="381" t="s">
        <v>598</v>
      </c>
      <c r="B9" s="382" t="s">
        <v>595</v>
      </c>
      <c r="C9" s="382" t="s">
        <v>603</v>
      </c>
      <c r="D9" s="382" t="s">
        <v>604</v>
      </c>
      <c r="E9" s="385"/>
      <c r="F9" s="385"/>
      <c r="G9" s="382"/>
      <c r="H9" s="382"/>
      <c r="I9" s="385">
        <v>65</v>
      </c>
      <c r="J9" s="385">
        <v>143845</v>
      </c>
      <c r="K9" s="382"/>
      <c r="L9" s="382">
        <v>2213</v>
      </c>
      <c r="M9" s="385">
        <v>21</v>
      </c>
      <c r="N9" s="385">
        <v>46473</v>
      </c>
      <c r="O9" s="416"/>
      <c r="P9" s="386">
        <v>2213</v>
      </c>
    </row>
    <row r="10" spans="1:16" ht="14.4" customHeight="1" x14ac:dyDescent="0.3">
      <c r="A10" s="381" t="s">
        <v>598</v>
      </c>
      <c r="B10" s="382" t="s">
        <v>595</v>
      </c>
      <c r="C10" s="382" t="s">
        <v>605</v>
      </c>
      <c r="D10" s="382" t="s">
        <v>606</v>
      </c>
      <c r="E10" s="385">
        <v>8</v>
      </c>
      <c r="F10" s="385">
        <v>8256</v>
      </c>
      <c r="G10" s="382">
        <v>1</v>
      </c>
      <c r="H10" s="382">
        <v>1032</v>
      </c>
      <c r="I10" s="385">
        <v>11</v>
      </c>
      <c r="J10" s="385">
        <v>11385</v>
      </c>
      <c r="K10" s="382">
        <v>1.3789970930232558</v>
      </c>
      <c r="L10" s="382">
        <v>1035</v>
      </c>
      <c r="M10" s="385">
        <v>10</v>
      </c>
      <c r="N10" s="385">
        <v>10350</v>
      </c>
      <c r="O10" s="416">
        <v>1.2536337209302326</v>
      </c>
      <c r="P10" s="386">
        <v>1035</v>
      </c>
    </row>
    <row r="11" spans="1:16" ht="14.4" customHeight="1" x14ac:dyDescent="0.3">
      <c r="A11" s="381" t="s">
        <v>598</v>
      </c>
      <c r="B11" s="382" t="s">
        <v>595</v>
      </c>
      <c r="C11" s="382" t="s">
        <v>607</v>
      </c>
      <c r="D11" s="382" t="s">
        <v>608</v>
      </c>
      <c r="E11" s="385">
        <v>31</v>
      </c>
      <c r="F11" s="385">
        <v>114359</v>
      </c>
      <c r="G11" s="382">
        <v>1</v>
      </c>
      <c r="H11" s="382">
        <v>3689</v>
      </c>
      <c r="I11" s="385">
        <v>22</v>
      </c>
      <c r="J11" s="385">
        <v>81356</v>
      </c>
      <c r="K11" s="382">
        <v>0.71140880910116389</v>
      </c>
      <c r="L11" s="382">
        <v>3698</v>
      </c>
      <c r="M11" s="385">
        <v>15</v>
      </c>
      <c r="N11" s="385">
        <v>55470</v>
      </c>
      <c r="O11" s="416">
        <v>0.48505146075079353</v>
      </c>
      <c r="P11" s="386">
        <v>3698</v>
      </c>
    </row>
    <row r="12" spans="1:16" ht="14.4" customHeight="1" x14ac:dyDescent="0.3">
      <c r="A12" s="381" t="s">
        <v>598</v>
      </c>
      <c r="B12" s="382" t="s">
        <v>595</v>
      </c>
      <c r="C12" s="382" t="s">
        <v>609</v>
      </c>
      <c r="D12" s="382" t="s">
        <v>610</v>
      </c>
      <c r="E12" s="385">
        <v>20</v>
      </c>
      <c r="F12" s="385">
        <v>8740</v>
      </c>
      <c r="G12" s="382">
        <v>1</v>
      </c>
      <c r="H12" s="382">
        <v>437</v>
      </c>
      <c r="I12" s="385">
        <v>2</v>
      </c>
      <c r="J12" s="385">
        <v>876</v>
      </c>
      <c r="K12" s="382">
        <v>0.10022883295194508</v>
      </c>
      <c r="L12" s="382">
        <v>438</v>
      </c>
      <c r="M12" s="385">
        <v>194</v>
      </c>
      <c r="N12" s="385">
        <v>84972</v>
      </c>
      <c r="O12" s="416">
        <v>9.7221967963386735</v>
      </c>
      <c r="P12" s="386">
        <v>438</v>
      </c>
    </row>
    <row r="13" spans="1:16" ht="14.4" customHeight="1" x14ac:dyDescent="0.3">
      <c r="A13" s="381" t="s">
        <v>598</v>
      </c>
      <c r="B13" s="382" t="s">
        <v>595</v>
      </c>
      <c r="C13" s="382" t="s">
        <v>611</v>
      </c>
      <c r="D13" s="382" t="s">
        <v>612</v>
      </c>
      <c r="E13" s="385">
        <v>31</v>
      </c>
      <c r="F13" s="385">
        <v>25761</v>
      </c>
      <c r="G13" s="382">
        <v>1</v>
      </c>
      <c r="H13" s="382">
        <v>831</v>
      </c>
      <c r="I13" s="385">
        <v>3</v>
      </c>
      <c r="J13" s="385">
        <v>2496</v>
      </c>
      <c r="K13" s="382">
        <v>9.6890648654943526E-2</v>
      </c>
      <c r="L13" s="382">
        <v>832</v>
      </c>
      <c r="M13" s="385">
        <v>8</v>
      </c>
      <c r="N13" s="385">
        <v>6656</v>
      </c>
      <c r="O13" s="416">
        <v>0.25837506307984937</v>
      </c>
      <c r="P13" s="386">
        <v>832</v>
      </c>
    </row>
    <row r="14" spans="1:16" ht="14.4" customHeight="1" x14ac:dyDescent="0.3">
      <c r="A14" s="381" t="s">
        <v>598</v>
      </c>
      <c r="B14" s="382" t="s">
        <v>595</v>
      </c>
      <c r="C14" s="382" t="s">
        <v>613</v>
      </c>
      <c r="D14" s="382" t="s">
        <v>614</v>
      </c>
      <c r="E14" s="385">
        <v>1</v>
      </c>
      <c r="F14" s="385">
        <v>1610</v>
      </c>
      <c r="G14" s="382">
        <v>1</v>
      </c>
      <c r="H14" s="382">
        <v>1610</v>
      </c>
      <c r="I14" s="385"/>
      <c r="J14" s="385"/>
      <c r="K14" s="382"/>
      <c r="L14" s="382"/>
      <c r="M14" s="385">
        <v>20</v>
      </c>
      <c r="N14" s="385">
        <v>32260</v>
      </c>
      <c r="O14" s="416">
        <v>20.037267080745341</v>
      </c>
      <c r="P14" s="386">
        <v>1613</v>
      </c>
    </row>
    <row r="15" spans="1:16" ht="14.4" customHeight="1" x14ac:dyDescent="0.3">
      <c r="A15" s="381" t="s">
        <v>598</v>
      </c>
      <c r="B15" s="382" t="s">
        <v>595</v>
      </c>
      <c r="C15" s="382" t="s">
        <v>615</v>
      </c>
      <c r="D15" s="382" t="s">
        <v>616</v>
      </c>
      <c r="E15" s="385">
        <v>1</v>
      </c>
      <c r="F15" s="385">
        <v>1531</v>
      </c>
      <c r="G15" s="382">
        <v>1</v>
      </c>
      <c r="H15" s="382">
        <v>1531</v>
      </c>
      <c r="I15" s="385">
        <v>3</v>
      </c>
      <c r="J15" s="385">
        <v>4611</v>
      </c>
      <c r="K15" s="382">
        <v>3.0117570215545397</v>
      </c>
      <c r="L15" s="382">
        <v>1537</v>
      </c>
      <c r="M15" s="385"/>
      <c r="N15" s="385"/>
      <c r="O15" s="416"/>
      <c r="P15" s="386"/>
    </row>
    <row r="16" spans="1:16" ht="14.4" customHeight="1" x14ac:dyDescent="0.3">
      <c r="A16" s="381" t="s">
        <v>598</v>
      </c>
      <c r="B16" s="382" t="s">
        <v>595</v>
      </c>
      <c r="C16" s="382" t="s">
        <v>617</v>
      </c>
      <c r="D16" s="382" t="s">
        <v>618</v>
      </c>
      <c r="E16" s="385"/>
      <c r="F16" s="385"/>
      <c r="G16" s="382"/>
      <c r="H16" s="382"/>
      <c r="I16" s="385">
        <v>45</v>
      </c>
      <c r="J16" s="385">
        <v>36855</v>
      </c>
      <c r="K16" s="382"/>
      <c r="L16" s="382">
        <v>819</v>
      </c>
      <c r="M16" s="385">
        <v>4</v>
      </c>
      <c r="N16" s="385">
        <v>3276</v>
      </c>
      <c r="O16" s="416"/>
      <c r="P16" s="386">
        <v>819</v>
      </c>
    </row>
    <row r="17" spans="1:16" ht="14.4" customHeight="1" x14ac:dyDescent="0.3">
      <c r="A17" s="381" t="s">
        <v>598</v>
      </c>
      <c r="B17" s="382" t="s">
        <v>595</v>
      </c>
      <c r="C17" s="382" t="s">
        <v>619</v>
      </c>
      <c r="D17" s="382" t="s">
        <v>620</v>
      </c>
      <c r="E17" s="385">
        <v>26</v>
      </c>
      <c r="F17" s="385">
        <v>37466</v>
      </c>
      <c r="G17" s="382">
        <v>1</v>
      </c>
      <c r="H17" s="382">
        <v>1441</v>
      </c>
      <c r="I17" s="385">
        <v>36</v>
      </c>
      <c r="J17" s="385">
        <v>52092</v>
      </c>
      <c r="K17" s="382">
        <v>1.3903806117546575</v>
      </c>
      <c r="L17" s="382">
        <v>1447</v>
      </c>
      <c r="M17" s="385">
        <v>18</v>
      </c>
      <c r="N17" s="385">
        <v>26046</v>
      </c>
      <c r="O17" s="416">
        <v>0.69519030587732877</v>
      </c>
      <c r="P17" s="386">
        <v>1447</v>
      </c>
    </row>
    <row r="18" spans="1:16" ht="14.4" customHeight="1" x14ac:dyDescent="0.3">
      <c r="A18" s="381" t="s">
        <v>598</v>
      </c>
      <c r="B18" s="382" t="s">
        <v>595</v>
      </c>
      <c r="C18" s="382" t="s">
        <v>621</v>
      </c>
      <c r="D18" s="382" t="s">
        <v>622</v>
      </c>
      <c r="E18" s="385"/>
      <c r="F18" s="385"/>
      <c r="G18" s="382"/>
      <c r="H18" s="382"/>
      <c r="I18" s="385">
        <v>1</v>
      </c>
      <c r="J18" s="385">
        <v>3078</v>
      </c>
      <c r="K18" s="382"/>
      <c r="L18" s="382">
        <v>3078</v>
      </c>
      <c r="M18" s="385"/>
      <c r="N18" s="385"/>
      <c r="O18" s="416"/>
      <c r="P18" s="386"/>
    </row>
    <row r="19" spans="1:16" ht="14.4" customHeight="1" x14ac:dyDescent="0.3">
      <c r="A19" s="381" t="s">
        <v>598</v>
      </c>
      <c r="B19" s="382" t="s">
        <v>595</v>
      </c>
      <c r="C19" s="382" t="s">
        <v>623</v>
      </c>
      <c r="D19" s="382" t="s">
        <v>624</v>
      </c>
      <c r="E19" s="385">
        <v>23</v>
      </c>
      <c r="F19" s="385">
        <v>368</v>
      </c>
      <c r="G19" s="382">
        <v>1</v>
      </c>
      <c r="H19" s="382">
        <v>16</v>
      </c>
      <c r="I19" s="385">
        <v>69</v>
      </c>
      <c r="J19" s="385">
        <v>1104</v>
      </c>
      <c r="K19" s="382">
        <v>3</v>
      </c>
      <c r="L19" s="382">
        <v>16</v>
      </c>
      <c r="M19" s="385">
        <v>29</v>
      </c>
      <c r="N19" s="385">
        <v>464</v>
      </c>
      <c r="O19" s="416">
        <v>1.2608695652173914</v>
      </c>
      <c r="P19" s="386">
        <v>16</v>
      </c>
    </row>
    <row r="20" spans="1:16" ht="14.4" customHeight="1" x14ac:dyDescent="0.3">
      <c r="A20" s="381" t="s">
        <v>598</v>
      </c>
      <c r="B20" s="382" t="s">
        <v>595</v>
      </c>
      <c r="C20" s="382" t="s">
        <v>625</v>
      </c>
      <c r="D20" s="382" t="s">
        <v>610</v>
      </c>
      <c r="E20" s="385">
        <v>20</v>
      </c>
      <c r="F20" s="385">
        <v>13700</v>
      </c>
      <c r="G20" s="382">
        <v>1</v>
      </c>
      <c r="H20" s="382">
        <v>685</v>
      </c>
      <c r="I20" s="385">
        <v>73</v>
      </c>
      <c r="J20" s="385">
        <v>50224</v>
      </c>
      <c r="K20" s="382">
        <v>3.6659854014598539</v>
      </c>
      <c r="L20" s="382">
        <v>688</v>
      </c>
      <c r="M20" s="385">
        <v>37</v>
      </c>
      <c r="N20" s="385">
        <v>25456</v>
      </c>
      <c r="O20" s="416">
        <v>1.8581021897810219</v>
      </c>
      <c r="P20" s="386">
        <v>688</v>
      </c>
    </row>
    <row r="21" spans="1:16" ht="14.4" customHeight="1" x14ac:dyDescent="0.3">
      <c r="A21" s="381" t="s">
        <v>598</v>
      </c>
      <c r="B21" s="382" t="s">
        <v>595</v>
      </c>
      <c r="C21" s="382" t="s">
        <v>626</v>
      </c>
      <c r="D21" s="382" t="s">
        <v>612</v>
      </c>
      <c r="E21" s="385">
        <v>40</v>
      </c>
      <c r="F21" s="385">
        <v>54840</v>
      </c>
      <c r="G21" s="382">
        <v>1</v>
      </c>
      <c r="H21" s="382">
        <v>1371</v>
      </c>
      <c r="I21" s="385">
        <v>34</v>
      </c>
      <c r="J21" s="385">
        <v>46750</v>
      </c>
      <c r="K21" s="382">
        <v>0.85247994164843177</v>
      </c>
      <c r="L21" s="382">
        <v>1375</v>
      </c>
      <c r="M21" s="385">
        <v>26</v>
      </c>
      <c r="N21" s="385">
        <v>35750</v>
      </c>
      <c r="O21" s="416">
        <v>0.65189642596644781</v>
      </c>
      <c r="P21" s="386">
        <v>1375</v>
      </c>
    </row>
    <row r="22" spans="1:16" ht="14.4" customHeight="1" x14ac:dyDescent="0.3">
      <c r="A22" s="381" t="s">
        <v>598</v>
      </c>
      <c r="B22" s="382" t="s">
        <v>595</v>
      </c>
      <c r="C22" s="382" t="s">
        <v>627</v>
      </c>
      <c r="D22" s="382" t="s">
        <v>628</v>
      </c>
      <c r="E22" s="385">
        <v>22</v>
      </c>
      <c r="F22" s="385">
        <v>50820</v>
      </c>
      <c r="G22" s="382">
        <v>1</v>
      </c>
      <c r="H22" s="382">
        <v>2310</v>
      </c>
      <c r="I22" s="385">
        <v>21</v>
      </c>
      <c r="J22" s="385">
        <v>48699</v>
      </c>
      <c r="K22" s="382">
        <v>0.95826446280991739</v>
      </c>
      <c r="L22" s="382">
        <v>2319</v>
      </c>
      <c r="M22" s="385">
        <v>11</v>
      </c>
      <c r="N22" s="385">
        <v>25509</v>
      </c>
      <c r="O22" s="416">
        <v>0.50194805194805192</v>
      </c>
      <c r="P22" s="386">
        <v>2319</v>
      </c>
    </row>
    <row r="23" spans="1:16" ht="14.4" customHeight="1" x14ac:dyDescent="0.3">
      <c r="A23" s="381" t="s">
        <v>598</v>
      </c>
      <c r="B23" s="382" t="s">
        <v>595</v>
      </c>
      <c r="C23" s="382" t="s">
        <v>629</v>
      </c>
      <c r="D23" s="382" t="s">
        <v>630</v>
      </c>
      <c r="E23" s="385">
        <v>30</v>
      </c>
      <c r="F23" s="385">
        <v>1950</v>
      </c>
      <c r="G23" s="382">
        <v>1</v>
      </c>
      <c r="H23" s="382">
        <v>65</v>
      </c>
      <c r="I23" s="385">
        <v>75</v>
      </c>
      <c r="J23" s="385">
        <v>4875</v>
      </c>
      <c r="K23" s="382">
        <v>2.5</v>
      </c>
      <c r="L23" s="382">
        <v>65</v>
      </c>
      <c r="M23" s="385">
        <v>236</v>
      </c>
      <c r="N23" s="385">
        <v>15340</v>
      </c>
      <c r="O23" s="416">
        <v>7.8666666666666663</v>
      </c>
      <c r="P23" s="386">
        <v>65</v>
      </c>
    </row>
    <row r="24" spans="1:16" ht="14.4" customHeight="1" x14ac:dyDescent="0.3">
      <c r="A24" s="381" t="s">
        <v>598</v>
      </c>
      <c r="B24" s="382" t="s">
        <v>595</v>
      </c>
      <c r="C24" s="382" t="s">
        <v>631</v>
      </c>
      <c r="D24" s="382" t="s">
        <v>632</v>
      </c>
      <c r="E24" s="385">
        <v>26</v>
      </c>
      <c r="F24" s="385">
        <v>10244</v>
      </c>
      <c r="G24" s="382">
        <v>1</v>
      </c>
      <c r="H24" s="382">
        <v>394</v>
      </c>
      <c r="I24" s="385">
        <v>36</v>
      </c>
      <c r="J24" s="385">
        <v>14256</v>
      </c>
      <c r="K24" s="382">
        <v>1.391643889105818</v>
      </c>
      <c r="L24" s="382">
        <v>396</v>
      </c>
      <c r="M24" s="385">
        <v>18</v>
      </c>
      <c r="N24" s="385">
        <v>7128</v>
      </c>
      <c r="O24" s="416">
        <v>0.69582194455290902</v>
      </c>
      <c r="P24" s="386">
        <v>396</v>
      </c>
    </row>
    <row r="25" spans="1:16" ht="14.4" customHeight="1" x14ac:dyDescent="0.3">
      <c r="A25" s="381" t="s">
        <v>598</v>
      </c>
      <c r="B25" s="382" t="s">
        <v>595</v>
      </c>
      <c r="C25" s="382" t="s">
        <v>633</v>
      </c>
      <c r="D25" s="382" t="s">
        <v>634</v>
      </c>
      <c r="E25" s="385">
        <v>14</v>
      </c>
      <c r="F25" s="385">
        <v>22358</v>
      </c>
      <c r="G25" s="382">
        <v>1</v>
      </c>
      <c r="H25" s="382">
        <v>1597</v>
      </c>
      <c r="I25" s="385">
        <v>1</v>
      </c>
      <c r="J25" s="385">
        <v>1601</v>
      </c>
      <c r="K25" s="382">
        <v>7.1607478307540925E-2</v>
      </c>
      <c r="L25" s="382">
        <v>1601</v>
      </c>
      <c r="M25" s="385">
        <v>10</v>
      </c>
      <c r="N25" s="385">
        <v>16010</v>
      </c>
      <c r="O25" s="416">
        <v>0.71607478307540928</v>
      </c>
      <c r="P25" s="386">
        <v>1601</v>
      </c>
    </row>
    <row r="26" spans="1:16" ht="14.4" customHeight="1" x14ac:dyDescent="0.3">
      <c r="A26" s="381" t="s">
        <v>598</v>
      </c>
      <c r="B26" s="382" t="s">
        <v>595</v>
      </c>
      <c r="C26" s="382" t="s">
        <v>635</v>
      </c>
      <c r="D26" s="382" t="s">
        <v>636</v>
      </c>
      <c r="E26" s="385">
        <v>80</v>
      </c>
      <c r="F26" s="385">
        <v>43920</v>
      </c>
      <c r="G26" s="382">
        <v>1</v>
      </c>
      <c r="H26" s="382">
        <v>549</v>
      </c>
      <c r="I26" s="385">
        <v>107</v>
      </c>
      <c r="J26" s="385">
        <v>58850</v>
      </c>
      <c r="K26" s="382">
        <v>1.3399362477231329</v>
      </c>
      <c r="L26" s="382">
        <v>550</v>
      </c>
      <c r="M26" s="385">
        <v>46</v>
      </c>
      <c r="N26" s="385">
        <v>25300</v>
      </c>
      <c r="O26" s="416">
        <v>0.57604735883424407</v>
      </c>
      <c r="P26" s="386">
        <v>550</v>
      </c>
    </row>
    <row r="27" spans="1:16" ht="14.4" customHeight="1" x14ac:dyDescent="0.3">
      <c r="A27" s="381" t="s">
        <v>598</v>
      </c>
      <c r="B27" s="382" t="s">
        <v>595</v>
      </c>
      <c r="C27" s="382" t="s">
        <v>637</v>
      </c>
      <c r="D27" s="382" t="s">
        <v>638</v>
      </c>
      <c r="E27" s="385"/>
      <c r="F27" s="385"/>
      <c r="G27" s="382"/>
      <c r="H27" s="382"/>
      <c r="I27" s="385">
        <v>1</v>
      </c>
      <c r="J27" s="385">
        <v>1234</v>
      </c>
      <c r="K27" s="382"/>
      <c r="L27" s="382">
        <v>1234</v>
      </c>
      <c r="M27" s="385"/>
      <c r="N27" s="385"/>
      <c r="O27" s="416"/>
      <c r="P27" s="386"/>
    </row>
    <row r="28" spans="1:16" ht="14.4" customHeight="1" x14ac:dyDescent="0.3">
      <c r="A28" s="381" t="s">
        <v>598</v>
      </c>
      <c r="B28" s="382" t="s">
        <v>595</v>
      </c>
      <c r="C28" s="382" t="s">
        <v>639</v>
      </c>
      <c r="D28" s="382" t="s">
        <v>640</v>
      </c>
      <c r="E28" s="385"/>
      <c r="F28" s="385"/>
      <c r="G28" s="382"/>
      <c r="H28" s="382"/>
      <c r="I28" s="385"/>
      <c r="J28" s="385"/>
      <c r="K28" s="382"/>
      <c r="L28" s="382"/>
      <c r="M28" s="385">
        <v>46</v>
      </c>
      <c r="N28" s="385">
        <v>1610</v>
      </c>
      <c r="O28" s="416"/>
      <c r="P28" s="386">
        <v>35</v>
      </c>
    </row>
    <row r="29" spans="1:16" ht="14.4" customHeight="1" x14ac:dyDescent="0.3">
      <c r="A29" s="381" t="s">
        <v>598</v>
      </c>
      <c r="B29" s="382" t="s">
        <v>595</v>
      </c>
      <c r="C29" s="382" t="s">
        <v>641</v>
      </c>
      <c r="D29" s="382" t="s">
        <v>642</v>
      </c>
      <c r="E29" s="385">
        <v>1</v>
      </c>
      <c r="F29" s="385">
        <v>121</v>
      </c>
      <c r="G29" s="382">
        <v>1</v>
      </c>
      <c r="H29" s="382">
        <v>121</v>
      </c>
      <c r="I29" s="385"/>
      <c r="J29" s="385"/>
      <c r="K29" s="382"/>
      <c r="L29" s="382"/>
      <c r="M29" s="385">
        <v>7</v>
      </c>
      <c r="N29" s="385">
        <v>854</v>
      </c>
      <c r="O29" s="416">
        <v>7.0578512396694215</v>
      </c>
      <c r="P29" s="386">
        <v>122</v>
      </c>
    </row>
    <row r="30" spans="1:16" ht="14.4" customHeight="1" x14ac:dyDescent="0.3">
      <c r="A30" s="381" t="s">
        <v>598</v>
      </c>
      <c r="B30" s="382" t="s">
        <v>595</v>
      </c>
      <c r="C30" s="382" t="s">
        <v>643</v>
      </c>
      <c r="D30" s="382" t="s">
        <v>644</v>
      </c>
      <c r="E30" s="385">
        <v>134</v>
      </c>
      <c r="F30" s="385">
        <v>56950</v>
      </c>
      <c r="G30" s="382">
        <v>1</v>
      </c>
      <c r="H30" s="382">
        <v>425</v>
      </c>
      <c r="I30" s="385">
        <v>146</v>
      </c>
      <c r="J30" s="385">
        <v>62050</v>
      </c>
      <c r="K30" s="382">
        <v>1.0895522388059702</v>
      </c>
      <c r="L30" s="382">
        <v>425</v>
      </c>
      <c r="M30" s="385">
        <v>167</v>
      </c>
      <c r="N30" s="385">
        <v>70975</v>
      </c>
      <c r="O30" s="416">
        <v>1.2462686567164178</v>
      </c>
      <c r="P30" s="386">
        <v>425</v>
      </c>
    </row>
    <row r="31" spans="1:16" ht="14.4" customHeight="1" x14ac:dyDescent="0.3">
      <c r="A31" s="381" t="s">
        <v>598</v>
      </c>
      <c r="B31" s="382" t="s">
        <v>595</v>
      </c>
      <c r="C31" s="382" t="s">
        <v>645</v>
      </c>
      <c r="D31" s="382" t="s">
        <v>646</v>
      </c>
      <c r="E31" s="385">
        <v>7</v>
      </c>
      <c r="F31" s="385">
        <v>8400</v>
      </c>
      <c r="G31" s="382">
        <v>1</v>
      </c>
      <c r="H31" s="382">
        <v>1200</v>
      </c>
      <c r="I31" s="385">
        <v>2</v>
      </c>
      <c r="J31" s="385">
        <v>2406</v>
      </c>
      <c r="K31" s="382">
        <v>0.28642857142857142</v>
      </c>
      <c r="L31" s="382">
        <v>1203</v>
      </c>
      <c r="M31" s="385">
        <v>2</v>
      </c>
      <c r="N31" s="385">
        <v>2406</v>
      </c>
      <c r="O31" s="416">
        <v>0.28642857142857142</v>
      </c>
      <c r="P31" s="386">
        <v>1203</v>
      </c>
    </row>
    <row r="32" spans="1:16" ht="14.4" customHeight="1" x14ac:dyDescent="0.3">
      <c r="A32" s="381" t="s">
        <v>598</v>
      </c>
      <c r="B32" s="382" t="s">
        <v>595</v>
      </c>
      <c r="C32" s="382" t="s">
        <v>647</v>
      </c>
      <c r="D32" s="382" t="s">
        <v>606</v>
      </c>
      <c r="E32" s="385">
        <v>8</v>
      </c>
      <c r="F32" s="385">
        <v>7296</v>
      </c>
      <c r="G32" s="382">
        <v>1</v>
      </c>
      <c r="H32" s="382">
        <v>912</v>
      </c>
      <c r="I32" s="385">
        <v>2</v>
      </c>
      <c r="J32" s="385">
        <v>1830</v>
      </c>
      <c r="K32" s="382">
        <v>0.25082236842105265</v>
      </c>
      <c r="L32" s="382">
        <v>915</v>
      </c>
      <c r="M32" s="385">
        <v>2</v>
      </c>
      <c r="N32" s="385">
        <v>1830</v>
      </c>
      <c r="O32" s="416">
        <v>0.25082236842105265</v>
      </c>
      <c r="P32" s="386">
        <v>915</v>
      </c>
    </row>
    <row r="33" spans="1:16" ht="14.4" customHeight="1" x14ac:dyDescent="0.3">
      <c r="A33" s="381" t="s">
        <v>598</v>
      </c>
      <c r="B33" s="382" t="s">
        <v>595</v>
      </c>
      <c r="C33" s="382" t="s">
        <v>648</v>
      </c>
      <c r="D33" s="382" t="s">
        <v>649</v>
      </c>
      <c r="E33" s="385">
        <v>1</v>
      </c>
      <c r="F33" s="385">
        <v>1604</v>
      </c>
      <c r="G33" s="382">
        <v>1</v>
      </c>
      <c r="H33" s="382">
        <v>1604</v>
      </c>
      <c r="I33" s="385"/>
      <c r="J33" s="385"/>
      <c r="K33" s="382"/>
      <c r="L33" s="382"/>
      <c r="M33" s="385">
        <v>21</v>
      </c>
      <c r="N33" s="385">
        <v>33747</v>
      </c>
      <c r="O33" s="416">
        <v>21.039276807980048</v>
      </c>
      <c r="P33" s="386">
        <v>1607</v>
      </c>
    </row>
    <row r="34" spans="1:16" ht="14.4" customHeight="1" thickBot="1" x14ac:dyDescent="0.35">
      <c r="A34" s="387" t="s">
        <v>598</v>
      </c>
      <c r="B34" s="388" t="s">
        <v>595</v>
      </c>
      <c r="C34" s="388" t="s">
        <v>650</v>
      </c>
      <c r="D34" s="388" t="s">
        <v>642</v>
      </c>
      <c r="E34" s="391">
        <v>1</v>
      </c>
      <c r="F34" s="391">
        <v>225</v>
      </c>
      <c r="G34" s="388">
        <v>1</v>
      </c>
      <c r="H34" s="388">
        <v>225</v>
      </c>
      <c r="I34" s="391">
        <v>2</v>
      </c>
      <c r="J34" s="391">
        <v>452</v>
      </c>
      <c r="K34" s="388">
        <v>2.0088888888888889</v>
      </c>
      <c r="L34" s="388">
        <v>226</v>
      </c>
      <c r="M34" s="391">
        <v>1</v>
      </c>
      <c r="N34" s="391">
        <v>226</v>
      </c>
      <c r="O34" s="401">
        <v>1.0044444444444445</v>
      </c>
      <c r="P34" s="392">
        <v>226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0" bestFit="1" customWidth="1"/>
    <col min="2" max="2" width="7.77734375" style="86" customWidth="1"/>
    <col min="3" max="3" width="0.109375" style="110" hidden="1" customWidth="1"/>
    <col min="4" max="4" width="7.77734375" style="86" customWidth="1"/>
    <col min="5" max="5" width="5.44140625" style="110" hidden="1" customWidth="1"/>
    <col min="6" max="6" width="7.77734375" style="86" customWidth="1"/>
    <col min="7" max="7" width="7.77734375" style="189" customWidth="1"/>
    <col min="8" max="8" width="7.77734375" style="86" customWidth="1"/>
    <col min="9" max="9" width="5.44140625" style="110" hidden="1" customWidth="1"/>
    <col min="10" max="10" width="7.77734375" style="86" customWidth="1"/>
    <col min="11" max="11" width="5.44140625" style="110" hidden="1" customWidth="1"/>
    <col min="12" max="12" width="7.77734375" style="86" customWidth="1"/>
    <col min="13" max="13" width="7.77734375" style="189" customWidth="1"/>
    <col min="14" max="14" width="7.77734375" style="86" customWidth="1"/>
    <col min="15" max="15" width="5" style="110" hidden="1" customWidth="1"/>
    <col min="16" max="16" width="7.77734375" style="86" customWidth="1"/>
    <col min="17" max="17" width="5" style="110" hidden="1" customWidth="1"/>
    <col min="18" max="18" width="7.77734375" style="86" customWidth="1"/>
    <col min="19" max="19" width="7.77734375" style="189" customWidth="1"/>
    <col min="20" max="16384" width="8.88671875" style="110"/>
  </cols>
  <sheetData>
    <row r="1" spans="1:19" ht="18.600000000000001" customHeight="1" thickBot="1" x14ac:dyDescent="0.4">
      <c r="A1" s="292" t="s">
        <v>115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207" t="s">
        <v>214</v>
      </c>
      <c r="B2" s="199"/>
      <c r="C2" s="91"/>
      <c r="D2" s="199"/>
      <c r="E2" s="91"/>
      <c r="F2" s="199"/>
      <c r="G2" s="200"/>
      <c r="H2" s="199"/>
      <c r="I2" s="91"/>
      <c r="J2" s="199"/>
      <c r="K2" s="91"/>
      <c r="L2" s="199"/>
      <c r="M2" s="200"/>
      <c r="N2" s="199"/>
      <c r="O2" s="91"/>
      <c r="P2" s="199"/>
      <c r="Q2" s="91"/>
      <c r="R2" s="199"/>
      <c r="S2" s="200"/>
    </row>
    <row r="3" spans="1:19" ht="14.4" customHeight="1" thickBot="1" x14ac:dyDescent="0.35">
      <c r="A3" s="193" t="s">
        <v>116</v>
      </c>
      <c r="B3" s="194">
        <f>SUBTOTAL(9,B6:B1048576)</f>
        <v>373302</v>
      </c>
      <c r="C3" s="195">
        <f t="shared" ref="C3:R3" si="0">SUBTOTAL(9,C6:C1048576)</f>
        <v>11</v>
      </c>
      <c r="D3" s="195">
        <f t="shared" si="0"/>
        <v>513926</v>
      </c>
      <c r="E3" s="195">
        <f t="shared" si="0"/>
        <v>19.94055870157564</v>
      </c>
      <c r="F3" s="195">
        <f t="shared" si="0"/>
        <v>568853</v>
      </c>
      <c r="G3" s="198">
        <f>IF(B3&lt;&gt;0,F3/B3,"")</f>
        <v>1.5238412866794178</v>
      </c>
      <c r="H3" s="194">
        <f t="shared" si="0"/>
        <v>0</v>
      </c>
      <c r="I3" s="195">
        <f t="shared" si="0"/>
        <v>0</v>
      </c>
      <c r="J3" s="195">
        <f t="shared" si="0"/>
        <v>0</v>
      </c>
      <c r="K3" s="195">
        <f t="shared" si="0"/>
        <v>0</v>
      </c>
      <c r="L3" s="195">
        <f t="shared" si="0"/>
        <v>0</v>
      </c>
      <c r="M3" s="196" t="str">
        <f>IF(H3&lt;&gt;0,L3/H3,"")</f>
        <v/>
      </c>
      <c r="N3" s="197">
        <f t="shared" si="0"/>
        <v>0</v>
      </c>
      <c r="O3" s="195">
        <f t="shared" si="0"/>
        <v>0</v>
      </c>
      <c r="P3" s="195">
        <f t="shared" si="0"/>
        <v>0</v>
      </c>
      <c r="Q3" s="195">
        <f t="shared" si="0"/>
        <v>0</v>
      </c>
      <c r="R3" s="195">
        <f t="shared" si="0"/>
        <v>0</v>
      </c>
      <c r="S3" s="196" t="str">
        <f>IF(N3&lt;&gt;0,R3/N3,"")</f>
        <v/>
      </c>
    </row>
    <row r="4" spans="1:19" ht="14.4" customHeight="1" x14ac:dyDescent="0.3">
      <c r="A4" s="322" t="s">
        <v>95</v>
      </c>
      <c r="B4" s="323" t="s">
        <v>89</v>
      </c>
      <c r="C4" s="324"/>
      <c r="D4" s="324"/>
      <c r="E4" s="324"/>
      <c r="F4" s="324"/>
      <c r="G4" s="325"/>
      <c r="H4" s="323" t="s">
        <v>90</v>
      </c>
      <c r="I4" s="324"/>
      <c r="J4" s="324"/>
      <c r="K4" s="324"/>
      <c r="L4" s="324"/>
      <c r="M4" s="325"/>
      <c r="N4" s="323" t="s">
        <v>91</v>
      </c>
      <c r="O4" s="324"/>
      <c r="P4" s="324"/>
      <c r="Q4" s="324"/>
      <c r="R4" s="324"/>
      <c r="S4" s="325"/>
    </row>
    <row r="5" spans="1:19" ht="14.4" customHeight="1" thickBot="1" x14ac:dyDescent="0.35">
      <c r="A5" s="393"/>
      <c r="B5" s="394">
        <v>2012</v>
      </c>
      <c r="C5" s="395"/>
      <c r="D5" s="395">
        <v>2013</v>
      </c>
      <c r="E5" s="395"/>
      <c r="F5" s="395">
        <v>2014</v>
      </c>
      <c r="G5" s="396" t="s">
        <v>5</v>
      </c>
      <c r="H5" s="394">
        <v>2012</v>
      </c>
      <c r="I5" s="395"/>
      <c r="J5" s="395">
        <v>2013</v>
      </c>
      <c r="K5" s="395"/>
      <c r="L5" s="395">
        <v>2014</v>
      </c>
      <c r="M5" s="396" t="s">
        <v>5</v>
      </c>
      <c r="N5" s="394">
        <v>2012</v>
      </c>
      <c r="O5" s="395"/>
      <c r="P5" s="395">
        <v>2013</v>
      </c>
      <c r="Q5" s="395"/>
      <c r="R5" s="395">
        <v>2014</v>
      </c>
      <c r="S5" s="396" t="s">
        <v>5</v>
      </c>
    </row>
    <row r="6" spans="1:19" ht="14.4" customHeight="1" x14ac:dyDescent="0.3">
      <c r="A6" s="403" t="s">
        <v>652</v>
      </c>
      <c r="B6" s="397">
        <v>3947</v>
      </c>
      <c r="C6" s="376">
        <v>1</v>
      </c>
      <c r="D6" s="397"/>
      <c r="E6" s="376"/>
      <c r="F6" s="397">
        <v>47201</v>
      </c>
      <c r="G6" s="398">
        <v>11.958702812262478</v>
      </c>
      <c r="H6" s="397"/>
      <c r="I6" s="376"/>
      <c r="J6" s="397"/>
      <c r="K6" s="376"/>
      <c r="L6" s="397"/>
      <c r="M6" s="398"/>
      <c r="N6" s="397"/>
      <c r="O6" s="376"/>
      <c r="P6" s="397"/>
      <c r="Q6" s="376"/>
      <c r="R6" s="397"/>
      <c r="S6" s="399"/>
    </row>
    <row r="7" spans="1:19" ht="14.4" customHeight="1" x14ac:dyDescent="0.3">
      <c r="A7" s="419" t="s">
        <v>653</v>
      </c>
      <c r="B7" s="417">
        <v>109452</v>
      </c>
      <c r="C7" s="382">
        <v>1</v>
      </c>
      <c r="D7" s="417">
        <v>35000</v>
      </c>
      <c r="E7" s="382">
        <v>0.3197748784855462</v>
      </c>
      <c r="F7" s="417">
        <v>28947</v>
      </c>
      <c r="G7" s="416">
        <v>0.26447209735774585</v>
      </c>
      <c r="H7" s="417"/>
      <c r="I7" s="382"/>
      <c r="J7" s="417"/>
      <c r="K7" s="382"/>
      <c r="L7" s="417"/>
      <c r="M7" s="416"/>
      <c r="N7" s="417"/>
      <c r="O7" s="382"/>
      <c r="P7" s="417"/>
      <c r="Q7" s="382"/>
      <c r="R7" s="417"/>
      <c r="S7" s="418"/>
    </row>
    <row r="8" spans="1:19" ht="14.4" customHeight="1" x14ac:dyDescent="0.3">
      <c r="A8" s="419" t="s">
        <v>654</v>
      </c>
      <c r="B8" s="417">
        <v>102886</v>
      </c>
      <c r="C8" s="382">
        <v>1</v>
      </c>
      <c r="D8" s="417">
        <v>108061</v>
      </c>
      <c r="E8" s="382">
        <v>1.0502983885076687</v>
      </c>
      <c r="F8" s="417">
        <v>90588</v>
      </c>
      <c r="G8" s="416">
        <v>0.88046964601597888</v>
      </c>
      <c r="H8" s="417"/>
      <c r="I8" s="382"/>
      <c r="J8" s="417"/>
      <c r="K8" s="382"/>
      <c r="L8" s="417"/>
      <c r="M8" s="416"/>
      <c r="N8" s="417"/>
      <c r="O8" s="382"/>
      <c r="P8" s="417"/>
      <c r="Q8" s="382"/>
      <c r="R8" s="417"/>
      <c r="S8" s="418"/>
    </row>
    <row r="9" spans="1:19" ht="14.4" customHeight="1" x14ac:dyDescent="0.3">
      <c r="A9" s="419" t="s">
        <v>655</v>
      </c>
      <c r="B9" s="417">
        <v>10872</v>
      </c>
      <c r="C9" s="382">
        <v>1</v>
      </c>
      <c r="D9" s="417">
        <v>29435</v>
      </c>
      <c r="E9" s="382">
        <v>2.7074135393671819</v>
      </c>
      <c r="F9" s="417">
        <v>26546</v>
      </c>
      <c r="G9" s="416">
        <v>2.4416850625459898</v>
      </c>
      <c r="H9" s="417"/>
      <c r="I9" s="382"/>
      <c r="J9" s="417"/>
      <c r="K9" s="382"/>
      <c r="L9" s="417"/>
      <c r="M9" s="416"/>
      <c r="N9" s="417"/>
      <c r="O9" s="382"/>
      <c r="P9" s="417"/>
      <c r="Q9" s="382"/>
      <c r="R9" s="417"/>
      <c r="S9" s="418"/>
    </row>
    <row r="10" spans="1:19" ht="14.4" customHeight="1" x14ac:dyDescent="0.3">
      <c r="A10" s="419" t="s">
        <v>656</v>
      </c>
      <c r="B10" s="417">
        <v>36495</v>
      </c>
      <c r="C10" s="382">
        <v>1</v>
      </c>
      <c r="D10" s="417">
        <v>80914</v>
      </c>
      <c r="E10" s="382">
        <v>2.2171256336484451</v>
      </c>
      <c r="F10" s="417">
        <v>119625</v>
      </c>
      <c r="G10" s="416">
        <v>3.2778462803123714</v>
      </c>
      <c r="H10" s="417"/>
      <c r="I10" s="382"/>
      <c r="J10" s="417"/>
      <c r="K10" s="382"/>
      <c r="L10" s="417"/>
      <c r="M10" s="416"/>
      <c r="N10" s="417"/>
      <c r="O10" s="382"/>
      <c r="P10" s="417"/>
      <c r="Q10" s="382"/>
      <c r="R10" s="417"/>
      <c r="S10" s="418"/>
    </row>
    <row r="11" spans="1:19" ht="14.4" customHeight="1" x14ac:dyDescent="0.3">
      <c r="A11" s="419" t="s">
        <v>657</v>
      </c>
      <c r="B11" s="417"/>
      <c r="C11" s="382"/>
      <c r="D11" s="417">
        <v>7536</v>
      </c>
      <c r="E11" s="382"/>
      <c r="F11" s="417">
        <v>13006</v>
      </c>
      <c r="G11" s="416"/>
      <c r="H11" s="417"/>
      <c r="I11" s="382"/>
      <c r="J11" s="417"/>
      <c r="K11" s="382"/>
      <c r="L11" s="417"/>
      <c r="M11" s="416"/>
      <c r="N11" s="417"/>
      <c r="O11" s="382"/>
      <c r="P11" s="417"/>
      <c r="Q11" s="382"/>
      <c r="R11" s="417"/>
      <c r="S11" s="418"/>
    </row>
    <row r="12" spans="1:19" ht="14.4" customHeight="1" x14ac:dyDescent="0.3">
      <c r="A12" s="419" t="s">
        <v>658</v>
      </c>
      <c r="B12" s="417">
        <v>3949</v>
      </c>
      <c r="C12" s="382">
        <v>1</v>
      </c>
      <c r="D12" s="417">
        <v>10136</v>
      </c>
      <c r="E12" s="382">
        <v>2.5667257533552799</v>
      </c>
      <c r="F12" s="417">
        <v>850</v>
      </c>
      <c r="G12" s="416">
        <v>0.21524436566219296</v>
      </c>
      <c r="H12" s="417"/>
      <c r="I12" s="382"/>
      <c r="J12" s="417"/>
      <c r="K12" s="382"/>
      <c r="L12" s="417"/>
      <c r="M12" s="416"/>
      <c r="N12" s="417"/>
      <c r="O12" s="382"/>
      <c r="P12" s="417"/>
      <c r="Q12" s="382"/>
      <c r="R12" s="417"/>
      <c r="S12" s="418"/>
    </row>
    <row r="13" spans="1:19" ht="14.4" customHeight="1" x14ac:dyDescent="0.3">
      <c r="A13" s="419" t="s">
        <v>659</v>
      </c>
      <c r="B13" s="417">
        <v>50762</v>
      </c>
      <c r="C13" s="382">
        <v>1</v>
      </c>
      <c r="D13" s="417">
        <v>113121</v>
      </c>
      <c r="E13" s="382">
        <v>2.2284582955754306</v>
      </c>
      <c r="F13" s="417">
        <v>61063</v>
      </c>
      <c r="G13" s="416">
        <v>1.2029273866277925</v>
      </c>
      <c r="H13" s="417"/>
      <c r="I13" s="382"/>
      <c r="J13" s="417"/>
      <c r="K13" s="382"/>
      <c r="L13" s="417"/>
      <c r="M13" s="416"/>
      <c r="N13" s="417"/>
      <c r="O13" s="382"/>
      <c r="P13" s="417"/>
      <c r="Q13" s="382"/>
      <c r="R13" s="417"/>
      <c r="S13" s="418"/>
    </row>
    <row r="14" spans="1:19" ht="14.4" customHeight="1" x14ac:dyDescent="0.3">
      <c r="A14" s="419" t="s">
        <v>660</v>
      </c>
      <c r="B14" s="417">
        <v>6096</v>
      </c>
      <c r="C14" s="382">
        <v>1</v>
      </c>
      <c r="D14" s="417"/>
      <c r="E14" s="382"/>
      <c r="F14" s="417"/>
      <c r="G14" s="416"/>
      <c r="H14" s="417"/>
      <c r="I14" s="382"/>
      <c r="J14" s="417"/>
      <c r="K14" s="382"/>
      <c r="L14" s="417"/>
      <c r="M14" s="416"/>
      <c r="N14" s="417"/>
      <c r="O14" s="382"/>
      <c r="P14" s="417"/>
      <c r="Q14" s="382"/>
      <c r="R14" s="417"/>
      <c r="S14" s="418"/>
    </row>
    <row r="15" spans="1:19" ht="14.4" customHeight="1" x14ac:dyDescent="0.3">
      <c r="A15" s="419" t="s">
        <v>661</v>
      </c>
      <c r="B15" s="417">
        <v>18542</v>
      </c>
      <c r="C15" s="382">
        <v>1</v>
      </c>
      <c r="D15" s="417">
        <v>25224</v>
      </c>
      <c r="E15" s="382">
        <v>1.3603710495092223</v>
      </c>
      <c r="F15" s="417">
        <v>58752</v>
      </c>
      <c r="G15" s="416">
        <v>3.1685902275914142</v>
      </c>
      <c r="H15" s="417"/>
      <c r="I15" s="382"/>
      <c r="J15" s="417"/>
      <c r="K15" s="382"/>
      <c r="L15" s="417"/>
      <c r="M15" s="416"/>
      <c r="N15" s="417"/>
      <c r="O15" s="382"/>
      <c r="P15" s="417"/>
      <c r="Q15" s="382"/>
      <c r="R15" s="417"/>
      <c r="S15" s="418"/>
    </row>
    <row r="16" spans="1:19" ht="14.4" customHeight="1" x14ac:dyDescent="0.3">
      <c r="A16" s="419" t="s">
        <v>662</v>
      </c>
      <c r="B16" s="417">
        <v>28785</v>
      </c>
      <c r="C16" s="382">
        <v>1</v>
      </c>
      <c r="D16" s="417">
        <v>70034</v>
      </c>
      <c r="E16" s="382">
        <v>2.4330033003300331</v>
      </c>
      <c r="F16" s="417">
        <v>106719</v>
      </c>
      <c r="G16" s="416">
        <v>3.7074517978113599</v>
      </c>
      <c r="H16" s="417"/>
      <c r="I16" s="382"/>
      <c r="J16" s="417"/>
      <c r="K16" s="382"/>
      <c r="L16" s="417"/>
      <c r="M16" s="416"/>
      <c r="N16" s="417"/>
      <c r="O16" s="382"/>
      <c r="P16" s="417"/>
      <c r="Q16" s="382"/>
      <c r="R16" s="417"/>
      <c r="S16" s="418"/>
    </row>
    <row r="17" spans="1:19" ht="14.4" customHeight="1" x14ac:dyDescent="0.3">
      <c r="A17" s="419" t="s">
        <v>663</v>
      </c>
      <c r="B17" s="417"/>
      <c r="C17" s="382"/>
      <c r="D17" s="417">
        <v>19776</v>
      </c>
      <c r="E17" s="382"/>
      <c r="F17" s="417"/>
      <c r="G17" s="416"/>
      <c r="H17" s="417"/>
      <c r="I17" s="382"/>
      <c r="J17" s="417"/>
      <c r="K17" s="382"/>
      <c r="L17" s="417"/>
      <c r="M17" s="416"/>
      <c r="N17" s="417"/>
      <c r="O17" s="382"/>
      <c r="P17" s="417"/>
      <c r="Q17" s="382"/>
      <c r="R17" s="417"/>
      <c r="S17" s="418"/>
    </row>
    <row r="18" spans="1:19" ht="14.4" customHeight="1" x14ac:dyDescent="0.3">
      <c r="A18" s="419" t="s">
        <v>664</v>
      </c>
      <c r="B18" s="417"/>
      <c r="C18" s="382"/>
      <c r="D18" s="417">
        <v>7022</v>
      </c>
      <c r="E18" s="382"/>
      <c r="F18" s="417"/>
      <c r="G18" s="416"/>
      <c r="H18" s="417"/>
      <c r="I18" s="382"/>
      <c r="J18" s="417"/>
      <c r="K18" s="382"/>
      <c r="L18" s="417"/>
      <c r="M18" s="416"/>
      <c r="N18" s="417"/>
      <c r="O18" s="382"/>
      <c r="P18" s="417"/>
      <c r="Q18" s="382"/>
      <c r="R18" s="417"/>
      <c r="S18" s="418"/>
    </row>
    <row r="19" spans="1:19" ht="14.4" customHeight="1" x14ac:dyDescent="0.3">
      <c r="A19" s="419" t="s">
        <v>665</v>
      </c>
      <c r="B19" s="417"/>
      <c r="C19" s="382"/>
      <c r="D19" s="417"/>
      <c r="E19" s="382"/>
      <c r="F19" s="417">
        <v>3118</v>
      </c>
      <c r="G19" s="416"/>
      <c r="H19" s="417"/>
      <c r="I19" s="382"/>
      <c r="J19" s="417"/>
      <c r="K19" s="382"/>
      <c r="L19" s="417"/>
      <c r="M19" s="416"/>
      <c r="N19" s="417"/>
      <c r="O19" s="382"/>
      <c r="P19" s="417"/>
      <c r="Q19" s="382"/>
      <c r="R19" s="417"/>
      <c r="S19" s="418"/>
    </row>
    <row r="20" spans="1:19" ht="14.4" customHeight="1" thickBot="1" x14ac:dyDescent="0.35">
      <c r="A20" s="404" t="s">
        <v>666</v>
      </c>
      <c r="B20" s="400">
        <v>1516</v>
      </c>
      <c r="C20" s="388">
        <v>1</v>
      </c>
      <c r="D20" s="400">
        <v>7667</v>
      </c>
      <c r="E20" s="388">
        <v>5.0573878627968334</v>
      </c>
      <c r="F20" s="400">
        <v>12438</v>
      </c>
      <c r="G20" s="401">
        <v>8.2044854881266485</v>
      </c>
      <c r="H20" s="400"/>
      <c r="I20" s="388"/>
      <c r="J20" s="400"/>
      <c r="K20" s="388"/>
      <c r="L20" s="400"/>
      <c r="M20" s="401"/>
      <c r="N20" s="400"/>
      <c r="O20" s="388"/>
      <c r="P20" s="400"/>
      <c r="Q20" s="388"/>
      <c r="R20" s="400"/>
      <c r="S20" s="4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0" bestFit="1" customWidth="1"/>
    <col min="2" max="2" width="8.6640625" style="110" bestFit="1" customWidth="1"/>
    <col min="3" max="3" width="2.109375" style="110" bestFit="1" customWidth="1"/>
    <col min="4" max="4" width="8" style="110" bestFit="1" customWidth="1"/>
    <col min="5" max="5" width="52.88671875" style="110" bestFit="1" customWidth="1"/>
    <col min="6" max="7" width="11.109375" style="186" customWidth="1"/>
    <col min="8" max="9" width="9.33203125" style="186" hidden="1" customWidth="1"/>
    <col min="10" max="11" width="11.109375" style="186" customWidth="1"/>
    <col min="12" max="13" width="9.33203125" style="186" hidden="1" customWidth="1"/>
    <col min="14" max="15" width="11.109375" style="186" customWidth="1"/>
    <col min="16" max="16" width="11.109375" style="189" customWidth="1"/>
    <col min="17" max="17" width="11.109375" style="186" customWidth="1"/>
    <col min="18" max="16384" width="8.88671875" style="110"/>
  </cols>
  <sheetData>
    <row r="1" spans="1:17" ht="18.600000000000001" customHeight="1" thickBot="1" x14ac:dyDescent="0.4">
      <c r="A1" s="283" t="s">
        <v>682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207" t="s">
        <v>214</v>
      </c>
      <c r="B2" s="111"/>
      <c r="C2" s="111"/>
      <c r="D2" s="111"/>
      <c r="E2" s="11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  <c r="Q2" s="201"/>
    </row>
    <row r="3" spans="1:17" ht="14.4" customHeight="1" thickBot="1" x14ac:dyDescent="0.35">
      <c r="E3" s="65" t="s">
        <v>116</v>
      </c>
      <c r="F3" s="82">
        <f t="shared" ref="F3:O3" si="0">SUBTOTAL(9,F6:F1048576)</f>
        <v>362</v>
      </c>
      <c r="G3" s="83">
        <f t="shared" si="0"/>
        <v>373302</v>
      </c>
      <c r="H3" s="83"/>
      <c r="I3" s="83"/>
      <c r="J3" s="83">
        <f t="shared" si="0"/>
        <v>553</v>
      </c>
      <c r="K3" s="83">
        <f t="shared" si="0"/>
        <v>513926</v>
      </c>
      <c r="L3" s="83"/>
      <c r="M3" s="83"/>
      <c r="N3" s="83">
        <f t="shared" si="0"/>
        <v>591</v>
      </c>
      <c r="O3" s="83">
        <f t="shared" si="0"/>
        <v>568853</v>
      </c>
      <c r="P3" s="59">
        <f>IF(G3=0,0,O3/G3)</f>
        <v>1.5238412866794178</v>
      </c>
      <c r="Q3" s="84">
        <f>IF(N3=0,0,O3/N3)</f>
        <v>962.5262267343486</v>
      </c>
    </row>
    <row r="4" spans="1:17" ht="14.4" customHeight="1" x14ac:dyDescent="0.3">
      <c r="A4" s="328" t="s">
        <v>58</v>
      </c>
      <c r="B4" s="327" t="s">
        <v>84</v>
      </c>
      <c r="C4" s="328" t="s">
        <v>85</v>
      </c>
      <c r="D4" s="329" t="s">
        <v>86</v>
      </c>
      <c r="E4" s="330" t="s">
        <v>59</v>
      </c>
      <c r="F4" s="334">
        <v>2012</v>
      </c>
      <c r="G4" s="335"/>
      <c r="H4" s="85"/>
      <c r="I4" s="85"/>
      <c r="J4" s="334">
        <v>2013</v>
      </c>
      <c r="K4" s="335"/>
      <c r="L4" s="85"/>
      <c r="M4" s="85"/>
      <c r="N4" s="334">
        <v>2014</v>
      </c>
      <c r="O4" s="335"/>
      <c r="P4" s="336" t="s">
        <v>5</v>
      </c>
      <c r="Q4" s="326" t="s">
        <v>87</v>
      </c>
    </row>
    <row r="5" spans="1:17" ht="14.4" customHeight="1" thickBot="1" x14ac:dyDescent="0.35">
      <c r="A5" s="408"/>
      <c r="B5" s="407"/>
      <c r="C5" s="408"/>
      <c r="D5" s="409"/>
      <c r="E5" s="410"/>
      <c r="F5" s="420" t="s">
        <v>61</v>
      </c>
      <c r="G5" s="421" t="s">
        <v>17</v>
      </c>
      <c r="H5" s="422"/>
      <c r="I5" s="422"/>
      <c r="J5" s="420" t="s">
        <v>61</v>
      </c>
      <c r="K5" s="421" t="s">
        <v>17</v>
      </c>
      <c r="L5" s="422"/>
      <c r="M5" s="422"/>
      <c r="N5" s="420" t="s">
        <v>61</v>
      </c>
      <c r="O5" s="421" t="s">
        <v>17</v>
      </c>
      <c r="P5" s="423"/>
      <c r="Q5" s="415"/>
    </row>
    <row r="6" spans="1:17" ht="14.4" customHeight="1" x14ac:dyDescent="0.3">
      <c r="A6" s="375" t="s">
        <v>667</v>
      </c>
      <c r="B6" s="376" t="s">
        <v>598</v>
      </c>
      <c r="C6" s="376" t="s">
        <v>595</v>
      </c>
      <c r="D6" s="376" t="s">
        <v>607</v>
      </c>
      <c r="E6" s="376" t="s">
        <v>608</v>
      </c>
      <c r="F6" s="379"/>
      <c r="G6" s="379"/>
      <c r="H6" s="379"/>
      <c r="I6" s="379"/>
      <c r="J6" s="379"/>
      <c r="K6" s="379"/>
      <c r="L6" s="379"/>
      <c r="M6" s="379"/>
      <c r="N6" s="379">
        <v>4</v>
      </c>
      <c r="O6" s="379">
        <v>14792</v>
      </c>
      <c r="P6" s="398"/>
      <c r="Q6" s="380">
        <v>3698</v>
      </c>
    </row>
    <row r="7" spans="1:17" ht="14.4" customHeight="1" x14ac:dyDescent="0.3">
      <c r="A7" s="381" t="s">
        <v>667</v>
      </c>
      <c r="B7" s="382" t="s">
        <v>598</v>
      </c>
      <c r="C7" s="382" t="s">
        <v>595</v>
      </c>
      <c r="D7" s="382" t="s">
        <v>613</v>
      </c>
      <c r="E7" s="382" t="s">
        <v>614</v>
      </c>
      <c r="F7" s="385"/>
      <c r="G7" s="385"/>
      <c r="H7" s="385"/>
      <c r="I7" s="385"/>
      <c r="J7" s="385"/>
      <c r="K7" s="385"/>
      <c r="L7" s="385"/>
      <c r="M7" s="385"/>
      <c r="N7" s="385">
        <v>2</v>
      </c>
      <c r="O7" s="385">
        <v>3226</v>
      </c>
      <c r="P7" s="416"/>
      <c r="Q7" s="386">
        <v>1613</v>
      </c>
    </row>
    <row r="8" spans="1:17" ht="14.4" customHeight="1" x14ac:dyDescent="0.3">
      <c r="A8" s="381" t="s">
        <v>667</v>
      </c>
      <c r="B8" s="382" t="s">
        <v>598</v>
      </c>
      <c r="C8" s="382" t="s">
        <v>595</v>
      </c>
      <c r="D8" s="382" t="s">
        <v>619</v>
      </c>
      <c r="E8" s="382" t="s">
        <v>620</v>
      </c>
      <c r="F8" s="385">
        <v>1</v>
      </c>
      <c r="G8" s="385">
        <v>1441</v>
      </c>
      <c r="H8" s="385">
        <v>1</v>
      </c>
      <c r="I8" s="385">
        <v>1441</v>
      </c>
      <c r="J8" s="385"/>
      <c r="K8" s="385"/>
      <c r="L8" s="385"/>
      <c r="M8" s="385"/>
      <c r="N8" s="385">
        <v>1</v>
      </c>
      <c r="O8" s="385">
        <v>1447</v>
      </c>
      <c r="P8" s="416">
        <v>1.0041637751561416</v>
      </c>
      <c r="Q8" s="386">
        <v>1447</v>
      </c>
    </row>
    <row r="9" spans="1:17" ht="14.4" customHeight="1" x14ac:dyDescent="0.3">
      <c r="A9" s="381" t="s">
        <v>667</v>
      </c>
      <c r="B9" s="382" t="s">
        <v>598</v>
      </c>
      <c r="C9" s="382" t="s">
        <v>595</v>
      </c>
      <c r="D9" s="382" t="s">
        <v>626</v>
      </c>
      <c r="E9" s="382" t="s">
        <v>612</v>
      </c>
      <c r="F9" s="385"/>
      <c r="G9" s="385"/>
      <c r="H9" s="385"/>
      <c r="I9" s="385"/>
      <c r="J9" s="385"/>
      <c r="K9" s="385"/>
      <c r="L9" s="385"/>
      <c r="M9" s="385"/>
      <c r="N9" s="385">
        <v>8</v>
      </c>
      <c r="O9" s="385">
        <v>11000</v>
      </c>
      <c r="P9" s="416"/>
      <c r="Q9" s="386">
        <v>1375</v>
      </c>
    </row>
    <row r="10" spans="1:17" ht="14.4" customHeight="1" x14ac:dyDescent="0.3">
      <c r="A10" s="381" t="s">
        <v>667</v>
      </c>
      <c r="B10" s="382" t="s">
        <v>598</v>
      </c>
      <c r="C10" s="382" t="s">
        <v>595</v>
      </c>
      <c r="D10" s="382" t="s">
        <v>627</v>
      </c>
      <c r="E10" s="382" t="s">
        <v>628</v>
      </c>
      <c r="F10" s="385"/>
      <c r="G10" s="385"/>
      <c r="H10" s="385"/>
      <c r="I10" s="385"/>
      <c r="J10" s="385"/>
      <c r="K10" s="385"/>
      <c r="L10" s="385"/>
      <c r="M10" s="385"/>
      <c r="N10" s="385">
        <v>4</v>
      </c>
      <c r="O10" s="385">
        <v>9276</v>
      </c>
      <c r="P10" s="416"/>
      <c r="Q10" s="386">
        <v>2319</v>
      </c>
    </row>
    <row r="11" spans="1:17" ht="14.4" customHeight="1" x14ac:dyDescent="0.3">
      <c r="A11" s="381" t="s">
        <v>667</v>
      </c>
      <c r="B11" s="382" t="s">
        <v>598</v>
      </c>
      <c r="C11" s="382" t="s">
        <v>595</v>
      </c>
      <c r="D11" s="382" t="s">
        <v>631</v>
      </c>
      <c r="E11" s="382" t="s">
        <v>632</v>
      </c>
      <c r="F11" s="385">
        <v>1</v>
      </c>
      <c r="G11" s="385">
        <v>394</v>
      </c>
      <c r="H11" s="385">
        <v>1</v>
      </c>
      <c r="I11" s="385">
        <v>394</v>
      </c>
      <c r="J11" s="385"/>
      <c r="K11" s="385"/>
      <c r="L11" s="385"/>
      <c r="M11" s="385"/>
      <c r="N11" s="385">
        <v>1</v>
      </c>
      <c r="O11" s="385">
        <v>396</v>
      </c>
      <c r="P11" s="416">
        <v>1.0050761421319796</v>
      </c>
      <c r="Q11" s="386">
        <v>396</v>
      </c>
    </row>
    <row r="12" spans="1:17" ht="14.4" customHeight="1" x14ac:dyDescent="0.3">
      <c r="A12" s="381" t="s">
        <v>667</v>
      </c>
      <c r="B12" s="382" t="s">
        <v>598</v>
      </c>
      <c r="C12" s="382" t="s">
        <v>595</v>
      </c>
      <c r="D12" s="382" t="s">
        <v>635</v>
      </c>
      <c r="E12" s="382" t="s">
        <v>636</v>
      </c>
      <c r="F12" s="385"/>
      <c r="G12" s="385"/>
      <c r="H12" s="385"/>
      <c r="I12" s="385"/>
      <c r="J12" s="385"/>
      <c r="K12" s="385"/>
      <c r="L12" s="385"/>
      <c r="M12" s="385"/>
      <c r="N12" s="385">
        <v>7</v>
      </c>
      <c r="O12" s="385">
        <v>3850</v>
      </c>
      <c r="P12" s="416"/>
      <c r="Q12" s="386">
        <v>550</v>
      </c>
    </row>
    <row r="13" spans="1:17" ht="14.4" customHeight="1" x14ac:dyDescent="0.3">
      <c r="A13" s="381" t="s">
        <v>667</v>
      </c>
      <c r="B13" s="382" t="s">
        <v>598</v>
      </c>
      <c r="C13" s="382" t="s">
        <v>595</v>
      </c>
      <c r="D13" s="382" t="s">
        <v>645</v>
      </c>
      <c r="E13" s="382" t="s">
        <v>646</v>
      </c>
      <c r="F13" s="385">
        <v>1</v>
      </c>
      <c r="G13" s="385">
        <v>1200</v>
      </c>
      <c r="H13" s="385">
        <v>1</v>
      </c>
      <c r="I13" s="385">
        <v>1200</v>
      </c>
      <c r="J13" s="385"/>
      <c r="K13" s="385"/>
      <c r="L13" s="385"/>
      <c r="M13" s="385"/>
      <c r="N13" s="385"/>
      <c r="O13" s="385"/>
      <c r="P13" s="416"/>
      <c r="Q13" s="386"/>
    </row>
    <row r="14" spans="1:17" ht="14.4" customHeight="1" x14ac:dyDescent="0.3">
      <c r="A14" s="381" t="s">
        <v>667</v>
      </c>
      <c r="B14" s="382" t="s">
        <v>598</v>
      </c>
      <c r="C14" s="382" t="s">
        <v>595</v>
      </c>
      <c r="D14" s="382" t="s">
        <v>647</v>
      </c>
      <c r="E14" s="382" t="s">
        <v>606</v>
      </c>
      <c r="F14" s="385">
        <v>1</v>
      </c>
      <c r="G14" s="385">
        <v>912</v>
      </c>
      <c r="H14" s="385">
        <v>1</v>
      </c>
      <c r="I14" s="385">
        <v>912</v>
      </c>
      <c r="J14" s="385"/>
      <c r="K14" s="385"/>
      <c r="L14" s="385"/>
      <c r="M14" s="385"/>
      <c r="N14" s="385"/>
      <c r="O14" s="385"/>
      <c r="P14" s="416"/>
      <c r="Q14" s="386"/>
    </row>
    <row r="15" spans="1:17" ht="14.4" customHeight="1" x14ac:dyDescent="0.3">
      <c r="A15" s="381" t="s">
        <v>667</v>
      </c>
      <c r="B15" s="382" t="s">
        <v>598</v>
      </c>
      <c r="C15" s="382" t="s">
        <v>595</v>
      </c>
      <c r="D15" s="382" t="s">
        <v>648</v>
      </c>
      <c r="E15" s="382" t="s">
        <v>649</v>
      </c>
      <c r="F15" s="385"/>
      <c r="G15" s="385"/>
      <c r="H15" s="385"/>
      <c r="I15" s="385"/>
      <c r="J15" s="385"/>
      <c r="K15" s="385"/>
      <c r="L15" s="385"/>
      <c r="M15" s="385"/>
      <c r="N15" s="385">
        <v>2</v>
      </c>
      <c r="O15" s="385">
        <v>3214</v>
      </c>
      <c r="P15" s="416"/>
      <c r="Q15" s="386">
        <v>1607</v>
      </c>
    </row>
    <row r="16" spans="1:17" ht="14.4" customHeight="1" x14ac:dyDescent="0.3">
      <c r="A16" s="381" t="s">
        <v>668</v>
      </c>
      <c r="B16" s="382" t="s">
        <v>598</v>
      </c>
      <c r="C16" s="382" t="s">
        <v>595</v>
      </c>
      <c r="D16" s="382" t="s">
        <v>603</v>
      </c>
      <c r="E16" s="382" t="s">
        <v>604</v>
      </c>
      <c r="F16" s="385"/>
      <c r="G16" s="385"/>
      <c r="H16" s="385"/>
      <c r="I16" s="385"/>
      <c r="J16" s="385">
        <v>3</v>
      </c>
      <c r="K16" s="385">
        <v>6639</v>
      </c>
      <c r="L16" s="385"/>
      <c r="M16" s="385">
        <v>2213</v>
      </c>
      <c r="N16" s="385"/>
      <c r="O16" s="385"/>
      <c r="P16" s="416"/>
      <c r="Q16" s="386"/>
    </row>
    <row r="17" spans="1:17" ht="14.4" customHeight="1" x14ac:dyDescent="0.3">
      <c r="A17" s="381" t="s">
        <v>668</v>
      </c>
      <c r="B17" s="382" t="s">
        <v>598</v>
      </c>
      <c r="C17" s="382" t="s">
        <v>595</v>
      </c>
      <c r="D17" s="382" t="s">
        <v>605</v>
      </c>
      <c r="E17" s="382" t="s">
        <v>606</v>
      </c>
      <c r="F17" s="385">
        <v>1</v>
      </c>
      <c r="G17" s="385">
        <v>1032</v>
      </c>
      <c r="H17" s="385">
        <v>1</v>
      </c>
      <c r="I17" s="385">
        <v>1032</v>
      </c>
      <c r="J17" s="385"/>
      <c r="K17" s="385"/>
      <c r="L17" s="385"/>
      <c r="M17" s="385"/>
      <c r="N17" s="385"/>
      <c r="O17" s="385"/>
      <c r="P17" s="416"/>
      <c r="Q17" s="386"/>
    </row>
    <row r="18" spans="1:17" ht="14.4" customHeight="1" x14ac:dyDescent="0.3">
      <c r="A18" s="381" t="s">
        <v>668</v>
      </c>
      <c r="B18" s="382" t="s">
        <v>598</v>
      </c>
      <c r="C18" s="382" t="s">
        <v>595</v>
      </c>
      <c r="D18" s="382" t="s">
        <v>607</v>
      </c>
      <c r="E18" s="382" t="s">
        <v>608</v>
      </c>
      <c r="F18" s="385">
        <v>11</v>
      </c>
      <c r="G18" s="385">
        <v>40579</v>
      </c>
      <c r="H18" s="385">
        <v>1</v>
      </c>
      <c r="I18" s="385">
        <v>3689</v>
      </c>
      <c r="J18" s="385">
        <v>1</v>
      </c>
      <c r="K18" s="385">
        <v>3698</v>
      </c>
      <c r="L18" s="385">
        <v>9.1130880504694547E-2</v>
      </c>
      <c r="M18" s="385">
        <v>3698</v>
      </c>
      <c r="N18" s="385">
        <v>1</v>
      </c>
      <c r="O18" s="385">
        <v>3698</v>
      </c>
      <c r="P18" s="416">
        <v>9.1130880504694547E-2</v>
      </c>
      <c r="Q18" s="386">
        <v>3698</v>
      </c>
    </row>
    <row r="19" spans="1:17" ht="14.4" customHeight="1" x14ac:dyDescent="0.3">
      <c r="A19" s="381" t="s">
        <v>668</v>
      </c>
      <c r="B19" s="382" t="s">
        <v>598</v>
      </c>
      <c r="C19" s="382" t="s">
        <v>595</v>
      </c>
      <c r="D19" s="382" t="s">
        <v>609</v>
      </c>
      <c r="E19" s="382" t="s">
        <v>610</v>
      </c>
      <c r="F19" s="385">
        <v>1</v>
      </c>
      <c r="G19" s="385">
        <v>437</v>
      </c>
      <c r="H19" s="385">
        <v>1</v>
      </c>
      <c r="I19" s="385">
        <v>437</v>
      </c>
      <c r="J19" s="385"/>
      <c r="K19" s="385"/>
      <c r="L19" s="385"/>
      <c r="M19" s="385"/>
      <c r="N19" s="385">
        <v>2</v>
      </c>
      <c r="O19" s="385">
        <v>876</v>
      </c>
      <c r="P19" s="416">
        <v>2.0045766590389018</v>
      </c>
      <c r="Q19" s="386">
        <v>438</v>
      </c>
    </row>
    <row r="20" spans="1:17" ht="14.4" customHeight="1" x14ac:dyDescent="0.3">
      <c r="A20" s="381" t="s">
        <v>668</v>
      </c>
      <c r="B20" s="382" t="s">
        <v>598</v>
      </c>
      <c r="C20" s="382" t="s">
        <v>595</v>
      </c>
      <c r="D20" s="382" t="s">
        <v>611</v>
      </c>
      <c r="E20" s="382" t="s">
        <v>612</v>
      </c>
      <c r="F20" s="385">
        <v>9</v>
      </c>
      <c r="G20" s="385">
        <v>7479</v>
      </c>
      <c r="H20" s="385">
        <v>1</v>
      </c>
      <c r="I20" s="385">
        <v>831</v>
      </c>
      <c r="J20" s="385"/>
      <c r="K20" s="385"/>
      <c r="L20" s="385"/>
      <c r="M20" s="385"/>
      <c r="N20" s="385"/>
      <c r="O20" s="385"/>
      <c r="P20" s="416"/>
      <c r="Q20" s="386"/>
    </row>
    <row r="21" spans="1:17" ht="14.4" customHeight="1" x14ac:dyDescent="0.3">
      <c r="A21" s="381" t="s">
        <v>668</v>
      </c>
      <c r="B21" s="382" t="s">
        <v>598</v>
      </c>
      <c r="C21" s="382" t="s">
        <v>595</v>
      </c>
      <c r="D21" s="382" t="s">
        <v>617</v>
      </c>
      <c r="E21" s="382" t="s">
        <v>618</v>
      </c>
      <c r="F21" s="385"/>
      <c r="G21" s="385"/>
      <c r="H21" s="385"/>
      <c r="I21" s="385"/>
      <c r="J21" s="385">
        <v>2</v>
      </c>
      <c r="K21" s="385">
        <v>1638</v>
      </c>
      <c r="L21" s="385"/>
      <c r="M21" s="385">
        <v>819</v>
      </c>
      <c r="N21" s="385"/>
      <c r="O21" s="385"/>
      <c r="P21" s="416"/>
      <c r="Q21" s="386"/>
    </row>
    <row r="22" spans="1:17" ht="14.4" customHeight="1" x14ac:dyDescent="0.3">
      <c r="A22" s="381" t="s">
        <v>668</v>
      </c>
      <c r="B22" s="382" t="s">
        <v>598</v>
      </c>
      <c r="C22" s="382" t="s">
        <v>595</v>
      </c>
      <c r="D22" s="382" t="s">
        <v>619</v>
      </c>
      <c r="E22" s="382" t="s">
        <v>620</v>
      </c>
      <c r="F22" s="385">
        <v>1</v>
      </c>
      <c r="G22" s="385">
        <v>1441</v>
      </c>
      <c r="H22" s="385">
        <v>1</v>
      </c>
      <c r="I22" s="385">
        <v>1441</v>
      </c>
      <c r="J22" s="385">
        <v>2</v>
      </c>
      <c r="K22" s="385">
        <v>2894</v>
      </c>
      <c r="L22" s="385">
        <v>2.0083275503122833</v>
      </c>
      <c r="M22" s="385">
        <v>1447</v>
      </c>
      <c r="N22" s="385"/>
      <c r="O22" s="385"/>
      <c r="P22" s="416"/>
      <c r="Q22" s="386"/>
    </row>
    <row r="23" spans="1:17" ht="14.4" customHeight="1" x14ac:dyDescent="0.3">
      <c r="A23" s="381" t="s">
        <v>668</v>
      </c>
      <c r="B23" s="382" t="s">
        <v>598</v>
      </c>
      <c r="C23" s="382" t="s">
        <v>595</v>
      </c>
      <c r="D23" s="382" t="s">
        <v>621</v>
      </c>
      <c r="E23" s="382" t="s">
        <v>622</v>
      </c>
      <c r="F23" s="385">
        <v>1</v>
      </c>
      <c r="G23" s="385">
        <v>3065</v>
      </c>
      <c r="H23" s="385">
        <v>1</v>
      </c>
      <c r="I23" s="385">
        <v>3065</v>
      </c>
      <c r="J23" s="385"/>
      <c r="K23" s="385"/>
      <c r="L23" s="385"/>
      <c r="M23" s="385"/>
      <c r="N23" s="385"/>
      <c r="O23" s="385"/>
      <c r="P23" s="416"/>
      <c r="Q23" s="386"/>
    </row>
    <row r="24" spans="1:17" ht="14.4" customHeight="1" x14ac:dyDescent="0.3">
      <c r="A24" s="381" t="s">
        <v>668</v>
      </c>
      <c r="B24" s="382" t="s">
        <v>598</v>
      </c>
      <c r="C24" s="382" t="s">
        <v>595</v>
      </c>
      <c r="D24" s="382" t="s">
        <v>623</v>
      </c>
      <c r="E24" s="382" t="s">
        <v>624</v>
      </c>
      <c r="F24" s="385">
        <v>3</v>
      </c>
      <c r="G24" s="385">
        <v>48</v>
      </c>
      <c r="H24" s="385">
        <v>1</v>
      </c>
      <c r="I24" s="385">
        <v>16</v>
      </c>
      <c r="J24" s="385">
        <v>5</v>
      </c>
      <c r="K24" s="385">
        <v>80</v>
      </c>
      <c r="L24" s="385">
        <v>1.6666666666666667</v>
      </c>
      <c r="M24" s="385">
        <v>16</v>
      </c>
      <c r="N24" s="385">
        <v>5</v>
      </c>
      <c r="O24" s="385">
        <v>80</v>
      </c>
      <c r="P24" s="416">
        <v>1.6666666666666667</v>
      </c>
      <c r="Q24" s="386">
        <v>16</v>
      </c>
    </row>
    <row r="25" spans="1:17" ht="14.4" customHeight="1" x14ac:dyDescent="0.3">
      <c r="A25" s="381" t="s">
        <v>668</v>
      </c>
      <c r="B25" s="382" t="s">
        <v>598</v>
      </c>
      <c r="C25" s="382" t="s">
        <v>595</v>
      </c>
      <c r="D25" s="382" t="s">
        <v>625</v>
      </c>
      <c r="E25" s="382" t="s">
        <v>610</v>
      </c>
      <c r="F25" s="385">
        <v>6</v>
      </c>
      <c r="G25" s="385">
        <v>4110</v>
      </c>
      <c r="H25" s="385">
        <v>1</v>
      </c>
      <c r="I25" s="385">
        <v>685</v>
      </c>
      <c r="J25" s="385">
        <v>7</v>
      </c>
      <c r="K25" s="385">
        <v>4816</v>
      </c>
      <c r="L25" s="385">
        <v>1.1717761557177615</v>
      </c>
      <c r="M25" s="385">
        <v>688</v>
      </c>
      <c r="N25" s="385">
        <v>5</v>
      </c>
      <c r="O25" s="385">
        <v>3440</v>
      </c>
      <c r="P25" s="416">
        <v>0.83698296836982966</v>
      </c>
      <c r="Q25" s="386">
        <v>688</v>
      </c>
    </row>
    <row r="26" spans="1:17" ht="14.4" customHeight="1" x14ac:dyDescent="0.3">
      <c r="A26" s="381" t="s">
        <v>668</v>
      </c>
      <c r="B26" s="382" t="s">
        <v>598</v>
      </c>
      <c r="C26" s="382" t="s">
        <v>595</v>
      </c>
      <c r="D26" s="382" t="s">
        <v>626</v>
      </c>
      <c r="E26" s="382" t="s">
        <v>612</v>
      </c>
      <c r="F26" s="385">
        <v>19</v>
      </c>
      <c r="G26" s="385">
        <v>26049</v>
      </c>
      <c r="H26" s="385">
        <v>1</v>
      </c>
      <c r="I26" s="385">
        <v>1371</v>
      </c>
      <c r="J26" s="385">
        <v>4</v>
      </c>
      <c r="K26" s="385">
        <v>5500</v>
      </c>
      <c r="L26" s="385">
        <v>0.21114054282314101</v>
      </c>
      <c r="M26" s="385">
        <v>1375</v>
      </c>
      <c r="N26" s="385">
        <v>4</v>
      </c>
      <c r="O26" s="385">
        <v>5500</v>
      </c>
      <c r="P26" s="416">
        <v>0.21114054282314101</v>
      </c>
      <c r="Q26" s="386">
        <v>1375</v>
      </c>
    </row>
    <row r="27" spans="1:17" ht="14.4" customHeight="1" x14ac:dyDescent="0.3">
      <c r="A27" s="381" t="s">
        <v>668</v>
      </c>
      <c r="B27" s="382" t="s">
        <v>598</v>
      </c>
      <c r="C27" s="382" t="s">
        <v>595</v>
      </c>
      <c r="D27" s="382" t="s">
        <v>627</v>
      </c>
      <c r="E27" s="382" t="s">
        <v>628</v>
      </c>
      <c r="F27" s="385">
        <v>5</v>
      </c>
      <c r="G27" s="385">
        <v>11550</v>
      </c>
      <c r="H27" s="385">
        <v>1</v>
      </c>
      <c r="I27" s="385">
        <v>2310</v>
      </c>
      <c r="J27" s="385">
        <v>2</v>
      </c>
      <c r="K27" s="385">
        <v>4638</v>
      </c>
      <c r="L27" s="385">
        <v>0.40155844155844156</v>
      </c>
      <c r="M27" s="385">
        <v>2319</v>
      </c>
      <c r="N27" s="385">
        <v>4</v>
      </c>
      <c r="O27" s="385">
        <v>9276</v>
      </c>
      <c r="P27" s="416">
        <v>0.80311688311688312</v>
      </c>
      <c r="Q27" s="386">
        <v>2319</v>
      </c>
    </row>
    <row r="28" spans="1:17" ht="14.4" customHeight="1" x14ac:dyDescent="0.3">
      <c r="A28" s="381" t="s">
        <v>668</v>
      </c>
      <c r="B28" s="382" t="s">
        <v>598</v>
      </c>
      <c r="C28" s="382" t="s">
        <v>595</v>
      </c>
      <c r="D28" s="382" t="s">
        <v>629</v>
      </c>
      <c r="E28" s="382" t="s">
        <v>630</v>
      </c>
      <c r="F28" s="385">
        <v>4</v>
      </c>
      <c r="G28" s="385">
        <v>260</v>
      </c>
      <c r="H28" s="385">
        <v>1</v>
      </c>
      <c r="I28" s="385">
        <v>65</v>
      </c>
      <c r="J28" s="385">
        <v>7</v>
      </c>
      <c r="K28" s="385">
        <v>455</v>
      </c>
      <c r="L28" s="385">
        <v>1.75</v>
      </c>
      <c r="M28" s="385">
        <v>65</v>
      </c>
      <c r="N28" s="385">
        <v>7</v>
      </c>
      <c r="O28" s="385">
        <v>455</v>
      </c>
      <c r="P28" s="416">
        <v>1.75</v>
      </c>
      <c r="Q28" s="386">
        <v>65</v>
      </c>
    </row>
    <row r="29" spans="1:17" ht="14.4" customHeight="1" x14ac:dyDescent="0.3">
      <c r="A29" s="381" t="s">
        <v>668</v>
      </c>
      <c r="B29" s="382" t="s">
        <v>598</v>
      </c>
      <c r="C29" s="382" t="s">
        <v>595</v>
      </c>
      <c r="D29" s="382" t="s">
        <v>631</v>
      </c>
      <c r="E29" s="382" t="s">
        <v>632</v>
      </c>
      <c r="F29" s="385">
        <v>1</v>
      </c>
      <c r="G29" s="385">
        <v>394</v>
      </c>
      <c r="H29" s="385">
        <v>1</v>
      </c>
      <c r="I29" s="385">
        <v>394</v>
      </c>
      <c r="J29" s="385">
        <v>2</v>
      </c>
      <c r="K29" s="385">
        <v>792</v>
      </c>
      <c r="L29" s="385">
        <v>2.0101522842639592</v>
      </c>
      <c r="M29" s="385">
        <v>396</v>
      </c>
      <c r="N29" s="385"/>
      <c r="O29" s="385"/>
      <c r="P29" s="416"/>
      <c r="Q29" s="386"/>
    </row>
    <row r="30" spans="1:17" ht="14.4" customHeight="1" x14ac:dyDescent="0.3">
      <c r="A30" s="381" t="s">
        <v>668</v>
      </c>
      <c r="B30" s="382" t="s">
        <v>598</v>
      </c>
      <c r="C30" s="382" t="s">
        <v>595</v>
      </c>
      <c r="D30" s="382" t="s">
        <v>633</v>
      </c>
      <c r="E30" s="382" t="s">
        <v>634</v>
      </c>
      <c r="F30" s="385">
        <v>1</v>
      </c>
      <c r="G30" s="385">
        <v>1597</v>
      </c>
      <c r="H30" s="385">
        <v>1</v>
      </c>
      <c r="I30" s="385">
        <v>1597</v>
      </c>
      <c r="J30" s="385"/>
      <c r="K30" s="385"/>
      <c r="L30" s="385"/>
      <c r="M30" s="385"/>
      <c r="N30" s="385"/>
      <c r="O30" s="385"/>
      <c r="P30" s="416"/>
      <c r="Q30" s="386"/>
    </row>
    <row r="31" spans="1:17" ht="14.4" customHeight="1" x14ac:dyDescent="0.3">
      <c r="A31" s="381" t="s">
        <v>668</v>
      </c>
      <c r="B31" s="382" t="s">
        <v>598</v>
      </c>
      <c r="C31" s="382" t="s">
        <v>595</v>
      </c>
      <c r="D31" s="382" t="s">
        <v>635</v>
      </c>
      <c r="E31" s="382" t="s">
        <v>636</v>
      </c>
      <c r="F31" s="385">
        <v>17</v>
      </c>
      <c r="G31" s="385">
        <v>9333</v>
      </c>
      <c r="H31" s="385">
        <v>1</v>
      </c>
      <c r="I31" s="385">
        <v>549</v>
      </c>
      <c r="J31" s="385">
        <v>7</v>
      </c>
      <c r="K31" s="385">
        <v>3850</v>
      </c>
      <c r="L31" s="385">
        <v>0.41251473266902389</v>
      </c>
      <c r="M31" s="385">
        <v>550</v>
      </c>
      <c r="N31" s="385">
        <v>10</v>
      </c>
      <c r="O31" s="385">
        <v>5500</v>
      </c>
      <c r="P31" s="416">
        <v>0.58930676095574841</v>
      </c>
      <c r="Q31" s="386">
        <v>550</v>
      </c>
    </row>
    <row r="32" spans="1:17" ht="14.4" customHeight="1" x14ac:dyDescent="0.3">
      <c r="A32" s="381" t="s">
        <v>668</v>
      </c>
      <c r="B32" s="382" t="s">
        <v>598</v>
      </c>
      <c r="C32" s="382" t="s">
        <v>595</v>
      </c>
      <c r="D32" s="382" t="s">
        <v>637</v>
      </c>
      <c r="E32" s="382" t="s">
        <v>638</v>
      </c>
      <c r="F32" s="385">
        <v>1</v>
      </c>
      <c r="G32" s="385">
        <v>1228</v>
      </c>
      <c r="H32" s="385">
        <v>1</v>
      </c>
      <c r="I32" s="385">
        <v>1228</v>
      </c>
      <c r="J32" s="385"/>
      <c r="K32" s="385"/>
      <c r="L32" s="385"/>
      <c r="M32" s="385"/>
      <c r="N32" s="385"/>
      <c r="O32" s="385"/>
      <c r="P32" s="416"/>
      <c r="Q32" s="386"/>
    </row>
    <row r="33" spans="1:17" ht="14.4" customHeight="1" x14ac:dyDescent="0.3">
      <c r="A33" s="381" t="s">
        <v>668</v>
      </c>
      <c r="B33" s="382" t="s">
        <v>598</v>
      </c>
      <c r="C33" s="382" t="s">
        <v>595</v>
      </c>
      <c r="D33" s="382" t="s">
        <v>641</v>
      </c>
      <c r="E33" s="382" t="s">
        <v>642</v>
      </c>
      <c r="F33" s="385"/>
      <c r="G33" s="385"/>
      <c r="H33" s="385"/>
      <c r="I33" s="385"/>
      <c r="J33" s="385"/>
      <c r="K33" s="385"/>
      <c r="L33" s="385"/>
      <c r="M33" s="385"/>
      <c r="N33" s="385">
        <v>1</v>
      </c>
      <c r="O33" s="385">
        <v>122</v>
      </c>
      <c r="P33" s="416"/>
      <c r="Q33" s="386">
        <v>122</v>
      </c>
    </row>
    <row r="34" spans="1:17" ht="14.4" customHeight="1" x14ac:dyDescent="0.3">
      <c r="A34" s="381" t="s">
        <v>668</v>
      </c>
      <c r="B34" s="382" t="s">
        <v>598</v>
      </c>
      <c r="C34" s="382" t="s">
        <v>595</v>
      </c>
      <c r="D34" s="382" t="s">
        <v>643</v>
      </c>
      <c r="E34" s="382" t="s">
        <v>644</v>
      </c>
      <c r="F34" s="385">
        <v>2</v>
      </c>
      <c r="G34" s="385">
        <v>850</v>
      </c>
      <c r="H34" s="385">
        <v>1</v>
      </c>
      <c r="I34" s="385">
        <v>425</v>
      </c>
      <c r="J34" s="385"/>
      <c r="K34" s="385"/>
      <c r="L34" s="385"/>
      <c r="M34" s="385"/>
      <c r="N34" s="385"/>
      <c r="O34" s="385"/>
      <c r="P34" s="416"/>
      <c r="Q34" s="386"/>
    </row>
    <row r="35" spans="1:17" ht="14.4" customHeight="1" x14ac:dyDescent="0.3">
      <c r="A35" s="381" t="s">
        <v>669</v>
      </c>
      <c r="B35" s="382" t="s">
        <v>598</v>
      </c>
      <c r="C35" s="382" t="s">
        <v>595</v>
      </c>
      <c r="D35" s="382" t="s">
        <v>599</v>
      </c>
      <c r="E35" s="382" t="s">
        <v>600</v>
      </c>
      <c r="F35" s="385">
        <v>2</v>
      </c>
      <c r="G35" s="385">
        <v>250</v>
      </c>
      <c r="H35" s="385">
        <v>1</v>
      </c>
      <c r="I35" s="385">
        <v>125</v>
      </c>
      <c r="J35" s="385">
        <v>3</v>
      </c>
      <c r="K35" s="385">
        <v>378</v>
      </c>
      <c r="L35" s="385">
        <v>1.512</v>
      </c>
      <c r="M35" s="385">
        <v>126</v>
      </c>
      <c r="N35" s="385">
        <v>1</v>
      </c>
      <c r="O35" s="385">
        <v>126</v>
      </c>
      <c r="P35" s="416">
        <v>0.504</v>
      </c>
      <c r="Q35" s="386">
        <v>126</v>
      </c>
    </row>
    <row r="36" spans="1:17" ht="14.4" customHeight="1" x14ac:dyDescent="0.3">
      <c r="A36" s="381" t="s">
        <v>669</v>
      </c>
      <c r="B36" s="382" t="s">
        <v>598</v>
      </c>
      <c r="C36" s="382" t="s">
        <v>595</v>
      </c>
      <c r="D36" s="382" t="s">
        <v>601</v>
      </c>
      <c r="E36" s="382" t="s">
        <v>602</v>
      </c>
      <c r="F36" s="385">
        <v>1</v>
      </c>
      <c r="G36" s="385">
        <v>1217</v>
      </c>
      <c r="H36" s="385">
        <v>1</v>
      </c>
      <c r="I36" s="385">
        <v>1217</v>
      </c>
      <c r="J36" s="385"/>
      <c r="K36" s="385"/>
      <c r="L36" s="385"/>
      <c r="M36" s="385"/>
      <c r="N36" s="385"/>
      <c r="O36" s="385"/>
      <c r="P36" s="416"/>
      <c r="Q36" s="386"/>
    </row>
    <row r="37" spans="1:17" ht="14.4" customHeight="1" x14ac:dyDescent="0.3">
      <c r="A37" s="381" t="s">
        <v>669</v>
      </c>
      <c r="B37" s="382" t="s">
        <v>598</v>
      </c>
      <c r="C37" s="382" t="s">
        <v>595</v>
      </c>
      <c r="D37" s="382" t="s">
        <v>603</v>
      </c>
      <c r="E37" s="382" t="s">
        <v>604</v>
      </c>
      <c r="F37" s="385"/>
      <c r="G37" s="385"/>
      <c r="H37" s="385"/>
      <c r="I37" s="385"/>
      <c r="J37" s="385">
        <v>9</v>
      </c>
      <c r="K37" s="385">
        <v>19917</v>
      </c>
      <c r="L37" s="385"/>
      <c r="M37" s="385">
        <v>2213</v>
      </c>
      <c r="N37" s="385"/>
      <c r="O37" s="385"/>
      <c r="P37" s="416"/>
      <c r="Q37" s="386"/>
    </row>
    <row r="38" spans="1:17" ht="14.4" customHeight="1" x14ac:dyDescent="0.3">
      <c r="A38" s="381" t="s">
        <v>669</v>
      </c>
      <c r="B38" s="382" t="s">
        <v>598</v>
      </c>
      <c r="C38" s="382" t="s">
        <v>595</v>
      </c>
      <c r="D38" s="382" t="s">
        <v>605</v>
      </c>
      <c r="E38" s="382" t="s">
        <v>606</v>
      </c>
      <c r="F38" s="385">
        <v>2</v>
      </c>
      <c r="G38" s="385">
        <v>2064</v>
      </c>
      <c r="H38" s="385">
        <v>1</v>
      </c>
      <c r="I38" s="385">
        <v>1032</v>
      </c>
      <c r="J38" s="385">
        <v>1</v>
      </c>
      <c r="K38" s="385">
        <v>1035</v>
      </c>
      <c r="L38" s="385">
        <v>0.50145348837209303</v>
      </c>
      <c r="M38" s="385">
        <v>1035</v>
      </c>
      <c r="N38" s="385">
        <v>1</v>
      </c>
      <c r="O38" s="385">
        <v>1035</v>
      </c>
      <c r="P38" s="416">
        <v>0.50145348837209303</v>
      </c>
      <c r="Q38" s="386">
        <v>1035</v>
      </c>
    </row>
    <row r="39" spans="1:17" ht="14.4" customHeight="1" x14ac:dyDescent="0.3">
      <c r="A39" s="381" t="s">
        <v>669</v>
      </c>
      <c r="B39" s="382" t="s">
        <v>598</v>
      </c>
      <c r="C39" s="382" t="s">
        <v>595</v>
      </c>
      <c r="D39" s="382" t="s">
        <v>607</v>
      </c>
      <c r="E39" s="382" t="s">
        <v>608</v>
      </c>
      <c r="F39" s="385">
        <v>7</v>
      </c>
      <c r="G39" s="385">
        <v>25823</v>
      </c>
      <c r="H39" s="385">
        <v>1</v>
      </c>
      <c r="I39" s="385">
        <v>3689</v>
      </c>
      <c r="J39" s="385">
        <v>4</v>
      </c>
      <c r="K39" s="385">
        <v>14792</v>
      </c>
      <c r="L39" s="385">
        <v>0.57282267745808002</v>
      </c>
      <c r="M39" s="385">
        <v>3698</v>
      </c>
      <c r="N39" s="385">
        <v>6</v>
      </c>
      <c r="O39" s="385">
        <v>22188</v>
      </c>
      <c r="P39" s="416">
        <v>0.85923401618712003</v>
      </c>
      <c r="Q39" s="386">
        <v>3698</v>
      </c>
    </row>
    <row r="40" spans="1:17" ht="14.4" customHeight="1" x14ac:dyDescent="0.3">
      <c r="A40" s="381" t="s">
        <v>669</v>
      </c>
      <c r="B40" s="382" t="s">
        <v>598</v>
      </c>
      <c r="C40" s="382" t="s">
        <v>595</v>
      </c>
      <c r="D40" s="382" t="s">
        <v>609</v>
      </c>
      <c r="E40" s="382" t="s">
        <v>610</v>
      </c>
      <c r="F40" s="385">
        <v>2</v>
      </c>
      <c r="G40" s="385">
        <v>874</v>
      </c>
      <c r="H40" s="385">
        <v>1</v>
      </c>
      <c r="I40" s="385">
        <v>437</v>
      </c>
      <c r="J40" s="385"/>
      <c r="K40" s="385"/>
      <c r="L40" s="385"/>
      <c r="M40" s="385"/>
      <c r="N40" s="385"/>
      <c r="O40" s="385"/>
      <c r="P40" s="416"/>
      <c r="Q40" s="386"/>
    </row>
    <row r="41" spans="1:17" ht="14.4" customHeight="1" x14ac:dyDescent="0.3">
      <c r="A41" s="381" t="s">
        <v>669</v>
      </c>
      <c r="B41" s="382" t="s">
        <v>598</v>
      </c>
      <c r="C41" s="382" t="s">
        <v>595</v>
      </c>
      <c r="D41" s="382" t="s">
        <v>613</v>
      </c>
      <c r="E41" s="382" t="s">
        <v>614</v>
      </c>
      <c r="F41" s="385"/>
      <c r="G41" s="385"/>
      <c r="H41" s="385"/>
      <c r="I41" s="385"/>
      <c r="J41" s="385"/>
      <c r="K41" s="385"/>
      <c r="L41" s="385"/>
      <c r="M41" s="385"/>
      <c r="N41" s="385">
        <v>3</v>
      </c>
      <c r="O41" s="385">
        <v>4839</v>
      </c>
      <c r="P41" s="416"/>
      <c r="Q41" s="386">
        <v>1613</v>
      </c>
    </row>
    <row r="42" spans="1:17" ht="14.4" customHeight="1" x14ac:dyDescent="0.3">
      <c r="A42" s="381" t="s">
        <v>669</v>
      </c>
      <c r="B42" s="382" t="s">
        <v>598</v>
      </c>
      <c r="C42" s="382" t="s">
        <v>595</v>
      </c>
      <c r="D42" s="382" t="s">
        <v>615</v>
      </c>
      <c r="E42" s="382" t="s">
        <v>616</v>
      </c>
      <c r="F42" s="385">
        <v>1</v>
      </c>
      <c r="G42" s="385">
        <v>1531</v>
      </c>
      <c r="H42" s="385">
        <v>1</v>
      </c>
      <c r="I42" s="385">
        <v>1531</v>
      </c>
      <c r="J42" s="385"/>
      <c r="K42" s="385"/>
      <c r="L42" s="385"/>
      <c r="M42" s="385"/>
      <c r="N42" s="385"/>
      <c r="O42" s="385"/>
      <c r="P42" s="416"/>
      <c r="Q42" s="386"/>
    </row>
    <row r="43" spans="1:17" ht="14.4" customHeight="1" x14ac:dyDescent="0.3">
      <c r="A43" s="381" t="s">
        <v>669</v>
      </c>
      <c r="B43" s="382" t="s">
        <v>598</v>
      </c>
      <c r="C43" s="382" t="s">
        <v>595</v>
      </c>
      <c r="D43" s="382" t="s">
        <v>617</v>
      </c>
      <c r="E43" s="382" t="s">
        <v>618</v>
      </c>
      <c r="F43" s="385"/>
      <c r="G43" s="385"/>
      <c r="H43" s="385"/>
      <c r="I43" s="385"/>
      <c r="J43" s="385">
        <v>8</v>
      </c>
      <c r="K43" s="385">
        <v>6552</v>
      </c>
      <c r="L43" s="385"/>
      <c r="M43" s="385">
        <v>819</v>
      </c>
      <c r="N43" s="385"/>
      <c r="O43" s="385"/>
      <c r="P43" s="416"/>
      <c r="Q43" s="386"/>
    </row>
    <row r="44" spans="1:17" ht="14.4" customHeight="1" x14ac:dyDescent="0.3">
      <c r="A44" s="381" t="s">
        <v>669</v>
      </c>
      <c r="B44" s="382" t="s">
        <v>598</v>
      </c>
      <c r="C44" s="382" t="s">
        <v>595</v>
      </c>
      <c r="D44" s="382" t="s">
        <v>619</v>
      </c>
      <c r="E44" s="382" t="s">
        <v>620</v>
      </c>
      <c r="F44" s="385">
        <v>2</v>
      </c>
      <c r="G44" s="385">
        <v>2882</v>
      </c>
      <c r="H44" s="385">
        <v>1</v>
      </c>
      <c r="I44" s="385">
        <v>1441</v>
      </c>
      <c r="J44" s="385">
        <v>3</v>
      </c>
      <c r="K44" s="385">
        <v>4341</v>
      </c>
      <c r="L44" s="385">
        <v>1.5062456627342125</v>
      </c>
      <c r="M44" s="385">
        <v>1447</v>
      </c>
      <c r="N44" s="385"/>
      <c r="O44" s="385"/>
      <c r="P44" s="416"/>
      <c r="Q44" s="386"/>
    </row>
    <row r="45" spans="1:17" ht="14.4" customHeight="1" x14ac:dyDescent="0.3">
      <c r="A45" s="381" t="s">
        <v>669</v>
      </c>
      <c r="B45" s="382" t="s">
        <v>598</v>
      </c>
      <c r="C45" s="382" t="s">
        <v>595</v>
      </c>
      <c r="D45" s="382" t="s">
        <v>623</v>
      </c>
      <c r="E45" s="382" t="s">
        <v>624</v>
      </c>
      <c r="F45" s="385">
        <v>8</v>
      </c>
      <c r="G45" s="385">
        <v>128</v>
      </c>
      <c r="H45" s="385">
        <v>1</v>
      </c>
      <c r="I45" s="385">
        <v>16</v>
      </c>
      <c r="J45" s="385">
        <v>18</v>
      </c>
      <c r="K45" s="385">
        <v>288</v>
      </c>
      <c r="L45" s="385">
        <v>2.25</v>
      </c>
      <c r="M45" s="385">
        <v>16</v>
      </c>
      <c r="N45" s="385">
        <v>6</v>
      </c>
      <c r="O45" s="385">
        <v>96</v>
      </c>
      <c r="P45" s="416">
        <v>0.75</v>
      </c>
      <c r="Q45" s="386">
        <v>16</v>
      </c>
    </row>
    <row r="46" spans="1:17" ht="14.4" customHeight="1" x14ac:dyDescent="0.3">
      <c r="A46" s="381" t="s">
        <v>669</v>
      </c>
      <c r="B46" s="382" t="s">
        <v>598</v>
      </c>
      <c r="C46" s="382" t="s">
        <v>595</v>
      </c>
      <c r="D46" s="382" t="s">
        <v>625</v>
      </c>
      <c r="E46" s="382" t="s">
        <v>610</v>
      </c>
      <c r="F46" s="385">
        <v>11</v>
      </c>
      <c r="G46" s="385">
        <v>7535</v>
      </c>
      <c r="H46" s="385">
        <v>1</v>
      </c>
      <c r="I46" s="385">
        <v>685</v>
      </c>
      <c r="J46" s="385">
        <v>21</v>
      </c>
      <c r="K46" s="385">
        <v>14448</v>
      </c>
      <c r="L46" s="385">
        <v>1.9174518911745189</v>
      </c>
      <c r="M46" s="385">
        <v>688</v>
      </c>
      <c r="N46" s="385">
        <v>11</v>
      </c>
      <c r="O46" s="385">
        <v>7568</v>
      </c>
      <c r="P46" s="416">
        <v>1.0043795620437956</v>
      </c>
      <c r="Q46" s="386">
        <v>688</v>
      </c>
    </row>
    <row r="47" spans="1:17" ht="14.4" customHeight="1" x14ac:dyDescent="0.3">
      <c r="A47" s="381" t="s">
        <v>669</v>
      </c>
      <c r="B47" s="382" t="s">
        <v>598</v>
      </c>
      <c r="C47" s="382" t="s">
        <v>595</v>
      </c>
      <c r="D47" s="382" t="s">
        <v>626</v>
      </c>
      <c r="E47" s="382" t="s">
        <v>612</v>
      </c>
      <c r="F47" s="385">
        <v>18</v>
      </c>
      <c r="G47" s="385">
        <v>24678</v>
      </c>
      <c r="H47" s="385">
        <v>1</v>
      </c>
      <c r="I47" s="385">
        <v>1371</v>
      </c>
      <c r="J47" s="385">
        <v>14</v>
      </c>
      <c r="K47" s="385">
        <v>19250</v>
      </c>
      <c r="L47" s="385">
        <v>0.78004700542993755</v>
      </c>
      <c r="M47" s="385">
        <v>1375</v>
      </c>
      <c r="N47" s="385">
        <v>18</v>
      </c>
      <c r="O47" s="385">
        <v>24750</v>
      </c>
      <c r="P47" s="416">
        <v>1.0029175784099198</v>
      </c>
      <c r="Q47" s="386">
        <v>1375</v>
      </c>
    </row>
    <row r="48" spans="1:17" ht="14.4" customHeight="1" x14ac:dyDescent="0.3">
      <c r="A48" s="381" t="s">
        <v>669</v>
      </c>
      <c r="B48" s="382" t="s">
        <v>598</v>
      </c>
      <c r="C48" s="382" t="s">
        <v>595</v>
      </c>
      <c r="D48" s="382" t="s">
        <v>627</v>
      </c>
      <c r="E48" s="382" t="s">
        <v>628</v>
      </c>
      <c r="F48" s="385">
        <v>8</v>
      </c>
      <c r="G48" s="385">
        <v>18480</v>
      </c>
      <c r="H48" s="385">
        <v>1</v>
      </c>
      <c r="I48" s="385">
        <v>2310</v>
      </c>
      <c r="J48" s="385">
        <v>7</v>
      </c>
      <c r="K48" s="385">
        <v>16233</v>
      </c>
      <c r="L48" s="385">
        <v>0.87840909090909092</v>
      </c>
      <c r="M48" s="385">
        <v>2319</v>
      </c>
      <c r="N48" s="385">
        <v>6</v>
      </c>
      <c r="O48" s="385">
        <v>13914</v>
      </c>
      <c r="P48" s="416">
        <v>0.75292207792207788</v>
      </c>
      <c r="Q48" s="386">
        <v>2319</v>
      </c>
    </row>
    <row r="49" spans="1:17" ht="14.4" customHeight="1" x14ac:dyDescent="0.3">
      <c r="A49" s="381" t="s">
        <v>669</v>
      </c>
      <c r="B49" s="382" t="s">
        <v>598</v>
      </c>
      <c r="C49" s="382" t="s">
        <v>595</v>
      </c>
      <c r="D49" s="382" t="s">
        <v>629</v>
      </c>
      <c r="E49" s="382" t="s">
        <v>630</v>
      </c>
      <c r="F49" s="385">
        <v>11</v>
      </c>
      <c r="G49" s="385">
        <v>715</v>
      </c>
      <c r="H49" s="385">
        <v>1</v>
      </c>
      <c r="I49" s="385">
        <v>65</v>
      </c>
      <c r="J49" s="385">
        <v>21</v>
      </c>
      <c r="K49" s="385">
        <v>1365</v>
      </c>
      <c r="L49" s="385">
        <v>1.9090909090909092</v>
      </c>
      <c r="M49" s="385">
        <v>65</v>
      </c>
      <c r="N49" s="385">
        <v>11</v>
      </c>
      <c r="O49" s="385">
        <v>715</v>
      </c>
      <c r="P49" s="416">
        <v>1</v>
      </c>
      <c r="Q49" s="386">
        <v>65</v>
      </c>
    </row>
    <row r="50" spans="1:17" ht="14.4" customHeight="1" x14ac:dyDescent="0.3">
      <c r="A50" s="381" t="s">
        <v>669</v>
      </c>
      <c r="B50" s="382" t="s">
        <v>598</v>
      </c>
      <c r="C50" s="382" t="s">
        <v>595</v>
      </c>
      <c r="D50" s="382" t="s">
        <v>631</v>
      </c>
      <c r="E50" s="382" t="s">
        <v>632</v>
      </c>
      <c r="F50" s="385">
        <v>2</v>
      </c>
      <c r="G50" s="385">
        <v>788</v>
      </c>
      <c r="H50" s="385">
        <v>1</v>
      </c>
      <c r="I50" s="385">
        <v>394</v>
      </c>
      <c r="J50" s="385">
        <v>3</v>
      </c>
      <c r="K50" s="385">
        <v>1188</v>
      </c>
      <c r="L50" s="385">
        <v>1.5076142131979695</v>
      </c>
      <c r="M50" s="385">
        <v>396</v>
      </c>
      <c r="N50" s="385"/>
      <c r="O50" s="385"/>
      <c r="P50" s="416"/>
      <c r="Q50" s="386"/>
    </row>
    <row r="51" spans="1:17" ht="14.4" customHeight="1" x14ac:dyDescent="0.3">
      <c r="A51" s="381" t="s">
        <v>669</v>
      </c>
      <c r="B51" s="382" t="s">
        <v>598</v>
      </c>
      <c r="C51" s="382" t="s">
        <v>595</v>
      </c>
      <c r="D51" s="382" t="s">
        <v>635</v>
      </c>
      <c r="E51" s="382" t="s">
        <v>636</v>
      </c>
      <c r="F51" s="385">
        <v>29</v>
      </c>
      <c r="G51" s="385">
        <v>15921</v>
      </c>
      <c r="H51" s="385">
        <v>1</v>
      </c>
      <c r="I51" s="385">
        <v>549</v>
      </c>
      <c r="J51" s="385">
        <v>14</v>
      </c>
      <c r="K51" s="385">
        <v>7700</v>
      </c>
      <c r="L51" s="385">
        <v>0.48363796243954527</v>
      </c>
      <c r="M51" s="385">
        <v>550</v>
      </c>
      <c r="N51" s="385">
        <v>25</v>
      </c>
      <c r="O51" s="385">
        <v>13750</v>
      </c>
      <c r="P51" s="416">
        <v>0.86363921864204507</v>
      </c>
      <c r="Q51" s="386">
        <v>550</v>
      </c>
    </row>
    <row r="52" spans="1:17" ht="14.4" customHeight="1" x14ac:dyDescent="0.3">
      <c r="A52" s="381" t="s">
        <v>669</v>
      </c>
      <c r="B52" s="382" t="s">
        <v>598</v>
      </c>
      <c r="C52" s="382" t="s">
        <v>595</v>
      </c>
      <c r="D52" s="382" t="s">
        <v>641</v>
      </c>
      <c r="E52" s="382" t="s">
        <v>642</v>
      </c>
      <c r="F52" s="385"/>
      <c r="G52" s="385"/>
      <c r="H52" s="385"/>
      <c r="I52" s="385"/>
      <c r="J52" s="385">
        <v>1</v>
      </c>
      <c r="K52" s="385">
        <v>122</v>
      </c>
      <c r="L52" s="385"/>
      <c r="M52" s="385">
        <v>122</v>
      </c>
      <c r="N52" s="385"/>
      <c r="O52" s="385"/>
      <c r="P52" s="416"/>
      <c r="Q52" s="386"/>
    </row>
    <row r="53" spans="1:17" ht="14.4" customHeight="1" x14ac:dyDescent="0.3">
      <c r="A53" s="381" t="s">
        <v>669</v>
      </c>
      <c r="B53" s="382" t="s">
        <v>598</v>
      </c>
      <c r="C53" s="382" t="s">
        <v>595</v>
      </c>
      <c r="D53" s="382" t="s">
        <v>648</v>
      </c>
      <c r="E53" s="382" t="s">
        <v>649</v>
      </c>
      <c r="F53" s="385"/>
      <c r="G53" s="385"/>
      <c r="H53" s="385"/>
      <c r="I53" s="385"/>
      <c r="J53" s="385"/>
      <c r="K53" s="385"/>
      <c r="L53" s="385"/>
      <c r="M53" s="385"/>
      <c r="N53" s="385">
        <v>1</v>
      </c>
      <c r="O53" s="385">
        <v>1607</v>
      </c>
      <c r="P53" s="416"/>
      <c r="Q53" s="386">
        <v>1607</v>
      </c>
    </row>
    <row r="54" spans="1:17" ht="14.4" customHeight="1" x14ac:dyDescent="0.3">
      <c r="A54" s="381" t="s">
        <v>669</v>
      </c>
      <c r="B54" s="382" t="s">
        <v>598</v>
      </c>
      <c r="C54" s="382" t="s">
        <v>595</v>
      </c>
      <c r="D54" s="382" t="s">
        <v>650</v>
      </c>
      <c r="E54" s="382" t="s">
        <v>642</v>
      </c>
      <c r="F54" s="385"/>
      <c r="G54" s="385"/>
      <c r="H54" s="385"/>
      <c r="I54" s="385"/>
      <c r="J54" s="385">
        <v>2</v>
      </c>
      <c r="K54" s="385">
        <v>452</v>
      </c>
      <c r="L54" s="385"/>
      <c r="M54" s="385">
        <v>226</v>
      </c>
      <c r="N54" s="385"/>
      <c r="O54" s="385"/>
      <c r="P54" s="416"/>
      <c r="Q54" s="386"/>
    </row>
    <row r="55" spans="1:17" ht="14.4" customHeight="1" x14ac:dyDescent="0.3">
      <c r="A55" s="381" t="s">
        <v>670</v>
      </c>
      <c r="B55" s="382" t="s">
        <v>594</v>
      </c>
      <c r="C55" s="382" t="s">
        <v>595</v>
      </c>
      <c r="D55" s="382" t="s">
        <v>596</v>
      </c>
      <c r="E55" s="382" t="s">
        <v>597</v>
      </c>
      <c r="F55" s="385"/>
      <c r="G55" s="385"/>
      <c r="H55" s="385"/>
      <c r="I55" s="385"/>
      <c r="J55" s="385">
        <v>1</v>
      </c>
      <c r="K55" s="385">
        <v>10595</v>
      </c>
      <c r="L55" s="385"/>
      <c r="M55" s="385">
        <v>10595</v>
      </c>
      <c r="N55" s="385"/>
      <c r="O55" s="385"/>
      <c r="P55" s="416"/>
      <c r="Q55" s="386"/>
    </row>
    <row r="56" spans="1:17" ht="14.4" customHeight="1" x14ac:dyDescent="0.3">
      <c r="A56" s="381" t="s">
        <v>670</v>
      </c>
      <c r="B56" s="382" t="s">
        <v>598</v>
      </c>
      <c r="C56" s="382" t="s">
        <v>595</v>
      </c>
      <c r="D56" s="382" t="s">
        <v>603</v>
      </c>
      <c r="E56" s="382" t="s">
        <v>604</v>
      </c>
      <c r="F56" s="385"/>
      <c r="G56" s="385"/>
      <c r="H56" s="385"/>
      <c r="I56" s="385"/>
      <c r="J56" s="385">
        <v>2</v>
      </c>
      <c r="K56" s="385">
        <v>4426</v>
      </c>
      <c r="L56" s="385"/>
      <c r="M56" s="385">
        <v>2213</v>
      </c>
      <c r="N56" s="385"/>
      <c r="O56" s="385"/>
      <c r="P56" s="416"/>
      <c r="Q56" s="386"/>
    </row>
    <row r="57" spans="1:17" ht="14.4" customHeight="1" x14ac:dyDescent="0.3">
      <c r="A57" s="381" t="s">
        <v>670</v>
      </c>
      <c r="B57" s="382" t="s">
        <v>598</v>
      </c>
      <c r="C57" s="382" t="s">
        <v>595</v>
      </c>
      <c r="D57" s="382" t="s">
        <v>607</v>
      </c>
      <c r="E57" s="382" t="s">
        <v>608</v>
      </c>
      <c r="F57" s="385">
        <v>1</v>
      </c>
      <c r="G57" s="385">
        <v>3689</v>
      </c>
      <c r="H57" s="385">
        <v>1</v>
      </c>
      <c r="I57" s="385">
        <v>3689</v>
      </c>
      <c r="J57" s="385">
        <v>1</v>
      </c>
      <c r="K57" s="385">
        <v>3698</v>
      </c>
      <c r="L57" s="385">
        <v>1.00243968555164</v>
      </c>
      <c r="M57" s="385">
        <v>3698</v>
      </c>
      <c r="N57" s="385">
        <v>2</v>
      </c>
      <c r="O57" s="385">
        <v>7396</v>
      </c>
      <c r="P57" s="416">
        <v>2.00487937110328</v>
      </c>
      <c r="Q57" s="386">
        <v>3698</v>
      </c>
    </row>
    <row r="58" spans="1:17" ht="14.4" customHeight="1" x14ac:dyDescent="0.3">
      <c r="A58" s="381" t="s">
        <v>670</v>
      </c>
      <c r="B58" s="382" t="s">
        <v>598</v>
      </c>
      <c r="C58" s="382" t="s">
        <v>595</v>
      </c>
      <c r="D58" s="382" t="s">
        <v>609</v>
      </c>
      <c r="E58" s="382" t="s">
        <v>610</v>
      </c>
      <c r="F58" s="385">
        <v>1</v>
      </c>
      <c r="G58" s="385">
        <v>437</v>
      </c>
      <c r="H58" s="385">
        <v>1</v>
      </c>
      <c r="I58" s="385">
        <v>437</v>
      </c>
      <c r="J58" s="385"/>
      <c r="K58" s="385"/>
      <c r="L58" s="385"/>
      <c r="M58" s="385"/>
      <c r="N58" s="385"/>
      <c r="O58" s="385"/>
      <c r="P58" s="416"/>
      <c r="Q58" s="386"/>
    </row>
    <row r="59" spans="1:17" ht="14.4" customHeight="1" x14ac:dyDescent="0.3">
      <c r="A59" s="381" t="s">
        <v>670</v>
      </c>
      <c r="B59" s="382" t="s">
        <v>598</v>
      </c>
      <c r="C59" s="382" t="s">
        <v>595</v>
      </c>
      <c r="D59" s="382" t="s">
        <v>611</v>
      </c>
      <c r="E59" s="382" t="s">
        <v>612</v>
      </c>
      <c r="F59" s="385">
        <v>1</v>
      </c>
      <c r="G59" s="385">
        <v>831</v>
      </c>
      <c r="H59" s="385">
        <v>1</v>
      </c>
      <c r="I59" s="385">
        <v>831</v>
      </c>
      <c r="J59" s="385"/>
      <c r="K59" s="385"/>
      <c r="L59" s="385"/>
      <c r="M59" s="385"/>
      <c r="N59" s="385"/>
      <c r="O59" s="385"/>
      <c r="P59" s="416"/>
      <c r="Q59" s="386"/>
    </row>
    <row r="60" spans="1:17" ht="14.4" customHeight="1" x14ac:dyDescent="0.3">
      <c r="A60" s="381" t="s">
        <v>670</v>
      </c>
      <c r="B60" s="382" t="s">
        <v>598</v>
      </c>
      <c r="C60" s="382" t="s">
        <v>595</v>
      </c>
      <c r="D60" s="382" t="s">
        <v>619</v>
      </c>
      <c r="E60" s="382" t="s">
        <v>620</v>
      </c>
      <c r="F60" s="385"/>
      <c r="G60" s="385"/>
      <c r="H60" s="385"/>
      <c r="I60" s="385"/>
      <c r="J60" s="385"/>
      <c r="K60" s="385"/>
      <c r="L60" s="385"/>
      <c r="M60" s="385"/>
      <c r="N60" s="385">
        <v>1</v>
      </c>
      <c r="O60" s="385">
        <v>1447</v>
      </c>
      <c r="P60" s="416"/>
      <c r="Q60" s="386">
        <v>1447</v>
      </c>
    </row>
    <row r="61" spans="1:17" ht="14.4" customHeight="1" x14ac:dyDescent="0.3">
      <c r="A61" s="381" t="s">
        <v>670</v>
      </c>
      <c r="B61" s="382" t="s">
        <v>598</v>
      </c>
      <c r="C61" s="382" t="s">
        <v>595</v>
      </c>
      <c r="D61" s="382" t="s">
        <v>623</v>
      </c>
      <c r="E61" s="382" t="s">
        <v>624</v>
      </c>
      <c r="F61" s="385">
        <v>1</v>
      </c>
      <c r="G61" s="385">
        <v>16</v>
      </c>
      <c r="H61" s="385">
        <v>1</v>
      </c>
      <c r="I61" s="385">
        <v>16</v>
      </c>
      <c r="J61" s="385">
        <v>1</v>
      </c>
      <c r="K61" s="385">
        <v>16</v>
      </c>
      <c r="L61" s="385">
        <v>1</v>
      </c>
      <c r="M61" s="385">
        <v>16</v>
      </c>
      <c r="N61" s="385">
        <v>2</v>
      </c>
      <c r="O61" s="385">
        <v>32</v>
      </c>
      <c r="P61" s="416">
        <v>2</v>
      </c>
      <c r="Q61" s="386">
        <v>16</v>
      </c>
    </row>
    <row r="62" spans="1:17" ht="14.4" customHeight="1" x14ac:dyDescent="0.3">
      <c r="A62" s="381" t="s">
        <v>670</v>
      </c>
      <c r="B62" s="382" t="s">
        <v>598</v>
      </c>
      <c r="C62" s="382" t="s">
        <v>595</v>
      </c>
      <c r="D62" s="382" t="s">
        <v>625</v>
      </c>
      <c r="E62" s="382" t="s">
        <v>610</v>
      </c>
      <c r="F62" s="385"/>
      <c r="G62" s="385"/>
      <c r="H62" s="385"/>
      <c r="I62" s="385"/>
      <c r="J62" s="385">
        <v>2</v>
      </c>
      <c r="K62" s="385">
        <v>1376</v>
      </c>
      <c r="L62" s="385"/>
      <c r="M62" s="385">
        <v>688</v>
      </c>
      <c r="N62" s="385">
        <v>4</v>
      </c>
      <c r="O62" s="385">
        <v>2752</v>
      </c>
      <c r="P62" s="416"/>
      <c r="Q62" s="386">
        <v>688</v>
      </c>
    </row>
    <row r="63" spans="1:17" ht="14.4" customHeight="1" x14ac:dyDescent="0.3">
      <c r="A63" s="381" t="s">
        <v>670</v>
      </c>
      <c r="B63" s="382" t="s">
        <v>598</v>
      </c>
      <c r="C63" s="382" t="s">
        <v>595</v>
      </c>
      <c r="D63" s="382" t="s">
        <v>626</v>
      </c>
      <c r="E63" s="382" t="s">
        <v>612</v>
      </c>
      <c r="F63" s="385"/>
      <c r="G63" s="385"/>
      <c r="H63" s="385"/>
      <c r="I63" s="385"/>
      <c r="J63" s="385">
        <v>3</v>
      </c>
      <c r="K63" s="385">
        <v>4125</v>
      </c>
      <c r="L63" s="385"/>
      <c r="M63" s="385">
        <v>1375</v>
      </c>
      <c r="N63" s="385">
        <v>3</v>
      </c>
      <c r="O63" s="385">
        <v>4125</v>
      </c>
      <c r="P63" s="416"/>
      <c r="Q63" s="386">
        <v>1375</v>
      </c>
    </row>
    <row r="64" spans="1:17" ht="14.4" customHeight="1" x14ac:dyDescent="0.3">
      <c r="A64" s="381" t="s">
        <v>670</v>
      </c>
      <c r="B64" s="382" t="s">
        <v>598</v>
      </c>
      <c r="C64" s="382" t="s">
        <v>595</v>
      </c>
      <c r="D64" s="382" t="s">
        <v>627</v>
      </c>
      <c r="E64" s="382" t="s">
        <v>628</v>
      </c>
      <c r="F64" s="385"/>
      <c r="G64" s="385"/>
      <c r="H64" s="385"/>
      <c r="I64" s="385"/>
      <c r="J64" s="385">
        <v>1</v>
      </c>
      <c r="K64" s="385">
        <v>2319</v>
      </c>
      <c r="L64" s="385"/>
      <c r="M64" s="385">
        <v>2319</v>
      </c>
      <c r="N64" s="385">
        <v>2</v>
      </c>
      <c r="O64" s="385">
        <v>4638</v>
      </c>
      <c r="P64" s="416"/>
      <c r="Q64" s="386">
        <v>2319</v>
      </c>
    </row>
    <row r="65" spans="1:17" ht="14.4" customHeight="1" x14ac:dyDescent="0.3">
      <c r="A65" s="381" t="s">
        <v>670</v>
      </c>
      <c r="B65" s="382" t="s">
        <v>598</v>
      </c>
      <c r="C65" s="382" t="s">
        <v>595</v>
      </c>
      <c r="D65" s="382" t="s">
        <v>629</v>
      </c>
      <c r="E65" s="382" t="s">
        <v>630</v>
      </c>
      <c r="F65" s="385">
        <v>1</v>
      </c>
      <c r="G65" s="385">
        <v>65</v>
      </c>
      <c r="H65" s="385">
        <v>1</v>
      </c>
      <c r="I65" s="385">
        <v>65</v>
      </c>
      <c r="J65" s="385">
        <v>2</v>
      </c>
      <c r="K65" s="385">
        <v>130</v>
      </c>
      <c r="L65" s="385">
        <v>2</v>
      </c>
      <c r="M65" s="385">
        <v>65</v>
      </c>
      <c r="N65" s="385">
        <v>4</v>
      </c>
      <c r="O65" s="385">
        <v>260</v>
      </c>
      <c r="P65" s="416">
        <v>4</v>
      </c>
      <c r="Q65" s="386">
        <v>65</v>
      </c>
    </row>
    <row r="66" spans="1:17" ht="14.4" customHeight="1" x14ac:dyDescent="0.3">
      <c r="A66" s="381" t="s">
        <v>670</v>
      </c>
      <c r="B66" s="382" t="s">
        <v>598</v>
      </c>
      <c r="C66" s="382" t="s">
        <v>595</v>
      </c>
      <c r="D66" s="382" t="s">
        <v>631</v>
      </c>
      <c r="E66" s="382" t="s">
        <v>632</v>
      </c>
      <c r="F66" s="385"/>
      <c r="G66" s="385"/>
      <c r="H66" s="385"/>
      <c r="I66" s="385"/>
      <c r="J66" s="385"/>
      <c r="K66" s="385"/>
      <c r="L66" s="385"/>
      <c r="M66" s="385"/>
      <c r="N66" s="385">
        <v>1</v>
      </c>
      <c r="O66" s="385">
        <v>396</v>
      </c>
      <c r="P66" s="416"/>
      <c r="Q66" s="386">
        <v>396</v>
      </c>
    </row>
    <row r="67" spans="1:17" ht="14.4" customHeight="1" x14ac:dyDescent="0.3">
      <c r="A67" s="381" t="s">
        <v>670</v>
      </c>
      <c r="B67" s="382" t="s">
        <v>598</v>
      </c>
      <c r="C67" s="382" t="s">
        <v>595</v>
      </c>
      <c r="D67" s="382" t="s">
        <v>633</v>
      </c>
      <c r="E67" s="382" t="s">
        <v>634</v>
      </c>
      <c r="F67" s="385">
        <v>1</v>
      </c>
      <c r="G67" s="385">
        <v>1597</v>
      </c>
      <c r="H67" s="385">
        <v>1</v>
      </c>
      <c r="I67" s="385">
        <v>1597</v>
      </c>
      <c r="J67" s="385"/>
      <c r="K67" s="385"/>
      <c r="L67" s="385"/>
      <c r="M67" s="385"/>
      <c r="N67" s="385"/>
      <c r="O67" s="385"/>
      <c r="P67" s="416"/>
      <c r="Q67" s="386"/>
    </row>
    <row r="68" spans="1:17" ht="14.4" customHeight="1" x14ac:dyDescent="0.3">
      <c r="A68" s="381" t="s">
        <v>670</v>
      </c>
      <c r="B68" s="382" t="s">
        <v>598</v>
      </c>
      <c r="C68" s="382" t="s">
        <v>595</v>
      </c>
      <c r="D68" s="382" t="s">
        <v>635</v>
      </c>
      <c r="E68" s="382" t="s">
        <v>636</v>
      </c>
      <c r="F68" s="385"/>
      <c r="G68" s="385"/>
      <c r="H68" s="385"/>
      <c r="I68" s="385"/>
      <c r="J68" s="385">
        <v>5</v>
      </c>
      <c r="K68" s="385">
        <v>2750</v>
      </c>
      <c r="L68" s="385"/>
      <c r="M68" s="385">
        <v>550</v>
      </c>
      <c r="N68" s="385">
        <v>10</v>
      </c>
      <c r="O68" s="385">
        <v>5500</v>
      </c>
      <c r="P68" s="416"/>
      <c r="Q68" s="386">
        <v>550</v>
      </c>
    </row>
    <row r="69" spans="1:17" ht="14.4" customHeight="1" x14ac:dyDescent="0.3">
      <c r="A69" s="381" t="s">
        <v>670</v>
      </c>
      <c r="B69" s="382" t="s">
        <v>598</v>
      </c>
      <c r="C69" s="382" t="s">
        <v>595</v>
      </c>
      <c r="D69" s="382" t="s">
        <v>643</v>
      </c>
      <c r="E69" s="382" t="s">
        <v>644</v>
      </c>
      <c r="F69" s="385">
        <v>5</v>
      </c>
      <c r="G69" s="385">
        <v>2125</v>
      </c>
      <c r="H69" s="385">
        <v>1</v>
      </c>
      <c r="I69" s="385">
        <v>425</v>
      </c>
      <c r="J69" s="385"/>
      <c r="K69" s="385"/>
      <c r="L69" s="385"/>
      <c r="M69" s="385"/>
      <c r="N69" s="385"/>
      <c r="O69" s="385"/>
      <c r="P69" s="416"/>
      <c r="Q69" s="386"/>
    </row>
    <row r="70" spans="1:17" ht="14.4" customHeight="1" x14ac:dyDescent="0.3">
      <c r="A70" s="381" t="s">
        <v>670</v>
      </c>
      <c r="B70" s="382" t="s">
        <v>598</v>
      </c>
      <c r="C70" s="382" t="s">
        <v>595</v>
      </c>
      <c r="D70" s="382" t="s">
        <v>645</v>
      </c>
      <c r="E70" s="382" t="s">
        <v>646</v>
      </c>
      <c r="F70" s="385">
        <v>1</v>
      </c>
      <c r="G70" s="385">
        <v>1200</v>
      </c>
      <c r="H70" s="385">
        <v>1</v>
      </c>
      <c r="I70" s="385">
        <v>1200</v>
      </c>
      <c r="J70" s="385"/>
      <c r="K70" s="385"/>
      <c r="L70" s="385"/>
      <c r="M70" s="385"/>
      <c r="N70" s="385"/>
      <c r="O70" s="385"/>
      <c r="P70" s="416"/>
      <c r="Q70" s="386"/>
    </row>
    <row r="71" spans="1:17" ht="14.4" customHeight="1" x14ac:dyDescent="0.3">
      <c r="A71" s="381" t="s">
        <v>670</v>
      </c>
      <c r="B71" s="382" t="s">
        <v>598</v>
      </c>
      <c r="C71" s="382" t="s">
        <v>595</v>
      </c>
      <c r="D71" s="382" t="s">
        <v>647</v>
      </c>
      <c r="E71" s="382" t="s">
        <v>606</v>
      </c>
      <c r="F71" s="385">
        <v>1</v>
      </c>
      <c r="G71" s="385">
        <v>912</v>
      </c>
      <c r="H71" s="385">
        <v>1</v>
      </c>
      <c r="I71" s="385">
        <v>912</v>
      </c>
      <c r="J71" s="385"/>
      <c r="K71" s="385"/>
      <c r="L71" s="385"/>
      <c r="M71" s="385"/>
      <c r="N71" s="385"/>
      <c r="O71" s="385"/>
      <c r="P71" s="416"/>
      <c r="Q71" s="386"/>
    </row>
    <row r="72" spans="1:17" ht="14.4" customHeight="1" x14ac:dyDescent="0.3">
      <c r="A72" s="381" t="s">
        <v>671</v>
      </c>
      <c r="B72" s="382" t="s">
        <v>594</v>
      </c>
      <c r="C72" s="382" t="s">
        <v>595</v>
      </c>
      <c r="D72" s="382" t="s">
        <v>596</v>
      </c>
      <c r="E72" s="382" t="s">
        <v>597</v>
      </c>
      <c r="F72" s="385">
        <v>2</v>
      </c>
      <c r="G72" s="385">
        <v>21090</v>
      </c>
      <c r="H72" s="385">
        <v>1</v>
      </c>
      <c r="I72" s="385">
        <v>10545</v>
      </c>
      <c r="J72" s="385">
        <v>1</v>
      </c>
      <c r="K72" s="385">
        <v>10595</v>
      </c>
      <c r="L72" s="385">
        <v>0.50237079184447608</v>
      </c>
      <c r="M72" s="385">
        <v>10595</v>
      </c>
      <c r="N72" s="385"/>
      <c r="O72" s="385"/>
      <c r="P72" s="416"/>
      <c r="Q72" s="386"/>
    </row>
    <row r="73" spans="1:17" ht="14.4" customHeight="1" x14ac:dyDescent="0.3">
      <c r="A73" s="381" t="s">
        <v>671</v>
      </c>
      <c r="B73" s="382" t="s">
        <v>598</v>
      </c>
      <c r="C73" s="382" t="s">
        <v>595</v>
      </c>
      <c r="D73" s="382" t="s">
        <v>599</v>
      </c>
      <c r="E73" s="382" t="s">
        <v>600</v>
      </c>
      <c r="F73" s="385"/>
      <c r="G73" s="385"/>
      <c r="H73" s="385"/>
      <c r="I73" s="385"/>
      <c r="J73" s="385"/>
      <c r="K73" s="385"/>
      <c r="L73" s="385"/>
      <c r="M73" s="385"/>
      <c r="N73" s="385">
        <v>3</v>
      </c>
      <c r="O73" s="385">
        <v>378</v>
      </c>
      <c r="P73" s="416"/>
      <c r="Q73" s="386">
        <v>126</v>
      </c>
    </row>
    <row r="74" spans="1:17" ht="14.4" customHeight="1" x14ac:dyDescent="0.3">
      <c r="A74" s="381" t="s">
        <v>671</v>
      </c>
      <c r="B74" s="382" t="s">
        <v>598</v>
      </c>
      <c r="C74" s="382" t="s">
        <v>595</v>
      </c>
      <c r="D74" s="382" t="s">
        <v>601</v>
      </c>
      <c r="E74" s="382" t="s">
        <v>602</v>
      </c>
      <c r="F74" s="385"/>
      <c r="G74" s="385"/>
      <c r="H74" s="385"/>
      <c r="I74" s="385"/>
      <c r="J74" s="385"/>
      <c r="K74" s="385"/>
      <c r="L74" s="385"/>
      <c r="M74" s="385"/>
      <c r="N74" s="385">
        <v>10</v>
      </c>
      <c r="O74" s="385">
        <v>12200</v>
      </c>
      <c r="P74" s="416"/>
      <c r="Q74" s="386">
        <v>1220</v>
      </c>
    </row>
    <row r="75" spans="1:17" ht="14.4" customHeight="1" x14ac:dyDescent="0.3">
      <c r="A75" s="381" t="s">
        <v>671</v>
      </c>
      <c r="B75" s="382" t="s">
        <v>598</v>
      </c>
      <c r="C75" s="382" t="s">
        <v>595</v>
      </c>
      <c r="D75" s="382" t="s">
        <v>603</v>
      </c>
      <c r="E75" s="382" t="s">
        <v>604</v>
      </c>
      <c r="F75" s="385"/>
      <c r="G75" s="385"/>
      <c r="H75" s="385"/>
      <c r="I75" s="385"/>
      <c r="J75" s="385">
        <v>2</v>
      </c>
      <c r="K75" s="385">
        <v>4426</v>
      </c>
      <c r="L75" s="385"/>
      <c r="M75" s="385">
        <v>2213</v>
      </c>
      <c r="N75" s="385">
        <v>9</v>
      </c>
      <c r="O75" s="385">
        <v>19917</v>
      </c>
      <c r="P75" s="416"/>
      <c r="Q75" s="386">
        <v>2213</v>
      </c>
    </row>
    <row r="76" spans="1:17" ht="14.4" customHeight="1" x14ac:dyDescent="0.3">
      <c r="A76" s="381" t="s">
        <v>671</v>
      </c>
      <c r="B76" s="382" t="s">
        <v>598</v>
      </c>
      <c r="C76" s="382" t="s">
        <v>595</v>
      </c>
      <c r="D76" s="382" t="s">
        <v>605</v>
      </c>
      <c r="E76" s="382" t="s">
        <v>606</v>
      </c>
      <c r="F76" s="385">
        <v>1</v>
      </c>
      <c r="G76" s="385">
        <v>1032</v>
      </c>
      <c r="H76" s="385">
        <v>1</v>
      </c>
      <c r="I76" s="385">
        <v>1032</v>
      </c>
      <c r="J76" s="385"/>
      <c r="K76" s="385"/>
      <c r="L76" s="385"/>
      <c r="M76" s="385"/>
      <c r="N76" s="385"/>
      <c r="O76" s="385"/>
      <c r="P76" s="416"/>
      <c r="Q76" s="386"/>
    </row>
    <row r="77" spans="1:17" ht="14.4" customHeight="1" x14ac:dyDescent="0.3">
      <c r="A77" s="381" t="s">
        <v>671</v>
      </c>
      <c r="B77" s="382" t="s">
        <v>598</v>
      </c>
      <c r="C77" s="382" t="s">
        <v>595</v>
      </c>
      <c r="D77" s="382" t="s">
        <v>607</v>
      </c>
      <c r="E77" s="382" t="s">
        <v>608</v>
      </c>
      <c r="F77" s="385">
        <v>1</v>
      </c>
      <c r="G77" s="385">
        <v>3689</v>
      </c>
      <c r="H77" s="385">
        <v>1</v>
      </c>
      <c r="I77" s="385">
        <v>3689</v>
      </c>
      <c r="J77" s="385">
        <v>4</v>
      </c>
      <c r="K77" s="385">
        <v>14792</v>
      </c>
      <c r="L77" s="385">
        <v>4.0097587422065599</v>
      </c>
      <c r="M77" s="385">
        <v>3698</v>
      </c>
      <c r="N77" s="385">
        <v>6</v>
      </c>
      <c r="O77" s="385">
        <v>22188</v>
      </c>
      <c r="P77" s="416">
        <v>6.0146381133098403</v>
      </c>
      <c r="Q77" s="386">
        <v>3698</v>
      </c>
    </row>
    <row r="78" spans="1:17" ht="14.4" customHeight="1" x14ac:dyDescent="0.3">
      <c r="A78" s="381" t="s">
        <v>671</v>
      </c>
      <c r="B78" s="382" t="s">
        <v>598</v>
      </c>
      <c r="C78" s="382" t="s">
        <v>595</v>
      </c>
      <c r="D78" s="382" t="s">
        <v>609</v>
      </c>
      <c r="E78" s="382" t="s">
        <v>610</v>
      </c>
      <c r="F78" s="385"/>
      <c r="G78" s="385"/>
      <c r="H78" s="385"/>
      <c r="I78" s="385"/>
      <c r="J78" s="385"/>
      <c r="K78" s="385"/>
      <c r="L78" s="385"/>
      <c r="M78" s="385"/>
      <c r="N78" s="385">
        <v>1</v>
      </c>
      <c r="O78" s="385">
        <v>438</v>
      </c>
      <c r="P78" s="416"/>
      <c r="Q78" s="386">
        <v>438</v>
      </c>
    </row>
    <row r="79" spans="1:17" ht="14.4" customHeight="1" x14ac:dyDescent="0.3">
      <c r="A79" s="381" t="s">
        <v>671</v>
      </c>
      <c r="B79" s="382" t="s">
        <v>598</v>
      </c>
      <c r="C79" s="382" t="s">
        <v>595</v>
      </c>
      <c r="D79" s="382" t="s">
        <v>611</v>
      </c>
      <c r="E79" s="382" t="s">
        <v>612</v>
      </c>
      <c r="F79" s="385"/>
      <c r="G79" s="385"/>
      <c r="H79" s="385"/>
      <c r="I79" s="385"/>
      <c r="J79" s="385">
        <v>1</v>
      </c>
      <c r="K79" s="385">
        <v>832</v>
      </c>
      <c r="L79" s="385"/>
      <c r="M79" s="385">
        <v>832</v>
      </c>
      <c r="N79" s="385"/>
      <c r="O79" s="385"/>
      <c r="P79" s="416"/>
      <c r="Q79" s="386"/>
    </row>
    <row r="80" spans="1:17" ht="14.4" customHeight="1" x14ac:dyDescent="0.3">
      <c r="A80" s="381" t="s">
        <v>671</v>
      </c>
      <c r="B80" s="382" t="s">
        <v>598</v>
      </c>
      <c r="C80" s="382" t="s">
        <v>595</v>
      </c>
      <c r="D80" s="382" t="s">
        <v>613</v>
      </c>
      <c r="E80" s="382" t="s">
        <v>614</v>
      </c>
      <c r="F80" s="385"/>
      <c r="G80" s="385"/>
      <c r="H80" s="385"/>
      <c r="I80" s="385"/>
      <c r="J80" s="385"/>
      <c r="K80" s="385"/>
      <c r="L80" s="385"/>
      <c r="M80" s="385"/>
      <c r="N80" s="385">
        <v>2</v>
      </c>
      <c r="O80" s="385">
        <v>3226</v>
      </c>
      <c r="P80" s="416"/>
      <c r="Q80" s="386">
        <v>1613</v>
      </c>
    </row>
    <row r="81" spans="1:17" ht="14.4" customHeight="1" x14ac:dyDescent="0.3">
      <c r="A81" s="381" t="s">
        <v>671</v>
      </c>
      <c r="B81" s="382" t="s">
        <v>598</v>
      </c>
      <c r="C81" s="382" t="s">
        <v>595</v>
      </c>
      <c r="D81" s="382" t="s">
        <v>617</v>
      </c>
      <c r="E81" s="382" t="s">
        <v>618</v>
      </c>
      <c r="F81" s="385"/>
      <c r="G81" s="385"/>
      <c r="H81" s="385"/>
      <c r="I81" s="385"/>
      <c r="J81" s="385">
        <v>2</v>
      </c>
      <c r="K81" s="385">
        <v>1638</v>
      </c>
      <c r="L81" s="385"/>
      <c r="M81" s="385">
        <v>819</v>
      </c>
      <c r="N81" s="385">
        <v>1</v>
      </c>
      <c r="O81" s="385">
        <v>819</v>
      </c>
      <c r="P81" s="416"/>
      <c r="Q81" s="386">
        <v>819</v>
      </c>
    </row>
    <row r="82" spans="1:17" ht="14.4" customHeight="1" x14ac:dyDescent="0.3">
      <c r="A82" s="381" t="s">
        <v>671</v>
      </c>
      <c r="B82" s="382" t="s">
        <v>598</v>
      </c>
      <c r="C82" s="382" t="s">
        <v>595</v>
      </c>
      <c r="D82" s="382" t="s">
        <v>621</v>
      </c>
      <c r="E82" s="382" t="s">
        <v>622</v>
      </c>
      <c r="F82" s="385"/>
      <c r="G82" s="385"/>
      <c r="H82" s="385"/>
      <c r="I82" s="385"/>
      <c r="J82" s="385">
        <v>1</v>
      </c>
      <c r="K82" s="385">
        <v>3078</v>
      </c>
      <c r="L82" s="385"/>
      <c r="M82" s="385">
        <v>3078</v>
      </c>
      <c r="N82" s="385"/>
      <c r="O82" s="385"/>
      <c r="P82" s="416"/>
      <c r="Q82" s="386"/>
    </row>
    <row r="83" spans="1:17" ht="14.4" customHeight="1" x14ac:dyDescent="0.3">
      <c r="A83" s="381" t="s">
        <v>671</v>
      </c>
      <c r="B83" s="382" t="s">
        <v>598</v>
      </c>
      <c r="C83" s="382" t="s">
        <v>595</v>
      </c>
      <c r="D83" s="382" t="s">
        <v>623</v>
      </c>
      <c r="E83" s="382" t="s">
        <v>624</v>
      </c>
      <c r="F83" s="385">
        <v>1</v>
      </c>
      <c r="G83" s="385">
        <v>16</v>
      </c>
      <c r="H83" s="385">
        <v>1</v>
      </c>
      <c r="I83" s="385">
        <v>16</v>
      </c>
      <c r="J83" s="385">
        <v>6</v>
      </c>
      <c r="K83" s="385">
        <v>96</v>
      </c>
      <c r="L83" s="385">
        <v>6</v>
      </c>
      <c r="M83" s="385">
        <v>16</v>
      </c>
      <c r="N83" s="385">
        <v>15</v>
      </c>
      <c r="O83" s="385">
        <v>240</v>
      </c>
      <c r="P83" s="416">
        <v>15</v>
      </c>
      <c r="Q83" s="386">
        <v>16</v>
      </c>
    </row>
    <row r="84" spans="1:17" ht="14.4" customHeight="1" x14ac:dyDescent="0.3">
      <c r="A84" s="381" t="s">
        <v>671</v>
      </c>
      <c r="B84" s="382" t="s">
        <v>598</v>
      </c>
      <c r="C84" s="382" t="s">
        <v>595</v>
      </c>
      <c r="D84" s="382" t="s">
        <v>625</v>
      </c>
      <c r="E84" s="382" t="s">
        <v>610</v>
      </c>
      <c r="F84" s="385">
        <v>2</v>
      </c>
      <c r="G84" s="385">
        <v>1370</v>
      </c>
      <c r="H84" s="385">
        <v>1</v>
      </c>
      <c r="I84" s="385">
        <v>685</v>
      </c>
      <c r="J84" s="385">
        <v>10</v>
      </c>
      <c r="K84" s="385">
        <v>6880</v>
      </c>
      <c r="L84" s="385">
        <v>5.0218978102189782</v>
      </c>
      <c r="M84" s="385">
        <v>688</v>
      </c>
      <c r="N84" s="385">
        <v>19</v>
      </c>
      <c r="O84" s="385">
        <v>13072</v>
      </c>
      <c r="P84" s="416">
        <v>9.541605839416059</v>
      </c>
      <c r="Q84" s="386">
        <v>688</v>
      </c>
    </row>
    <row r="85" spans="1:17" ht="14.4" customHeight="1" x14ac:dyDescent="0.3">
      <c r="A85" s="381" t="s">
        <v>671</v>
      </c>
      <c r="B85" s="382" t="s">
        <v>598</v>
      </c>
      <c r="C85" s="382" t="s">
        <v>595</v>
      </c>
      <c r="D85" s="382" t="s">
        <v>626</v>
      </c>
      <c r="E85" s="382" t="s">
        <v>612</v>
      </c>
      <c r="F85" s="385">
        <v>3</v>
      </c>
      <c r="G85" s="385">
        <v>4113</v>
      </c>
      <c r="H85" s="385">
        <v>1</v>
      </c>
      <c r="I85" s="385">
        <v>1371</v>
      </c>
      <c r="J85" s="385">
        <v>11</v>
      </c>
      <c r="K85" s="385">
        <v>15125</v>
      </c>
      <c r="L85" s="385">
        <v>3.6773644541697057</v>
      </c>
      <c r="M85" s="385">
        <v>1375</v>
      </c>
      <c r="N85" s="385">
        <v>10</v>
      </c>
      <c r="O85" s="385">
        <v>13750</v>
      </c>
      <c r="P85" s="416">
        <v>3.3430585946997327</v>
      </c>
      <c r="Q85" s="386">
        <v>1375</v>
      </c>
    </row>
    <row r="86" spans="1:17" ht="14.4" customHeight="1" x14ac:dyDescent="0.3">
      <c r="A86" s="381" t="s">
        <v>671</v>
      </c>
      <c r="B86" s="382" t="s">
        <v>598</v>
      </c>
      <c r="C86" s="382" t="s">
        <v>595</v>
      </c>
      <c r="D86" s="382" t="s">
        <v>627</v>
      </c>
      <c r="E86" s="382" t="s">
        <v>628</v>
      </c>
      <c r="F86" s="385">
        <v>1</v>
      </c>
      <c r="G86" s="385">
        <v>2310</v>
      </c>
      <c r="H86" s="385">
        <v>1</v>
      </c>
      <c r="I86" s="385">
        <v>2310</v>
      </c>
      <c r="J86" s="385">
        <v>5</v>
      </c>
      <c r="K86" s="385">
        <v>11595</v>
      </c>
      <c r="L86" s="385">
        <v>5.0194805194805197</v>
      </c>
      <c r="M86" s="385">
        <v>2319</v>
      </c>
      <c r="N86" s="385">
        <v>7</v>
      </c>
      <c r="O86" s="385">
        <v>16233</v>
      </c>
      <c r="P86" s="416">
        <v>7.0272727272727273</v>
      </c>
      <c r="Q86" s="386">
        <v>2319</v>
      </c>
    </row>
    <row r="87" spans="1:17" ht="14.4" customHeight="1" x14ac:dyDescent="0.3">
      <c r="A87" s="381" t="s">
        <v>671</v>
      </c>
      <c r="B87" s="382" t="s">
        <v>598</v>
      </c>
      <c r="C87" s="382" t="s">
        <v>595</v>
      </c>
      <c r="D87" s="382" t="s">
        <v>629</v>
      </c>
      <c r="E87" s="382" t="s">
        <v>630</v>
      </c>
      <c r="F87" s="385">
        <v>2</v>
      </c>
      <c r="G87" s="385">
        <v>130</v>
      </c>
      <c r="H87" s="385">
        <v>1</v>
      </c>
      <c r="I87" s="385">
        <v>65</v>
      </c>
      <c r="J87" s="385">
        <v>10</v>
      </c>
      <c r="K87" s="385">
        <v>650</v>
      </c>
      <c r="L87" s="385">
        <v>5</v>
      </c>
      <c r="M87" s="385">
        <v>65</v>
      </c>
      <c r="N87" s="385">
        <v>20</v>
      </c>
      <c r="O87" s="385">
        <v>1300</v>
      </c>
      <c r="P87" s="416">
        <v>10</v>
      </c>
      <c r="Q87" s="386">
        <v>65</v>
      </c>
    </row>
    <row r="88" spans="1:17" ht="14.4" customHeight="1" x14ac:dyDescent="0.3">
      <c r="A88" s="381" t="s">
        <v>671</v>
      </c>
      <c r="B88" s="382" t="s">
        <v>598</v>
      </c>
      <c r="C88" s="382" t="s">
        <v>595</v>
      </c>
      <c r="D88" s="382" t="s">
        <v>633</v>
      </c>
      <c r="E88" s="382" t="s">
        <v>634</v>
      </c>
      <c r="F88" s="385"/>
      <c r="G88" s="385"/>
      <c r="H88" s="385"/>
      <c r="I88" s="385"/>
      <c r="J88" s="385">
        <v>1</v>
      </c>
      <c r="K88" s="385">
        <v>1601</v>
      </c>
      <c r="L88" s="385"/>
      <c r="M88" s="385">
        <v>1601</v>
      </c>
      <c r="N88" s="385"/>
      <c r="O88" s="385"/>
      <c r="P88" s="416"/>
      <c r="Q88" s="386"/>
    </row>
    <row r="89" spans="1:17" ht="14.4" customHeight="1" x14ac:dyDescent="0.3">
      <c r="A89" s="381" t="s">
        <v>671</v>
      </c>
      <c r="B89" s="382" t="s">
        <v>598</v>
      </c>
      <c r="C89" s="382" t="s">
        <v>595</v>
      </c>
      <c r="D89" s="382" t="s">
        <v>635</v>
      </c>
      <c r="E89" s="382" t="s">
        <v>636</v>
      </c>
      <c r="F89" s="385">
        <v>5</v>
      </c>
      <c r="G89" s="385">
        <v>2745</v>
      </c>
      <c r="H89" s="385">
        <v>1</v>
      </c>
      <c r="I89" s="385">
        <v>549</v>
      </c>
      <c r="J89" s="385">
        <v>15</v>
      </c>
      <c r="K89" s="385">
        <v>8250</v>
      </c>
      <c r="L89" s="385">
        <v>3.0054644808743167</v>
      </c>
      <c r="M89" s="385">
        <v>550</v>
      </c>
      <c r="N89" s="385">
        <v>23</v>
      </c>
      <c r="O89" s="385">
        <v>12650</v>
      </c>
      <c r="P89" s="416">
        <v>4.6083788706739526</v>
      </c>
      <c r="Q89" s="386">
        <v>550</v>
      </c>
    </row>
    <row r="90" spans="1:17" ht="14.4" customHeight="1" x14ac:dyDescent="0.3">
      <c r="A90" s="381" t="s">
        <v>671</v>
      </c>
      <c r="B90" s="382" t="s">
        <v>598</v>
      </c>
      <c r="C90" s="382" t="s">
        <v>595</v>
      </c>
      <c r="D90" s="382" t="s">
        <v>637</v>
      </c>
      <c r="E90" s="382" t="s">
        <v>638</v>
      </c>
      <c r="F90" s="385"/>
      <c r="G90" s="385"/>
      <c r="H90" s="385"/>
      <c r="I90" s="385"/>
      <c r="J90" s="385">
        <v>1</v>
      </c>
      <c r="K90" s="385">
        <v>1234</v>
      </c>
      <c r="L90" s="385"/>
      <c r="M90" s="385">
        <v>1234</v>
      </c>
      <c r="N90" s="385"/>
      <c r="O90" s="385"/>
      <c r="P90" s="416"/>
      <c r="Q90" s="386"/>
    </row>
    <row r="91" spans="1:17" ht="14.4" customHeight="1" x14ac:dyDescent="0.3">
      <c r="A91" s="381" t="s">
        <v>671</v>
      </c>
      <c r="B91" s="382" t="s">
        <v>598</v>
      </c>
      <c r="C91" s="382" t="s">
        <v>595</v>
      </c>
      <c r="D91" s="382" t="s">
        <v>641</v>
      </c>
      <c r="E91" s="382" t="s">
        <v>642</v>
      </c>
      <c r="F91" s="385"/>
      <c r="G91" s="385"/>
      <c r="H91" s="385"/>
      <c r="I91" s="385"/>
      <c r="J91" s="385">
        <v>1</v>
      </c>
      <c r="K91" s="385">
        <v>122</v>
      </c>
      <c r="L91" s="385"/>
      <c r="M91" s="385">
        <v>122</v>
      </c>
      <c r="N91" s="385"/>
      <c r="O91" s="385"/>
      <c r="P91" s="416"/>
      <c r="Q91" s="386"/>
    </row>
    <row r="92" spans="1:17" ht="14.4" customHeight="1" x14ac:dyDescent="0.3">
      <c r="A92" s="381" t="s">
        <v>671</v>
      </c>
      <c r="B92" s="382" t="s">
        <v>598</v>
      </c>
      <c r="C92" s="382" t="s">
        <v>595</v>
      </c>
      <c r="D92" s="382" t="s">
        <v>648</v>
      </c>
      <c r="E92" s="382" t="s">
        <v>649</v>
      </c>
      <c r="F92" s="385"/>
      <c r="G92" s="385"/>
      <c r="H92" s="385"/>
      <c r="I92" s="385"/>
      <c r="J92" s="385"/>
      <c r="K92" s="385"/>
      <c r="L92" s="385"/>
      <c r="M92" s="385"/>
      <c r="N92" s="385">
        <v>2</v>
      </c>
      <c r="O92" s="385">
        <v>3214</v>
      </c>
      <c r="P92" s="416"/>
      <c r="Q92" s="386">
        <v>1607</v>
      </c>
    </row>
    <row r="93" spans="1:17" ht="14.4" customHeight="1" x14ac:dyDescent="0.3">
      <c r="A93" s="381" t="s">
        <v>672</v>
      </c>
      <c r="B93" s="382" t="s">
        <v>598</v>
      </c>
      <c r="C93" s="382" t="s">
        <v>595</v>
      </c>
      <c r="D93" s="382" t="s">
        <v>599</v>
      </c>
      <c r="E93" s="382" t="s">
        <v>600</v>
      </c>
      <c r="F93" s="385"/>
      <c r="G93" s="385"/>
      <c r="H93" s="385"/>
      <c r="I93" s="385"/>
      <c r="J93" s="385"/>
      <c r="K93" s="385"/>
      <c r="L93" s="385"/>
      <c r="M93" s="385"/>
      <c r="N93" s="385">
        <v>1</v>
      </c>
      <c r="O93" s="385">
        <v>126</v>
      </c>
      <c r="P93" s="416"/>
      <c r="Q93" s="386">
        <v>126</v>
      </c>
    </row>
    <row r="94" spans="1:17" ht="14.4" customHeight="1" x14ac:dyDescent="0.3">
      <c r="A94" s="381" t="s">
        <v>672</v>
      </c>
      <c r="B94" s="382" t="s">
        <v>598</v>
      </c>
      <c r="C94" s="382" t="s">
        <v>595</v>
      </c>
      <c r="D94" s="382" t="s">
        <v>619</v>
      </c>
      <c r="E94" s="382" t="s">
        <v>620</v>
      </c>
      <c r="F94" s="385"/>
      <c r="G94" s="385"/>
      <c r="H94" s="385"/>
      <c r="I94" s="385"/>
      <c r="J94" s="385">
        <v>2</v>
      </c>
      <c r="K94" s="385">
        <v>2894</v>
      </c>
      <c r="L94" s="385"/>
      <c r="M94" s="385">
        <v>1447</v>
      </c>
      <c r="N94" s="385">
        <v>2</v>
      </c>
      <c r="O94" s="385">
        <v>2894</v>
      </c>
      <c r="P94" s="416"/>
      <c r="Q94" s="386">
        <v>1447</v>
      </c>
    </row>
    <row r="95" spans="1:17" ht="14.4" customHeight="1" x14ac:dyDescent="0.3">
      <c r="A95" s="381" t="s">
        <v>672</v>
      </c>
      <c r="B95" s="382" t="s">
        <v>598</v>
      </c>
      <c r="C95" s="382" t="s">
        <v>595</v>
      </c>
      <c r="D95" s="382" t="s">
        <v>626</v>
      </c>
      <c r="E95" s="382" t="s">
        <v>612</v>
      </c>
      <c r="F95" s="385"/>
      <c r="G95" s="385"/>
      <c r="H95" s="385"/>
      <c r="I95" s="385"/>
      <c r="J95" s="385"/>
      <c r="K95" s="385"/>
      <c r="L95" s="385"/>
      <c r="M95" s="385"/>
      <c r="N95" s="385">
        <v>1</v>
      </c>
      <c r="O95" s="385">
        <v>1375</v>
      </c>
      <c r="P95" s="416"/>
      <c r="Q95" s="386">
        <v>1375</v>
      </c>
    </row>
    <row r="96" spans="1:17" ht="14.4" customHeight="1" x14ac:dyDescent="0.3">
      <c r="A96" s="381" t="s">
        <v>672</v>
      </c>
      <c r="B96" s="382" t="s">
        <v>598</v>
      </c>
      <c r="C96" s="382" t="s">
        <v>595</v>
      </c>
      <c r="D96" s="382" t="s">
        <v>627</v>
      </c>
      <c r="E96" s="382" t="s">
        <v>628</v>
      </c>
      <c r="F96" s="385"/>
      <c r="G96" s="385"/>
      <c r="H96" s="385"/>
      <c r="I96" s="385"/>
      <c r="J96" s="385"/>
      <c r="K96" s="385"/>
      <c r="L96" s="385"/>
      <c r="M96" s="385"/>
      <c r="N96" s="385">
        <v>1</v>
      </c>
      <c r="O96" s="385">
        <v>2319</v>
      </c>
      <c r="P96" s="416"/>
      <c r="Q96" s="386">
        <v>2319</v>
      </c>
    </row>
    <row r="97" spans="1:17" ht="14.4" customHeight="1" x14ac:dyDescent="0.3">
      <c r="A97" s="381" t="s">
        <v>672</v>
      </c>
      <c r="B97" s="382" t="s">
        <v>598</v>
      </c>
      <c r="C97" s="382" t="s">
        <v>595</v>
      </c>
      <c r="D97" s="382" t="s">
        <v>631</v>
      </c>
      <c r="E97" s="382" t="s">
        <v>632</v>
      </c>
      <c r="F97" s="385"/>
      <c r="G97" s="385"/>
      <c r="H97" s="385"/>
      <c r="I97" s="385"/>
      <c r="J97" s="385">
        <v>2</v>
      </c>
      <c r="K97" s="385">
        <v>792</v>
      </c>
      <c r="L97" s="385"/>
      <c r="M97" s="385">
        <v>396</v>
      </c>
      <c r="N97" s="385">
        <v>2</v>
      </c>
      <c r="O97" s="385">
        <v>792</v>
      </c>
      <c r="P97" s="416"/>
      <c r="Q97" s="386">
        <v>396</v>
      </c>
    </row>
    <row r="98" spans="1:17" ht="14.4" customHeight="1" x14ac:dyDescent="0.3">
      <c r="A98" s="381" t="s">
        <v>672</v>
      </c>
      <c r="B98" s="382" t="s">
        <v>598</v>
      </c>
      <c r="C98" s="382" t="s">
        <v>595</v>
      </c>
      <c r="D98" s="382" t="s">
        <v>635</v>
      </c>
      <c r="E98" s="382" t="s">
        <v>636</v>
      </c>
      <c r="F98" s="385"/>
      <c r="G98" s="385"/>
      <c r="H98" s="385"/>
      <c r="I98" s="385"/>
      <c r="J98" s="385">
        <v>7</v>
      </c>
      <c r="K98" s="385">
        <v>3850</v>
      </c>
      <c r="L98" s="385"/>
      <c r="M98" s="385">
        <v>550</v>
      </c>
      <c r="N98" s="385">
        <v>10</v>
      </c>
      <c r="O98" s="385">
        <v>5500</v>
      </c>
      <c r="P98" s="416"/>
      <c r="Q98" s="386">
        <v>550</v>
      </c>
    </row>
    <row r="99" spans="1:17" ht="14.4" customHeight="1" x14ac:dyDescent="0.3">
      <c r="A99" s="381" t="s">
        <v>673</v>
      </c>
      <c r="B99" s="382" t="s">
        <v>598</v>
      </c>
      <c r="C99" s="382" t="s">
        <v>595</v>
      </c>
      <c r="D99" s="382" t="s">
        <v>619</v>
      </c>
      <c r="E99" s="382" t="s">
        <v>620</v>
      </c>
      <c r="F99" s="385"/>
      <c r="G99" s="385"/>
      <c r="H99" s="385"/>
      <c r="I99" s="385"/>
      <c r="J99" s="385">
        <v>2</v>
      </c>
      <c r="K99" s="385">
        <v>2894</v>
      </c>
      <c r="L99" s="385"/>
      <c r="M99" s="385">
        <v>1447</v>
      </c>
      <c r="N99" s="385"/>
      <c r="O99" s="385"/>
      <c r="P99" s="416"/>
      <c r="Q99" s="386"/>
    </row>
    <row r="100" spans="1:17" ht="14.4" customHeight="1" x14ac:dyDescent="0.3">
      <c r="A100" s="381" t="s">
        <v>673</v>
      </c>
      <c r="B100" s="382" t="s">
        <v>598</v>
      </c>
      <c r="C100" s="382" t="s">
        <v>595</v>
      </c>
      <c r="D100" s="382" t="s">
        <v>631</v>
      </c>
      <c r="E100" s="382" t="s">
        <v>632</v>
      </c>
      <c r="F100" s="385"/>
      <c r="G100" s="385"/>
      <c r="H100" s="385"/>
      <c r="I100" s="385"/>
      <c r="J100" s="385">
        <v>2</v>
      </c>
      <c r="K100" s="385">
        <v>792</v>
      </c>
      <c r="L100" s="385"/>
      <c r="M100" s="385">
        <v>396</v>
      </c>
      <c r="N100" s="385"/>
      <c r="O100" s="385"/>
      <c r="P100" s="416"/>
      <c r="Q100" s="386"/>
    </row>
    <row r="101" spans="1:17" ht="14.4" customHeight="1" x14ac:dyDescent="0.3">
      <c r="A101" s="381" t="s">
        <v>673</v>
      </c>
      <c r="B101" s="382" t="s">
        <v>598</v>
      </c>
      <c r="C101" s="382" t="s">
        <v>595</v>
      </c>
      <c r="D101" s="382" t="s">
        <v>635</v>
      </c>
      <c r="E101" s="382" t="s">
        <v>636</v>
      </c>
      <c r="F101" s="385">
        <v>1</v>
      </c>
      <c r="G101" s="385">
        <v>549</v>
      </c>
      <c r="H101" s="385">
        <v>1</v>
      </c>
      <c r="I101" s="385">
        <v>549</v>
      </c>
      <c r="J101" s="385">
        <v>4</v>
      </c>
      <c r="K101" s="385">
        <v>2200</v>
      </c>
      <c r="L101" s="385">
        <v>4.007285974499089</v>
      </c>
      <c r="M101" s="385">
        <v>550</v>
      </c>
      <c r="N101" s="385"/>
      <c r="O101" s="385"/>
      <c r="P101" s="416"/>
      <c r="Q101" s="386"/>
    </row>
    <row r="102" spans="1:17" ht="14.4" customHeight="1" x14ac:dyDescent="0.3">
      <c r="A102" s="381" t="s">
        <v>673</v>
      </c>
      <c r="B102" s="382" t="s">
        <v>598</v>
      </c>
      <c r="C102" s="382" t="s">
        <v>595</v>
      </c>
      <c r="D102" s="382" t="s">
        <v>643</v>
      </c>
      <c r="E102" s="382" t="s">
        <v>644</v>
      </c>
      <c r="F102" s="385">
        <v>8</v>
      </c>
      <c r="G102" s="385">
        <v>3400</v>
      </c>
      <c r="H102" s="385">
        <v>1</v>
      </c>
      <c r="I102" s="385">
        <v>425</v>
      </c>
      <c r="J102" s="385">
        <v>10</v>
      </c>
      <c r="K102" s="385">
        <v>4250</v>
      </c>
      <c r="L102" s="385">
        <v>1.25</v>
      </c>
      <c r="M102" s="385">
        <v>425</v>
      </c>
      <c r="N102" s="385">
        <v>2</v>
      </c>
      <c r="O102" s="385">
        <v>850</v>
      </c>
      <c r="P102" s="416">
        <v>0.25</v>
      </c>
      <c r="Q102" s="386">
        <v>425</v>
      </c>
    </row>
    <row r="103" spans="1:17" ht="14.4" customHeight="1" x14ac:dyDescent="0.3">
      <c r="A103" s="381" t="s">
        <v>674</v>
      </c>
      <c r="B103" s="382" t="s">
        <v>598</v>
      </c>
      <c r="C103" s="382" t="s">
        <v>595</v>
      </c>
      <c r="D103" s="382" t="s">
        <v>599</v>
      </c>
      <c r="E103" s="382" t="s">
        <v>600</v>
      </c>
      <c r="F103" s="385">
        <v>1</v>
      </c>
      <c r="G103" s="385">
        <v>125</v>
      </c>
      <c r="H103" s="385">
        <v>1</v>
      </c>
      <c r="I103" s="385">
        <v>125</v>
      </c>
      <c r="J103" s="385">
        <v>2</v>
      </c>
      <c r="K103" s="385">
        <v>252</v>
      </c>
      <c r="L103" s="385">
        <v>2.016</v>
      </c>
      <c r="M103" s="385">
        <v>126</v>
      </c>
      <c r="N103" s="385">
        <v>3</v>
      </c>
      <c r="O103" s="385">
        <v>378</v>
      </c>
      <c r="P103" s="416">
        <v>3.024</v>
      </c>
      <c r="Q103" s="386">
        <v>126</v>
      </c>
    </row>
    <row r="104" spans="1:17" ht="14.4" customHeight="1" x14ac:dyDescent="0.3">
      <c r="A104" s="381" t="s">
        <v>674</v>
      </c>
      <c r="B104" s="382" t="s">
        <v>598</v>
      </c>
      <c r="C104" s="382" t="s">
        <v>595</v>
      </c>
      <c r="D104" s="382" t="s">
        <v>605</v>
      </c>
      <c r="E104" s="382" t="s">
        <v>606</v>
      </c>
      <c r="F104" s="385"/>
      <c r="G104" s="385"/>
      <c r="H104" s="385"/>
      <c r="I104" s="385"/>
      <c r="J104" s="385">
        <v>1</v>
      </c>
      <c r="K104" s="385">
        <v>1035</v>
      </c>
      <c r="L104" s="385"/>
      <c r="M104" s="385">
        <v>1035</v>
      </c>
      <c r="N104" s="385"/>
      <c r="O104" s="385"/>
      <c r="P104" s="416"/>
      <c r="Q104" s="386"/>
    </row>
    <row r="105" spans="1:17" ht="14.4" customHeight="1" x14ac:dyDescent="0.3">
      <c r="A105" s="381" t="s">
        <v>674</v>
      </c>
      <c r="B105" s="382" t="s">
        <v>598</v>
      </c>
      <c r="C105" s="382" t="s">
        <v>595</v>
      </c>
      <c r="D105" s="382" t="s">
        <v>607</v>
      </c>
      <c r="E105" s="382" t="s">
        <v>608</v>
      </c>
      <c r="F105" s="385">
        <v>4</v>
      </c>
      <c r="G105" s="385">
        <v>14756</v>
      </c>
      <c r="H105" s="385">
        <v>1</v>
      </c>
      <c r="I105" s="385">
        <v>3689</v>
      </c>
      <c r="J105" s="385">
        <v>9</v>
      </c>
      <c r="K105" s="385">
        <v>33282</v>
      </c>
      <c r="L105" s="385">
        <v>2.2554892924911902</v>
      </c>
      <c r="M105" s="385">
        <v>3698</v>
      </c>
      <c r="N105" s="385">
        <v>3</v>
      </c>
      <c r="O105" s="385">
        <v>11094</v>
      </c>
      <c r="P105" s="416">
        <v>0.75182976416373004</v>
      </c>
      <c r="Q105" s="386">
        <v>3698</v>
      </c>
    </row>
    <row r="106" spans="1:17" ht="14.4" customHeight="1" x14ac:dyDescent="0.3">
      <c r="A106" s="381" t="s">
        <v>674</v>
      </c>
      <c r="B106" s="382" t="s">
        <v>598</v>
      </c>
      <c r="C106" s="382" t="s">
        <v>595</v>
      </c>
      <c r="D106" s="382" t="s">
        <v>609</v>
      </c>
      <c r="E106" s="382" t="s">
        <v>610</v>
      </c>
      <c r="F106" s="385">
        <v>3</v>
      </c>
      <c r="G106" s="385">
        <v>1311</v>
      </c>
      <c r="H106" s="385">
        <v>1</v>
      </c>
      <c r="I106" s="385">
        <v>437</v>
      </c>
      <c r="J106" s="385"/>
      <c r="K106" s="385"/>
      <c r="L106" s="385"/>
      <c r="M106" s="385"/>
      <c r="N106" s="385">
        <v>1</v>
      </c>
      <c r="O106" s="385">
        <v>438</v>
      </c>
      <c r="P106" s="416">
        <v>0.33409610983981691</v>
      </c>
      <c r="Q106" s="386">
        <v>438</v>
      </c>
    </row>
    <row r="107" spans="1:17" ht="14.4" customHeight="1" x14ac:dyDescent="0.3">
      <c r="A107" s="381" t="s">
        <v>674</v>
      </c>
      <c r="B107" s="382" t="s">
        <v>598</v>
      </c>
      <c r="C107" s="382" t="s">
        <v>595</v>
      </c>
      <c r="D107" s="382" t="s">
        <v>613</v>
      </c>
      <c r="E107" s="382" t="s">
        <v>614</v>
      </c>
      <c r="F107" s="385"/>
      <c r="G107" s="385"/>
      <c r="H107" s="385"/>
      <c r="I107" s="385"/>
      <c r="J107" s="385"/>
      <c r="K107" s="385"/>
      <c r="L107" s="385"/>
      <c r="M107" s="385"/>
      <c r="N107" s="385">
        <v>2</v>
      </c>
      <c r="O107" s="385">
        <v>3226</v>
      </c>
      <c r="P107" s="416"/>
      <c r="Q107" s="386">
        <v>1613</v>
      </c>
    </row>
    <row r="108" spans="1:17" ht="14.4" customHeight="1" x14ac:dyDescent="0.3">
      <c r="A108" s="381" t="s">
        <v>674</v>
      </c>
      <c r="B108" s="382" t="s">
        <v>598</v>
      </c>
      <c r="C108" s="382" t="s">
        <v>595</v>
      </c>
      <c r="D108" s="382" t="s">
        <v>619</v>
      </c>
      <c r="E108" s="382" t="s">
        <v>620</v>
      </c>
      <c r="F108" s="385"/>
      <c r="G108" s="385"/>
      <c r="H108" s="385"/>
      <c r="I108" s="385"/>
      <c r="J108" s="385">
        <v>5</v>
      </c>
      <c r="K108" s="385">
        <v>7235</v>
      </c>
      <c r="L108" s="385"/>
      <c r="M108" s="385">
        <v>1447</v>
      </c>
      <c r="N108" s="385">
        <v>1</v>
      </c>
      <c r="O108" s="385">
        <v>1447</v>
      </c>
      <c r="P108" s="416"/>
      <c r="Q108" s="386">
        <v>1447</v>
      </c>
    </row>
    <row r="109" spans="1:17" ht="14.4" customHeight="1" x14ac:dyDescent="0.3">
      <c r="A109" s="381" t="s">
        <v>674</v>
      </c>
      <c r="B109" s="382" t="s">
        <v>598</v>
      </c>
      <c r="C109" s="382" t="s">
        <v>595</v>
      </c>
      <c r="D109" s="382" t="s">
        <v>623</v>
      </c>
      <c r="E109" s="382" t="s">
        <v>624</v>
      </c>
      <c r="F109" s="385">
        <v>5</v>
      </c>
      <c r="G109" s="385">
        <v>80</v>
      </c>
      <c r="H109" s="385">
        <v>1</v>
      </c>
      <c r="I109" s="385">
        <v>16</v>
      </c>
      <c r="J109" s="385">
        <v>1</v>
      </c>
      <c r="K109" s="385">
        <v>16</v>
      </c>
      <c r="L109" s="385">
        <v>0.2</v>
      </c>
      <c r="M109" s="385">
        <v>16</v>
      </c>
      <c r="N109" s="385"/>
      <c r="O109" s="385"/>
      <c r="P109" s="416"/>
      <c r="Q109" s="386"/>
    </row>
    <row r="110" spans="1:17" ht="14.4" customHeight="1" x14ac:dyDescent="0.3">
      <c r="A110" s="381" t="s">
        <v>674</v>
      </c>
      <c r="B110" s="382" t="s">
        <v>598</v>
      </c>
      <c r="C110" s="382" t="s">
        <v>595</v>
      </c>
      <c r="D110" s="382" t="s">
        <v>625</v>
      </c>
      <c r="E110" s="382" t="s">
        <v>610</v>
      </c>
      <c r="F110" s="385">
        <v>6</v>
      </c>
      <c r="G110" s="385">
        <v>4110</v>
      </c>
      <c r="H110" s="385">
        <v>1</v>
      </c>
      <c r="I110" s="385">
        <v>685</v>
      </c>
      <c r="J110" s="385">
        <v>2</v>
      </c>
      <c r="K110" s="385">
        <v>1376</v>
      </c>
      <c r="L110" s="385">
        <v>0.3347931873479319</v>
      </c>
      <c r="M110" s="385">
        <v>688</v>
      </c>
      <c r="N110" s="385">
        <v>3</v>
      </c>
      <c r="O110" s="385">
        <v>2064</v>
      </c>
      <c r="P110" s="416">
        <v>0.50218978102189782</v>
      </c>
      <c r="Q110" s="386">
        <v>688</v>
      </c>
    </row>
    <row r="111" spans="1:17" ht="14.4" customHeight="1" x14ac:dyDescent="0.3">
      <c r="A111" s="381" t="s">
        <v>674</v>
      </c>
      <c r="B111" s="382" t="s">
        <v>598</v>
      </c>
      <c r="C111" s="382" t="s">
        <v>595</v>
      </c>
      <c r="D111" s="382" t="s">
        <v>626</v>
      </c>
      <c r="E111" s="382" t="s">
        <v>612</v>
      </c>
      <c r="F111" s="385">
        <v>7</v>
      </c>
      <c r="G111" s="385">
        <v>9597</v>
      </c>
      <c r="H111" s="385">
        <v>1</v>
      </c>
      <c r="I111" s="385">
        <v>1371</v>
      </c>
      <c r="J111" s="385">
        <v>12</v>
      </c>
      <c r="K111" s="385">
        <v>16500</v>
      </c>
      <c r="L111" s="385">
        <v>1.7192872772741481</v>
      </c>
      <c r="M111" s="385">
        <v>1375</v>
      </c>
      <c r="N111" s="385">
        <v>5</v>
      </c>
      <c r="O111" s="385">
        <v>6875</v>
      </c>
      <c r="P111" s="416">
        <v>0.71636969886422841</v>
      </c>
      <c r="Q111" s="386">
        <v>1375</v>
      </c>
    </row>
    <row r="112" spans="1:17" ht="14.4" customHeight="1" x14ac:dyDescent="0.3">
      <c r="A112" s="381" t="s">
        <v>674</v>
      </c>
      <c r="B112" s="382" t="s">
        <v>598</v>
      </c>
      <c r="C112" s="382" t="s">
        <v>595</v>
      </c>
      <c r="D112" s="382" t="s">
        <v>627</v>
      </c>
      <c r="E112" s="382" t="s">
        <v>628</v>
      </c>
      <c r="F112" s="385">
        <v>5</v>
      </c>
      <c r="G112" s="385">
        <v>11550</v>
      </c>
      <c r="H112" s="385">
        <v>1</v>
      </c>
      <c r="I112" s="385">
        <v>2310</v>
      </c>
      <c r="J112" s="385">
        <v>10</v>
      </c>
      <c r="K112" s="385">
        <v>23190</v>
      </c>
      <c r="L112" s="385">
        <v>2.0077922077922077</v>
      </c>
      <c r="M112" s="385">
        <v>2319</v>
      </c>
      <c r="N112" s="385">
        <v>5</v>
      </c>
      <c r="O112" s="385">
        <v>11595</v>
      </c>
      <c r="P112" s="416">
        <v>1.0038961038961038</v>
      </c>
      <c r="Q112" s="386">
        <v>2319</v>
      </c>
    </row>
    <row r="113" spans="1:17" ht="14.4" customHeight="1" x14ac:dyDescent="0.3">
      <c r="A113" s="381" t="s">
        <v>674</v>
      </c>
      <c r="B113" s="382" t="s">
        <v>598</v>
      </c>
      <c r="C113" s="382" t="s">
        <v>595</v>
      </c>
      <c r="D113" s="382" t="s">
        <v>629</v>
      </c>
      <c r="E113" s="382" t="s">
        <v>630</v>
      </c>
      <c r="F113" s="385">
        <v>8</v>
      </c>
      <c r="G113" s="385">
        <v>520</v>
      </c>
      <c r="H113" s="385">
        <v>1</v>
      </c>
      <c r="I113" s="385">
        <v>65</v>
      </c>
      <c r="J113" s="385">
        <v>2</v>
      </c>
      <c r="K113" s="385">
        <v>130</v>
      </c>
      <c r="L113" s="385">
        <v>0.25</v>
      </c>
      <c r="M113" s="385">
        <v>65</v>
      </c>
      <c r="N113" s="385">
        <v>4</v>
      </c>
      <c r="O113" s="385">
        <v>260</v>
      </c>
      <c r="P113" s="416">
        <v>0.5</v>
      </c>
      <c r="Q113" s="386">
        <v>65</v>
      </c>
    </row>
    <row r="114" spans="1:17" ht="14.4" customHeight="1" x14ac:dyDescent="0.3">
      <c r="A114" s="381" t="s">
        <v>674</v>
      </c>
      <c r="B114" s="382" t="s">
        <v>598</v>
      </c>
      <c r="C114" s="382" t="s">
        <v>595</v>
      </c>
      <c r="D114" s="382" t="s">
        <v>631</v>
      </c>
      <c r="E114" s="382" t="s">
        <v>632</v>
      </c>
      <c r="F114" s="385"/>
      <c r="G114" s="385"/>
      <c r="H114" s="385"/>
      <c r="I114" s="385"/>
      <c r="J114" s="385">
        <v>5</v>
      </c>
      <c r="K114" s="385">
        <v>1980</v>
      </c>
      <c r="L114" s="385"/>
      <c r="M114" s="385">
        <v>396</v>
      </c>
      <c r="N114" s="385">
        <v>1</v>
      </c>
      <c r="O114" s="385">
        <v>396</v>
      </c>
      <c r="P114" s="416"/>
      <c r="Q114" s="386">
        <v>396</v>
      </c>
    </row>
    <row r="115" spans="1:17" ht="14.4" customHeight="1" x14ac:dyDescent="0.3">
      <c r="A115" s="381" t="s">
        <v>674</v>
      </c>
      <c r="B115" s="382" t="s">
        <v>598</v>
      </c>
      <c r="C115" s="382" t="s">
        <v>595</v>
      </c>
      <c r="D115" s="382" t="s">
        <v>633</v>
      </c>
      <c r="E115" s="382" t="s">
        <v>634</v>
      </c>
      <c r="F115" s="385"/>
      <c r="G115" s="385"/>
      <c r="H115" s="385"/>
      <c r="I115" s="385"/>
      <c r="J115" s="385"/>
      <c r="K115" s="385"/>
      <c r="L115" s="385"/>
      <c r="M115" s="385"/>
      <c r="N115" s="385">
        <v>1</v>
      </c>
      <c r="O115" s="385">
        <v>1601</v>
      </c>
      <c r="P115" s="416"/>
      <c r="Q115" s="386">
        <v>1601</v>
      </c>
    </row>
    <row r="116" spans="1:17" ht="14.4" customHeight="1" x14ac:dyDescent="0.3">
      <c r="A116" s="381" t="s">
        <v>674</v>
      </c>
      <c r="B116" s="382" t="s">
        <v>598</v>
      </c>
      <c r="C116" s="382" t="s">
        <v>595</v>
      </c>
      <c r="D116" s="382" t="s">
        <v>635</v>
      </c>
      <c r="E116" s="382" t="s">
        <v>636</v>
      </c>
      <c r="F116" s="385">
        <v>12</v>
      </c>
      <c r="G116" s="385">
        <v>6588</v>
      </c>
      <c r="H116" s="385">
        <v>1</v>
      </c>
      <c r="I116" s="385">
        <v>549</v>
      </c>
      <c r="J116" s="385">
        <v>38</v>
      </c>
      <c r="K116" s="385">
        <v>20900</v>
      </c>
      <c r="L116" s="385">
        <v>3.172434729811779</v>
      </c>
      <c r="M116" s="385">
        <v>550</v>
      </c>
      <c r="N116" s="385">
        <v>22</v>
      </c>
      <c r="O116" s="385">
        <v>12100</v>
      </c>
      <c r="P116" s="416">
        <v>1.8366727383120827</v>
      </c>
      <c r="Q116" s="386">
        <v>550</v>
      </c>
    </row>
    <row r="117" spans="1:17" ht="14.4" customHeight="1" x14ac:dyDescent="0.3">
      <c r="A117" s="381" t="s">
        <v>674</v>
      </c>
      <c r="B117" s="382" t="s">
        <v>598</v>
      </c>
      <c r="C117" s="382" t="s">
        <v>595</v>
      </c>
      <c r="D117" s="382" t="s">
        <v>643</v>
      </c>
      <c r="E117" s="382" t="s">
        <v>644</v>
      </c>
      <c r="F117" s="385">
        <v>5</v>
      </c>
      <c r="G117" s="385">
        <v>2125</v>
      </c>
      <c r="H117" s="385">
        <v>1</v>
      </c>
      <c r="I117" s="385">
        <v>425</v>
      </c>
      <c r="J117" s="385">
        <v>17</v>
      </c>
      <c r="K117" s="385">
        <v>7225</v>
      </c>
      <c r="L117" s="385">
        <v>3.4</v>
      </c>
      <c r="M117" s="385">
        <v>425</v>
      </c>
      <c r="N117" s="385">
        <v>15</v>
      </c>
      <c r="O117" s="385">
        <v>6375</v>
      </c>
      <c r="P117" s="416">
        <v>3</v>
      </c>
      <c r="Q117" s="386">
        <v>425</v>
      </c>
    </row>
    <row r="118" spans="1:17" ht="14.4" customHeight="1" x14ac:dyDescent="0.3">
      <c r="A118" s="381" t="s">
        <v>674</v>
      </c>
      <c r="B118" s="382" t="s">
        <v>598</v>
      </c>
      <c r="C118" s="382" t="s">
        <v>595</v>
      </c>
      <c r="D118" s="382" t="s">
        <v>648</v>
      </c>
      <c r="E118" s="382" t="s">
        <v>649</v>
      </c>
      <c r="F118" s="385"/>
      <c r="G118" s="385"/>
      <c r="H118" s="385"/>
      <c r="I118" s="385"/>
      <c r="J118" s="385"/>
      <c r="K118" s="385"/>
      <c r="L118" s="385"/>
      <c r="M118" s="385"/>
      <c r="N118" s="385">
        <v>2</v>
      </c>
      <c r="O118" s="385">
        <v>3214</v>
      </c>
      <c r="P118" s="416"/>
      <c r="Q118" s="386">
        <v>1607</v>
      </c>
    </row>
    <row r="119" spans="1:17" ht="14.4" customHeight="1" x14ac:dyDescent="0.3">
      <c r="A119" s="381" t="s">
        <v>675</v>
      </c>
      <c r="B119" s="382" t="s">
        <v>598</v>
      </c>
      <c r="C119" s="382" t="s">
        <v>595</v>
      </c>
      <c r="D119" s="382" t="s">
        <v>619</v>
      </c>
      <c r="E119" s="382" t="s">
        <v>620</v>
      </c>
      <c r="F119" s="385">
        <v>1</v>
      </c>
      <c r="G119" s="385">
        <v>1441</v>
      </c>
      <c r="H119" s="385">
        <v>1</v>
      </c>
      <c r="I119" s="385">
        <v>1441</v>
      </c>
      <c r="J119" s="385"/>
      <c r="K119" s="385"/>
      <c r="L119" s="385"/>
      <c r="M119" s="385"/>
      <c r="N119" s="385"/>
      <c r="O119" s="385"/>
      <c r="P119" s="416"/>
      <c r="Q119" s="386"/>
    </row>
    <row r="120" spans="1:17" ht="14.4" customHeight="1" x14ac:dyDescent="0.3">
      <c r="A120" s="381" t="s">
        <v>675</v>
      </c>
      <c r="B120" s="382" t="s">
        <v>598</v>
      </c>
      <c r="C120" s="382" t="s">
        <v>595</v>
      </c>
      <c r="D120" s="382" t="s">
        <v>623</v>
      </c>
      <c r="E120" s="382" t="s">
        <v>624</v>
      </c>
      <c r="F120" s="385">
        <v>1</v>
      </c>
      <c r="G120" s="385">
        <v>16</v>
      </c>
      <c r="H120" s="385">
        <v>1</v>
      </c>
      <c r="I120" s="385">
        <v>16</v>
      </c>
      <c r="J120" s="385"/>
      <c r="K120" s="385"/>
      <c r="L120" s="385"/>
      <c r="M120" s="385"/>
      <c r="N120" s="385"/>
      <c r="O120" s="385"/>
      <c r="P120" s="416"/>
      <c r="Q120" s="386"/>
    </row>
    <row r="121" spans="1:17" ht="14.4" customHeight="1" x14ac:dyDescent="0.3">
      <c r="A121" s="381" t="s">
        <v>675</v>
      </c>
      <c r="B121" s="382" t="s">
        <v>598</v>
      </c>
      <c r="C121" s="382" t="s">
        <v>595</v>
      </c>
      <c r="D121" s="382" t="s">
        <v>625</v>
      </c>
      <c r="E121" s="382" t="s">
        <v>610</v>
      </c>
      <c r="F121" s="385">
        <v>2</v>
      </c>
      <c r="G121" s="385">
        <v>1370</v>
      </c>
      <c r="H121" s="385">
        <v>1</v>
      </c>
      <c r="I121" s="385">
        <v>685</v>
      </c>
      <c r="J121" s="385"/>
      <c r="K121" s="385"/>
      <c r="L121" s="385"/>
      <c r="M121" s="385"/>
      <c r="N121" s="385"/>
      <c r="O121" s="385"/>
      <c r="P121" s="416"/>
      <c r="Q121" s="386"/>
    </row>
    <row r="122" spans="1:17" ht="14.4" customHeight="1" x14ac:dyDescent="0.3">
      <c r="A122" s="381" t="s">
        <v>675</v>
      </c>
      <c r="B122" s="382" t="s">
        <v>598</v>
      </c>
      <c r="C122" s="382" t="s">
        <v>595</v>
      </c>
      <c r="D122" s="382" t="s">
        <v>629</v>
      </c>
      <c r="E122" s="382" t="s">
        <v>630</v>
      </c>
      <c r="F122" s="385">
        <v>2</v>
      </c>
      <c r="G122" s="385">
        <v>130</v>
      </c>
      <c r="H122" s="385">
        <v>1</v>
      </c>
      <c r="I122" s="385">
        <v>65</v>
      </c>
      <c r="J122" s="385"/>
      <c r="K122" s="385"/>
      <c r="L122" s="385"/>
      <c r="M122" s="385"/>
      <c r="N122" s="385"/>
      <c r="O122" s="385"/>
      <c r="P122" s="416"/>
      <c r="Q122" s="386"/>
    </row>
    <row r="123" spans="1:17" ht="14.4" customHeight="1" x14ac:dyDescent="0.3">
      <c r="A123" s="381" t="s">
        <v>675</v>
      </c>
      <c r="B123" s="382" t="s">
        <v>598</v>
      </c>
      <c r="C123" s="382" t="s">
        <v>595</v>
      </c>
      <c r="D123" s="382" t="s">
        <v>631</v>
      </c>
      <c r="E123" s="382" t="s">
        <v>632</v>
      </c>
      <c r="F123" s="385">
        <v>1</v>
      </c>
      <c r="G123" s="385">
        <v>394</v>
      </c>
      <c r="H123" s="385">
        <v>1</v>
      </c>
      <c r="I123" s="385">
        <v>394</v>
      </c>
      <c r="J123" s="385"/>
      <c r="K123" s="385"/>
      <c r="L123" s="385"/>
      <c r="M123" s="385"/>
      <c r="N123" s="385"/>
      <c r="O123" s="385"/>
      <c r="P123" s="416"/>
      <c r="Q123" s="386"/>
    </row>
    <row r="124" spans="1:17" ht="14.4" customHeight="1" x14ac:dyDescent="0.3">
      <c r="A124" s="381" t="s">
        <v>675</v>
      </c>
      <c r="B124" s="382" t="s">
        <v>598</v>
      </c>
      <c r="C124" s="382" t="s">
        <v>595</v>
      </c>
      <c r="D124" s="382" t="s">
        <v>635</v>
      </c>
      <c r="E124" s="382" t="s">
        <v>636</v>
      </c>
      <c r="F124" s="385">
        <v>5</v>
      </c>
      <c r="G124" s="385">
        <v>2745</v>
      </c>
      <c r="H124" s="385">
        <v>1</v>
      </c>
      <c r="I124" s="385">
        <v>549</v>
      </c>
      <c r="J124" s="385"/>
      <c r="K124" s="385"/>
      <c r="L124" s="385"/>
      <c r="M124" s="385"/>
      <c r="N124" s="385"/>
      <c r="O124" s="385"/>
      <c r="P124" s="416"/>
      <c r="Q124" s="386"/>
    </row>
    <row r="125" spans="1:17" ht="14.4" customHeight="1" x14ac:dyDescent="0.3">
      <c r="A125" s="381" t="s">
        <v>676</v>
      </c>
      <c r="B125" s="382" t="s">
        <v>598</v>
      </c>
      <c r="C125" s="382" t="s">
        <v>595</v>
      </c>
      <c r="D125" s="382" t="s">
        <v>599</v>
      </c>
      <c r="E125" s="382" t="s">
        <v>600</v>
      </c>
      <c r="F125" s="385"/>
      <c r="G125" s="385"/>
      <c r="H125" s="385"/>
      <c r="I125" s="385"/>
      <c r="J125" s="385">
        <v>2</v>
      </c>
      <c r="K125" s="385">
        <v>252</v>
      </c>
      <c r="L125" s="385"/>
      <c r="M125" s="385">
        <v>126</v>
      </c>
      <c r="N125" s="385"/>
      <c r="O125" s="385"/>
      <c r="P125" s="416"/>
      <c r="Q125" s="386"/>
    </row>
    <row r="126" spans="1:17" ht="14.4" customHeight="1" x14ac:dyDescent="0.3">
      <c r="A126" s="381" t="s">
        <v>676</v>
      </c>
      <c r="B126" s="382" t="s">
        <v>598</v>
      </c>
      <c r="C126" s="382" t="s">
        <v>595</v>
      </c>
      <c r="D126" s="382" t="s">
        <v>601</v>
      </c>
      <c r="E126" s="382" t="s">
        <v>602</v>
      </c>
      <c r="F126" s="385">
        <v>1</v>
      </c>
      <c r="G126" s="385">
        <v>1217</v>
      </c>
      <c r="H126" s="385">
        <v>1</v>
      </c>
      <c r="I126" s="385">
        <v>1217</v>
      </c>
      <c r="J126" s="385"/>
      <c r="K126" s="385"/>
      <c r="L126" s="385"/>
      <c r="M126" s="385"/>
      <c r="N126" s="385"/>
      <c r="O126" s="385"/>
      <c r="P126" s="416"/>
      <c r="Q126" s="386"/>
    </row>
    <row r="127" spans="1:17" ht="14.4" customHeight="1" x14ac:dyDescent="0.3">
      <c r="A127" s="381" t="s">
        <v>676</v>
      </c>
      <c r="B127" s="382" t="s">
        <v>598</v>
      </c>
      <c r="C127" s="382" t="s">
        <v>595</v>
      </c>
      <c r="D127" s="382" t="s">
        <v>603</v>
      </c>
      <c r="E127" s="382" t="s">
        <v>604</v>
      </c>
      <c r="F127" s="385"/>
      <c r="G127" s="385"/>
      <c r="H127" s="385"/>
      <c r="I127" s="385"/>
      <c r="J127" s="385">
        <v>3</v>
      </c>
      <c r="K127" s="385">
        <v>6639</v>
      </c>
      <c r="L127" s="385"/>
      <c r="M127" s="385">
        <v>2213</v>
      </c>
      <c r="N127" s="385">
        <v>4</v>
      </c>
      <c r="O127" s="385">
        <v>8852</v>
      </c>
      <c r="P127" s="416"/>
      <c r="Q127" s="386">
        <v>2213</v>
      </c>
    </row>
    <row r="128" spans="1:17" ht="14.4" customHeight="1" x14ac:dyDescent="0.3">
      <c r="A128" s="381" t="s">
        <v>676</v>
      </c>
      <c r="B128" s="382" t="s">
        <v>598</v>
      </c>
      <c r="C128" s="382" t="s">
        <v>595</v>
      </c>
      <c r="D128" s="382" t="s">
        <v>605</v>
      </c>
      <c r="E128" s="382" t="s">
        <v>606</v>
      </c>
      <c r="F128" s="385">
        <v>1</v>
      </c>
      <c r="G128" s="385">
        <v>1032</v>
      </c>
      <c r="H128" s="385">
        <v>1</v>
      </c>
      <c r="I128" s="385">
        <v>1032</v>
      </c>
      <c r="J128" s="385"/>
      <c r="K128" s="385"/>
      <c r="L128" s="385"/>
      <c r="M128" s="385"/>
      <c r="N128" s="385"/>
      <c r="O128" s="385"/>
      <c r="P128" s="416"/>
      <c r="Q128" s="386"/>
    </row>
    <row r="129" spans="1:17" ht="14.4" customHeight="1" x14ac:dyDescent="0.3">
      <c r="A129" s="381" t="s">
        <v>676</v>
      </c>
      <c r="B129" s="382" t="s">
        <v>598</v>
      </c>
      <c r="C129" s="382" t="s">
        <v>595</v>
      </c>
      <c r="D129" s="382" t="s">
        <v>607</v>
      </c>
      <c r="E129" s="382" t="s">
        <v>608</v>
      </c>
      <c r="F129" s="385">
        <v>1</v>
      </c>
      <c r="G129" s="385">
        <v>3689</v>
      </c>
      <c r="H129" s="385">
        <v>1</v>
      </c>
      <c r="I129" s="385">
        <v>3689</v>
      </c>
      <c r="J129" s="385">
        <v>1</v>
      </c>
      <c r="K129" s="385">
        <v>3698</v>
      </c>
      <c r="L129" s="385">
        <v>1.00243968555164</v>
      </c>
      <c r="M129" s="385">
        <v>3698</v>
      </c>
      <c r="N129" s="385">
        <v>3</v>
      </c>
      <c r="O129" s="385">
        <v>11094</v>
      </c>
      <c r="P129" s="416">
        <v>3.0073190566549202</v>
      </c>
      <c r="Q129" s="386">
        <v>3698</v>
      </c>
    </row>
    <row r="130" spans="1:17" ht="14.4" customHeight="1" x14ac:dyDescent="0.3">
      <c r="A130" s="381" t="s">
        <v>676</v>
      </c>
      <c r="B130" s="382" t="s">
        <v>598</v>
      </c>
      <c r="C130" s="382" t="s">
        <v>595</v>
      </c>
      <c r="D130" s="382" t="s">
        <v>613</v>
      </c>
      <c r="E130" s="382" t="s">
        <v>614</v>
      </c>
      <c r="F130" s="385"/>
      <c r="G130" s="385"/>
      <c r="H130" s="385"/>
      <c r="I130" s="385"/>
      <c r="J130" s="385"/>
      <c r="K130" s="385"/>
      <c r="L130" s="385"/>
      <c r="M130" s="385"/>
      <c r="N130" s="385">
        <v>2</v>
      </c>
      <c r="O130" s="385">
        <v>3226</v>
      </c>
      <c r="P130" s="416"/>
      <c r="Q130" s="386">
        <v>1613</v>
      </c>
    </row>
    <row r="131" spans="1:17" ht="14.4" customHeight="1" x14ac:dyDescent="0.3">
      <c r="A131" s="381" t="s">
        <v>676</v>
      </c>
      <c r="B131" s="382" t="s">
        <v>598</v>
      </c>
      <c r="C131" s="382" t="s">
        <v>595</v>
      </c>
      <c r="D131" s="382" t="s">
        <v>617</v>
      </c>
      <c r="E131" s="382" t="s">
        <v>618</v>
      </c>
      <c r="F131" s="385"/>
      <c r="G131" s="385"/>
      <c r="H131" s="385"/>
      <c r="I131" s="385"/>
      <c r="J131" s="385">
        <v>2</v>
      </c>
      <c r="K131" s="385">
        <v>1638</v>
      </c>
      <c r="L131" s="385"/>
      <c r="M131" s="385">
        <v>819</v>
      </c>
      <c r="N131" s="385">
        <v>1</v>
      </c>
      <c r="O131" s="385">
        <v>819</v>
      </c>
      <c r="P131" s="416"/>
      <c r="Q131" s="386">
        <v>819</v>
      </c>
    </row>
    <row r="132" spans="1:17" ht="14.4" customHeight="1" x14ac:dyDescent="0.3">
      <c r="A132" s="381" t="s">
        <v>676</v>
      </c>
      <c r="B132" s="382" t="s">
        <v>598</v>
      </c>
      <c r="C132" s="382" t="s">
        <v>595</v>
      </c>
      <c r="D132" s="382" t="s">
        <v>619</v>
      </c>
      <c r="E132" s="382" t="s">
        <v>620</v>
      </c>
      <c r="F132" s="385"/>
      <c r="G132" s="385"/>
      <c r="H132" s="385"/>
      <c r="I132" s="385"/>
      <c r="J132" s="385">
        <v>1</v>
      </c>
      <c r="K132" s="385">
        <v>1447</v>
      </c>
      <c r="L132" s="385"/>
      <c r="M132" s="385">
        <v>1447</v>
      </c>
      <c r="N132" s="385">
        <v>1</v>
      </c>
      <c r="O132" s="385">
        <v>1447</v>
      </c>
      <c r="P132" s="416"/>
      <c r="Q132" s="386">
        <v>1447</v>
      </c>
    </row>
    <row r="133" spans="1:17" ht="14.4" customHeight="1" x14ac:dyDescent="0.3">
      <c r="A133" s="381" t="s">
        <v>676</v>
      </c>
      <c r="B133" s="382" t="s">
        <v>598</v>
      </c>
      <c r="C133" s="382" t="s">
        <v>595</v>
      </c>
      <c r="D133" s="382" t="s">
        <v>623</v>
      </c>
      <c r="E133" s="382" t="s">
        <v>624</v>
      </c>
      <c r="F133" s="385">
        <v>1</v>
      </c>
      <c r="G133" s="385">
        <v>16</v>
      </c>
      <c r="H133" s="385">
        <v>1</v>
      </c>
      <c r="I133" s="385">
        <v>16</v>
      </c>
      <c r="J133" s="385">
        <v>3</v>
      </c>
      <c r="K133" s="385">
        <v>48</v>
      </c>
      <c r="L133" s="385">
        <v>3</v>
      </c>
      <c r="M133" s="385">
        <v>16</v>
      </c>
      <c r="N133" s="385">
        <v>3</v>
      </c>
      <c r="O133" s="385">
        <v>48</v>
      </c>
      <c r="P133" s="416">
        <v>3</v>
      </c>
      <c r="Q133" s="386">
        <v>16</v>
      </c>
    </row>
    <row r="134" spans="1:17" ht="14.4" customHeight="1" x14ac:dyDescent="0.3">
      <c r="A134" s="381" t="s">
        <v>676</v>
      </c>
      <c r="B134" s="382" t="s">
        <v>598</v>
      </c>
      <c r="C134" s="382" t="s">
        <v>595</v>
      </c>
      <c r="D134" s="382" t="s">
        <v>625</v>
      </c>
      <c r="E134" s="382" t="s">
        <v>610</v>
      </c>
      <c r="F134" s="385">
        <v>2</v>
      </c>
      <c r="G134" s="385">
        <v>1370</v>
      </c>
      <c r="H134" s="385">
        <v>1</v>
      </c>
      <c r="I134" s="385">
        <v>685</v>
      </c>
      <c r="J134" s="385">
        <v>4</v>
      </c>
      <c r="K134" s="385">
        <v>2752</v>
      </c>
      <c r="L134" s="385">
        <v>2.0087591240875913</v>
      </c>
      <c r="M134" s="385">
        <v>688</v>
      </c>
      <c r="N134" s="385">
        <v>4</v>
      </c>
      <c r="O134" s="385">
        <v>2752</v>
      </c>
      <c r="P134" s="416">
        <v>2.0087591240875913</v>
      </c>
      <c r="Q134" s="386">
        <v>688</v>
      </c>
    </row>
    <row r="135" spans="1:17" ht="14.4" customHeight="1" x14ac:dyDescent="0.3">
      <c r="A135" s="381" t="s">
        <v>676</v>
      </c>
      <c r="B135" s="382" t="s">
        <v>598</v>
      </c>
      <c r="C135" s="382" t="s">
        <v>595</v>
      </c>
      <c r="D135" s="382" t="s">
        <v>626</v>
      </c>
      <c r="E135" s="382" t="s">
        <v>612</v>
      </c>
      <c r="F135" s="385">
        <v>4</v>
      </c>
      <c r="G135" s="385">
        <v>5484</v>
      </c>
      <c r="H135" s="385">
        <v>1</v>
      </c>
      <c r="I135" s="385">
        <v>1371</v>
      </c>
      <c r="J135" s="385">
        <v>1</v>
      </c>
      <c r="K135" s="385">
        <v>1375</v>
      </c>
      <c r="L135" s="385">
        <v>0.25072939460247995</v>
      </c>
      <c r="M135" s="385">
        <v>1375</v>
      </c>
      <c r="N135" s="385">
        <v>7</v>
      </c>
      <c r="O135" s="385">
        <v>9625</v>
      </c>
      <c r="P135" s="416">
        <v>1.7551057622173596</v>
      </c>
      <c r="Q135" s="386">
        <v>1375</v>
      </c>
    </row>
    <row r="136" spans="1:17" ht="14.4" customHeight="1" x14ac:dyDescent="0.3">
      <c r="A136" s="381" t="s">
        <v>676</v>
      </c>
      <c r="B136" s="382" t="s">
        <v>598</v>
      </c>
      <c r="C136" s="382" t="s">
        <v>595</v>
      </c>
      <c r="D136" s="382" t="s">
        <v>627</v>
      </c>
      <c r="E136" s="382" t="s">
        <v>628</v>
      </c>
      <c r="F136" s="385">
        <v>1</v>
      </c>
      <c r="G136" s="385">
        <v>2310</v>
      </c>
      <c r="H136" s="385">
        <v>1</v>
      </c>
      <c r="I136" s="385">
        <v>2310</v>
      </c>
      <c r="J136" s="385">
        <v>1</v>
      </c>
      <c r="K136" s="385">
        <v>2319</v>
      </c>
      <c r="L136" s="385">
        <v>1.0038961038961038</v>
      </c>
      <c r="M136" s="385">
        <v>2319</v>
      </c>
      <c r="N136" s="385">
        <v>4</v>
      </c>
      <c r="O136" s="385">
        <v>9276</v>
      </c>
      <c r="P136" s="416">
        <v>4.0155844155844154</v>
      </c>
      <c r="Q136" s="386">
        <v>2319</v>
      </c>
    </row>
    <row r="137" spans="1:17" ht="14.4" customHeight="1" x14ac:dyDescent="0.3">
      <c r="A137" s="381" t="s">
        <v>676</v>
      </c>
      <c r="B137" s="382" t="s">
        <v>598</v>
      </c>
      <c r="C137" s="382" t="s">
        <v>595</v>
      </c>
      <c r="D137" s="382" t="s">
        <v>629</v>
      </c>
      <c r="E137" s="382" t="s">
        <v>630</v>
      </c>
      <c r="F137" s="385">
        <v>2</v>
      </c>
      <c r="G137" s="385">
        <v>130</v>
      </c>
      <c r="H137" s="385">
        <v>1</v>
      </c>
      <c r="I137" s="385">
        <v>65</v>
      </c>
      <c r="J137" s="385">
        <v>4</v>
      </c>
      <c r="K137" s="385">
        <v>260</v>
      </c>
      <c r="L137" s="385">
        <v>2</v>
      </c>
      <c r="M137" s="385">
        <v>65</v>
      </c>
      <c r="N137" s="385">
        <v>4</v>
      </c>
      <c r="O137" s="385">
        <v>260</v>
      </c>
      <c r="P137" s="416">
        <v>2</v>
      </c>
      <c r="Q137" s="386">
        <v>65</v>
      </c>
    </row>
    <row r="138" spans="1:17" ht="14.4" customHeight="1" x14ac:dyDescent="0.3">
      <c r="A138" s="381" t="s">
        <v>676</v>
      </c>
      <c r="B138" s="382" t="s">
        <v>598</v>
      </c>
      <c r="C138" s="382" t="s">
        <v>595</v>
      </c>
      <c r="D138" s="382" t="s">
        <v>631</v>
      </c>
      <c r="E138" s="382" t="s">
        <v>632</v>
      </c>
      <c r="F138" s="385"/>
      <c r="G138" s="385"/>
      <c r="H138" s="385"/>
      <c r="I138" s="385"/>
      <c r="J138" s="385">
        <v>1</v>
      </c>
      <c r="K138" s="385">
        <v>396</v>
      </c>
      <c r="L138" s="385"/>
      <c r="M138" s="385">
        <v>396</v>
      </c>
      <c r="N138" s="385">
        <v>1</v>
      </c>
      <c r="O138" s="385">
        <v>396</v>
      </c>
      <c r="P138" s="416"/>
      <c r="Q138" s="386">
        <v>396</v>
      </c>
    </row>
    <row r="139" spans="1:17" ht="14.4" customHeight="1" x14ac:dyDescent="0.3">
      <c r="A139" s="381" t="s">
        <v>676</v>
      </c>
      <c r="B139" s="382" t="s">
        <v>598</v>
      </c>
      <c r="C139" s="382" t="s">
        <v>595</v>
      </c>
      <c r="D139" s="382" t="s">
        <v>635</v>
      </c>
      <c r="E139" s="382" t="s">
        <v>636</v>
      </c>
      <c r="F139" s="385">
        <v>6</v>
      </c>
      <c r="G139" s="385">
        <v>3294</v>
      </c>
      <c r="H139" s="385">
        <v>1</v>
      </c>
      <c r="I139" s="385">
        <v>549</v>
      </c>
      <c r="J139" s="385">
        <v>8</v>
      </c>
      <c r="K139" s="385">
        <v>4400</v>
      </c>
      <c r="L139" s="385">
        <v>1.3357619914996963</v>
      </c>
      <c r="M139" s="385">
        <v>550</v>
      </c>
      <c r="N139" s="385">
        <v>17</v>
      </c>
      <c r="O139" s="385">
        <v>9350</v>
      </c>
      <c r="P139" s="416">
        <v>2.8384942319368549</v>
      </c>
      <c r="Q139" s="386">
        <v>550</v>
      </c>
    </row>
    <row r="140" spans="1:17" ht="14.4" customHeight="1" x14ac:dyDescent="0.3">
      <c r="A140" s="381" t="s">
        <v>676</v>
      </c>
      <c r="B140" s="382" t="s">
        <v>598</v>
      </c>
      <c r="C140" s="382" t="s">
        <v>595</v>
      </c>
      <c r="D140" s="382" t="s">
        <v>648</v>
      </c>
      <c r="E140" s="382" t="s">
        <v>649</v>
      </c>
      <c r="F140" s="385"/>
      <c r="G140" s="385"/>
      <c r="H140" s="385"/>
      <c r="I140" s="385"/>
      <c r="J140" s="385"/>
      <c r="K140" s="385"/>
      <c r="L140" s="385"/>
      <c r="M140" s="385"/>
      <c r="N140" s="385">
        <v>1</v>
      </c>
      <c r="O140" s="385">
        <v>1607</v>
      </c>
      <c r="P140" s="416"/>
      <c r="Q140" s="386">
        <v>1607</v>
      </c>
    </row>
    <row r="141" spans="1:17" ht="14.4" customHeight="1" x14ac:dyDescent="0.3">
      <c r="A141" s="381" t="s">
        <v>677</v>
      </c>
      <c r="B141" s="382" t="s">
        <v>598</v>
      </c>
      <c r="C141" s="382" t="s">
        <v>595</v>
      </c>
      <c r="D141" s="382" t="s">
        <v>599</v>
      </c>
      <c r="E141" s="382" t="s">
        <v>600</v>
      </c>
      <c r="F141" s="385"/>
      <c r="G141" s="385"/>
      <c r="H141" s="385"/>
      <c r="I141" s="385"/>
      <c r="J141" s="385"/>
      <c r="K141" s="385"/>
      <c r="L141" s="385"/>
      <c r="M141" s="385"/>
      <c r="N141" s="385">
        <v>2</v>
      </c>
      <c r="O141" s="385">
        <v>252</v>
      </c>
      <c r="P141" s="416"/>
      <c r="Q141" s="386">
        <v>126</v>
      </c>
    </row>
    <row r="142" spans="1:17" ht="14.4" customHeight="1" x14ac:dyDescent="0.3">
      <c r="A142" s="381" t="s">
        <v>677</v>
      </c>
      <c r="B142" s="382" t="s">
        <v>598</v>
      </c>
      <c r="C142" s="382" t="s">
        <v>595</v>
      </c>
      <c r="D142" s="382" t="s">
        <v>607</v>
      </c>
      <c r="E142" s="382" t="s">
        <v>608</v>
      </c>
      <c r="F142" s="385">
        <v>1</v>
      </c>
      <c r="G142" s="385">
        <v>3689</v>
      </c>
      <c r="H142" s="385">
        <v>1</v>
      </c>
      <c r="I142" s="385">
        <v>3689</v>
      </c>
      <c r="J142" s="385">
        <v>4</v>
      </c>
      <c r="K142" s="385">
        <v>14792</v>
      </c>
      <c r="L142" s="385">
        <v>4.0097587422065599</v>
      </c>
      <c r="M142" s="385">
        <v>3698</v>
      </c>
      <c r="N142" s="385">
        <v>6</v>
      </c>
      <c r="O142" s="385">
        <v>22188</v>
      </c>
      <c r="P142" s="416">
        <v>6.0146381133098403</v>
      </c>
      <c r="Q142" s="386">
        <v>3698</v>
      </c>
    </row>
    <row r="143" spans="1:17" ht="14.4" customHeight="1" x14ac:dyDescent="0.3">
      <c r="A143" s="381" t="s">
        <v>677</v>
      </c>
      <c r="B143" s="382" t="s">
        <v>598</v>
      </c>
      <c r="C143" s="382" t="s">
        <v>595</v>
      </c>
      <c r="D143" s="382" t="s">
        <v>609</v>
      </c>
      <c r="E143" s="382" t="s">
        <v>610</v>
      </c>
      <c r="F143" s="385"/>
      <c r="G143" s="385"/>
      <c r="H143" s="385"/>
      <c r="I143" s="385"/>
      <c r="J143" s="385"/>
      <c r="K143" s="385"/>
      <c r="L143" s="385"/>
      <c r="M143" s="385"/>
      <c r="N143" s="385">
        <v>10</v>
      </c>
      <c r="O143" s="385">
        <v>4380</v>
      </c>
      <c r="P143" s="416"/>
      <c r="Q143" s="386">
        <v>438</v>
      </c>
    </row>
    <row r="144" spans="1:17" ht="14.4" customHeight="1" x14ac:dyDescent="0.3">
      <c r="A144" s="381" t="s">
        <v>677</v>
      </c>
      <c r="B144" s="382" t="s">
        <v>598</v>
      </c>
      <c r="C144" s="382" t="s">
        <v>595</v>
      </c>
      <c r="D144" s="382" t="s">
        <v>611</v>
      </c>
      <c r="E144" s="382" t="s">
        <v>612</v>
      </c>
      <c r="F144" s="385">
        <v>3</v>
      </c>
      <c r="G144" s="385">
        <v>2493</v>
      </c>
      <c r="H144" s="385">
        <v>1</v>
      </c>
      <c r="I144" s="385">
        <v>831</v>
      </c>
      <c r="J144" s="385"/>
      <c r="K144" s="385"/>
      <c r="L144" s="385"/>
      <c r="M144" s="385"/>
      <c r="N144" s="385">
        <v>2</v>
      </c>
      <c r="O144" s="385">
        <v>1664</v>
      </c>
      <c r="P144" s="416">
        <v>0.66746891295627753</v>
      </c>
      <c r="Q144" s="386">
        <v>832</v>
      </c>
    </row>
    <row r="145" spans="1:17" ht="14.4" customHeight="1" x14ac:dyDescent="0.3">
      <c r="A145" s="381" t="s">
        <v>677</v>
      </c>
      <c r="B145" s="382" t="s">
        <v>598</v>
      </c>
      <c r="C145" s="382" t="s">
        <v>595</v>
      </c>
      <c r="D145" s="382" t="s">
        <v>619</v>
      </c>
      <c r="E145" s="382" t="s">
        <v>620</v>
      </c>
      <c r="F145" s="385">
        <v>4</v>
      </c>
      <c r="G145" s="385">
        <v>5764</v>
      </c>
      <c r="H145" s="385">
        <v>1</v>
      </c>
      <c r="I145" s="385">
        <v>1441</v>
      </c>
      <c r="J145" s="385">
        <v>8</v>
      </c>
      <c r="K145" s="385">
        <v>11576</v>
      </c>
      <c r="L145" s="385">
        <v>2.0083275503122833</v>
      </c>
      <c r="M145" s="385">
        <v>1447</v>
      </c>
      <c r="N145" s="385">
        <v>12</v>
      </c>
      <c r="O145" s="385">
        <v>17364</v>
      </c>
      <c r="P145" s="416">
        <v>3.0124913254684249</v>
      </c>
      <c r="Q145" s="386">
        <v>1447</v>
      </c>
    </row>
    <row r="146" spans="1:17" ht="14.4" customHeight="1" x14ac:dyDescent="0.3">
      <c r="A146" s="381" t="s">
        <v>677</v>
      </c>
      <c r="B146" s="382" t="s">
        <v>598</v>
      </c>
      <c r="C146" s="382" t="s">
        <v>595</v>
      </c>
      <c r="D146" s="382" t="s">
        <v>623</v>
      </c>
      <c r="E146" s="382" t="s">
        <v>624</v>
      </c>
      <c r="F146" s="385"/>
      <c r="G146" s="385"/>
      <c r="H146" s="385"/>
      <c r="I146" s="385"/>
      <c r="J146" s="385">
        <v>1</v>
      </c>
      <c r="K146" s="385">
        <v>16</v>
      </c>
      <c r="L146" s="385"/>
      <c r="M146" s="385">
        <v>16</v>
      </c>
      <c r="N146" s="385">
        <v>3</v>
      </c>
      <c r="O146" s="385">
        <v>48</v>
      </c>
      <c r="P146" s="416"/>
      <c r="Q146" s="386">
        <v>16</v>
      </c>
    </row>
    <row r="147" spans="1:17" ht="14.4" customHeight="1" x14ac:dyDescent="0.3">
      <c r="A147" s="381" t="s">
        <v>677</v>
      </c>
      <c r="B147" s="382" t="s">
        <v>598</v>
      </c>
      <c r="C147" s="382" t="s">
        <v>595</v>
      </c>
      <c r="D147" s="382" t="s">
        <v>625</v>
      </c>
      <c r="E147" s="382" t="s">
        <v>610</v>
      </c>
      <c r="F147" s="385">
        <v>1</v>
      </c>
      <c r="G147" s="385">
        <v>685</v>
      </c>
      <c r="H147" s="385">
        <v>1</v>
      </c>
      <c r="I147" s="385">
        <v>685</v>
      </c>
      <c r="J147" s="385">
        <v>2</v>
      </c>
      <c r="K147" s="385">
        <v>1376</v>
      </c>
      <c r="L147" s="385">
        <v>2.0087591240875913</v>
      </c>
      <c r="M147" s="385">
        <v>688</v>
      </c>
      <c r="N147" s="385">
        <v>7</v>
      </c>
      <c r="O147" s="385">
        <v>4816</v>
      </c>
      <c r="P147" s="416">
        <v>7.0306569343065695</v>
      </c>
      <c r="Q147" s="386">
        <v>688</v>
      </c>
    </row>
    <row r="148" spans="1:17" ht="14.4" customHeight="1" x14ac:dyDescent="0.3">
      <c r="A148" s="381" t="s">
        <v>677</v>
      </c>
      <c r="B148" s="382" t="s">
        <v>598</v>
      </c>
      <c r="C148" s="382" t="s">
        <v>595</v>
      </c>
      <c r="D148" s="382" t="s">
        <v>626</v>
      </c>
      <c r="E148" s="382" t="s">
        <v>612</v>
      </c>
      <c r="F148" s="385"/>
      <c r="G148" s="385"/>
      <c r="H148" s="385"/>
      <c r="I148" s="385"/>
      <c r="J148" s="385">
        <v>8</v>
      </c>
      <c r="K148" s="385">
        <v>11000</v>
      </c>
      <c r="L148" s="385"/>
      <c r="M148" s="385">
        <v>1375</v>
      </c>
      <c r="N148" s="385">
        <v>8</v>
      </c>
      <c r="O148" s="385">
        <v>11000</v>
      </c>
      <c r="P148" s="416"/>
      <c r="Q148" s="386">
        <v>1375</v>
      </c>
    </row>
    <row r="149" spans="1:17" ht="14.4" customHeight="1" x14ac:dyDescent="0.3">
      <c r="A149" s="381" t="s">
        <v>677</v>
      </c>
      <c r="B149" s="382" t="s">
        <v>598</v>
      </c>
      <c r="C149" s="382" t="s">
        <v>595</v>
      </c>
      <c r="D149" s="382" t="s">
        <v>627</v>
      </c>
      <c r="E149" s="382" t="s">
        <v>628</v>
      </c>
      <c r="F149" s="385"/>
      <c r="G149" s="385"/>
      <c r="H149" s="385"/>
      <c r="I149" s="385"/>
      <c r="J149" s="385">
        <v>4</v>
      </c>
      <c r="K149" s="385">
        <v>9276</v>
      </c>
      <c r="L149" s="385"/>
      <c r="M149" s="385">
        <v>2319</v>
      </c>
      <c r="N149" s="385">
        <v>4</v>
      </c>
      <c r="O149" s="385">
        <v>9276</v>
      </c>
      <c r="P149" s="416"/>
      <c r="Q149" s="386">
        <v>2319</v>
      </c>
    </row>
    <row r="150" spans="1:17" ht="14.4" customHeight="1" x14ac:dyDescent="0.3">
      <c r="A150" s="381" t="s">
        <v>677</v>
      </c>
      <c r="B150" s="382" t="s">
        <v>598</v>
      </c>
      <c r="C150" s="382" t="s">
        <v>595</v>
      </c>
      <c r="D150" s="382" t="s">
        <v>629</v>
      </c>
      <c r="E150" s="382" t="s">
        <v>630</v>
      </c>
      <c r="F150" s="385">
        <v>1</v>
      </c>
      <c r="G150" s="385">
        <v>65</v>
      </c>
      <c r="H150" s="385">
        <v>1</v>
      </c>
      <c r="I150" s="385">
        <v>65</v>
      </c>
      <c r="J150" s="385">
        <v>2</v>
      </c>
      <c r="K150" s="385">
        <v>130</v>
      </c>
      <c r="L150" s="385">
        <v>2</v>
      </c>
      <c r="M150" s="385">
        <v>65</v>
      </c>
      <c r="N150" s="385">
        <v>7</v>
      </c>
      <c r="O150" s="385">
        <v>455</v>
      </c>
      <c r="P150" s="416">
        <v>7</v>
      </c>
      <c r="Q150" s="386">
        <v>65</v>
      </c>
    </row>
    <row r="151" spans="1:17" ht="14.4" customHeight="1" x14ac:dyDescent="0.3">
      <c r="A151" s="381" t="s">
        <v>677</v>
      </c>
      <c r="B151" s="382" t="s">
        <v>598</v>
      </c>
      <c r="C151" s="382" t="s">
        <v>595</v>
      </c>
      <c r="D151" s="382" t="s">
        <v>631</v>
      </c>
      <c r="E151" s="382" t="s">
        <v>632</v>
      </c>
      <c r="F151" s="385">
        <v>4</v>
      </c>
      <c r="G151" s="385">
        <v>1576</v>
      </c>
      <c r="H151" s="385">
        <v>1</v>
      </c>
      <c r="I151" s="385">
        <v>394</v>
      </c>
      <c r="J151" s="385">
        <v>8</v>
      </c>
      <c r="K151" s="385">
        <v>3168</v>
      </c>
      <c r="L151" s="385">
        <v>2.0101522842639592</v>
      </c>
      <c r="M151" s="385">
        <v>396</v>
      </c>
      <c r="N151" s="385">
        <v>12</v>
      </c>
      <c r="O151" s="385">
        <v>4752</v>
      </c>
      <c r="P151" s="416">
        <v>3.015228426395939</v>
      </c>
      <c r="Q151" s="386">
        <v>396</v>
      </c>
    </row>
    <row r="152" spans="1:17" ht="14.4" customHeight="1" x14ac:dyDescent="0.3">
      <c r="A152" s="381" t="s">
        <v>677</v>
      </c>
      <c r="B152" s="382" t="s">
        <v>598</v>
      </c>
      <c r="C152" s="382" t="s">
        <v>595</v>
      </c>
      <c r="D152" s="382" t="s">
        <v>633</v>
      </c>
      <c r="E152" s="382" t="s">
        <v>634</v>
      </c>
      <c r="F152" s="385">
        <v>3</v>
      </c>
      <c r="G152" s="385">
        <v>4791</v>
      </c>
      <c r="H152" s="385">
        <v>1</v>
      </c>
      <c r="I152" s="385">
        <v>1597</v>
      </c>
      <c r="J152" s="385"/>
      <c r="K152" s="385"/>
      <c r="L152" s="385"/>
      <c r="M152" s="385"/>
      <c r="N152" s="385">
        <v>2</v>
      </c>
      <c r="O152" s="385">
        <v>3202</v>
      </c>
      <c r="P152" s="416">
        <v>0.66833646420371529</v>
      </c>
      <c r="Q152" s="386">
        <v>1601</v>
      </c>
    </row>
    <row r="153" spans="1:17" ht="14.4" customHeight="1" x14ac:dyDescent="0.3">
      <c r="A153" s="381" t="s">
        <v>677</v>
      </c>
      <c r="B153" s="382" t="s">
        <v>598</v>
      </c>
      <c r="C153" s="382" t="s">
        <v>595</v>
      </c>
      <c r="D153" s="382" t="s">
        <v>635</v>
      </c>
      <c r="E153" s="382" t="s">
        <v>636</v>
      </c>
      <c r="F153" s="385">
        <v>3</v>
      </c>
      <c r="G153" s="385">
        <v>1647</v>
      </c>
      <c r="H153" s="385">
        <v>1</v>
      </c>
      <c r="I153" s="385">
        <v>549</v>
      </c>
      <c r="J153" s="385">
        <v>17</v>
      </c>
      <c r="K153" s="385">
        <v>9350</v>
      </c>
      <c r="L153" s="385">
        <v>5.6769884638737098</v>
      </c>
      <c r="M153" s="385">
        <v>550</v>
      </c>
      <c r="N153" s="385">
        <v>34</v>
      </c>
      <c r="O153" s="385">
        <v>18700</v>
      </c>
      <c r="P153" s="416">
        <v>11.35397692774742</v>
      </c>
      <c r="Q153" s="386">
        <v>550</v>
      </c>
    </row>
    <row r="154" spans="1:17" ht="14.4" customHeight="1" x14ac:dyDescent="0.3">
      <c r="A154" s="381" t="s">
        <v>677</v>
      </c>
      <c r="B154" s="382" t="s">
        <v>598</v>
      </c>
      <c r="C154" s="382" t="s">
        <v>595</v>
      </c>
      <c r="D154" s="382" t="s">
        <v>641</v>
      </c>
      <c r="E154" s="382" t="s">
        <v>642</v>
      </c>
      <c r="F154" s="385"/>
      <c r="G154" s="385"/>
      <c r="H154" s="385"/>
      <c r="I154" s="385"/>
      <c r="J154" s="385"/>
      <c r="K154" s="385"/>
      <c r="L154" s="385"/>
      <c r="M154" s="385"/>
      <c r="N154" s="385">
        <v>1</v>
      </c>
      <c r="O154" s="385">
        <v>122</v>
      </c>
      <c r="P154" s="416"/>
      <c r="Q154" s="386">
        <v>122</v>
      </c>
    </row>
    <row r="155" spans="1:17" ht="14.4" customHeight="1" x14ac:dyDescent="0.3">
      <c r="A155" s="381" t="s">
        <v>677</v>
      </c>
      <c r="B155" s="382" t="s">
        <v>598</v>
      </c>
      <c r="C155" s="382" t="s">
        <v>595</v>
      </c>
      <c r="D155" s="382" t="s">
        <v>643</v>
      </c>
      <c r="E155" s="382" t="s">
        <v>644</v>
      </c>
      <c r="F155" s="385">
        <v>19</v>
      </c>
      <c r="G155" s="385">
        <v>8075</v>
      </c>
      <c r="H155" s="385">
        <v>1</v>
      </c>
      <c r="I155" s="385">
        <v>425</v>
      </c>
      <c r="J155" s="385">
        <v>22</v>
      </c>
      <c r="K155" s="385">
        <v>9350</v>
      </c>
      <c r="L155" s="385">
        <v>1.1578947368421053</v>
      </c>
      <c r="M155" s="385">
        <v>425</v>
      </c>
      <c r="N155" s="385">
        <v>20</v>
      </c>
      <c r="O155" s="385">
        <v>8500</v>
      </c>
      <c r="P155" s="416">
        <v>1.0526315789473684</v>
      </c>
      <c r="Q155" s="386">
        <v>425</v>
      </c>
    </row>
    <row r="156" spans="1:17" ht="14.4" customHeight="1" x14ac:dyDescent="0.3">
      <c r="A156" s="381" t="s">
        <v>678</v>
      </c>
      <c r="B156" s="382" t="s">
        <v>598</v>
      </c>
      <c r="C156" s="382" t="s">
        <v>595</v>
      </c>
      <c r="D156" s="382" t="s">
        <v>603</v>
      </c>
      <c r="E156" s="382" t="s">
        <v>604</v>
      </c>
      <c r="F156" s="385"/>
      <c r="G156" s="385"/>
      <c r="H156" s="385"/>
      <c r="I156" s="385"/>
      <c r="J156" s="385">
        <v>2</v>
      </c>
      <c r="K156" s="385">
        <v>4426</v>
      </c>
      <c r="L156" s="385"/>
      <c r="M156" s="385">
        <v>2213</v>
      </c>
      <c r="N156" s="385"/>
      <c r="O156" s="385"/>
      <c r="P156" s="416"/>
      <c r="Q156" s="386"/>
    </row>
    <row r="157" spans="1:17" ht="14.4" customHeight="1" x14ac:dyDescent="0.3">
      <c r="A157" s="381" t="s">
        <v>678</v>
      </c>
      <c r="B157" s="382" t="s">
        <v>598</v>
      </c>
      <c r="C157" s="382" t="s">
        <v>595</v>
      </c>
      <c r="D157" s="382" t="s">
        <v>607</v>
      </c>
      <c r="E157" s="382" t="s">
        <v>608</v>
      </c>
      <c r="F157" s="385"/>
      <c r="G157" s="385"/>
      <c r="H157" s="385"/>
      <c r="I157" s="385"/>
      <c r="J157" s="385">
        <v>1</v>
      </c>
      <c r="K157" s="385">
        <v>3698</v>
      </c>
      <c r="L157" s="385"/>
      <c r="M157" s="385">
        <v>3698</v>
      </c>
      <c r="N157" s="385"/>
      <c r="O157" s="385"/>
      <c r="P157" s="416"/>
      <c r="Q157" s="386"/>
    </row>
    <row r="158" spans="1:17" ht="14.4" customHeight="1" x14ac:dyDescent="0.3">
      <c r="A158" s="381" t="s">
        <v>678</v>
      </c>
      <c r="B158" s="382" t="s">
        <v>598</v>
      </c>
      <c r="C158" s="382" t="s">
        <v>595</v>
      </c>
      <c r="D158" s="382" t="s">
        <v>619</v>
      </c>
      <c r="E158" s="382" t="s">
        <v>620</v>
      </c>
      <c r="F158" s="385"/>
      <c r="G158" s="385"/>
      <c r="H158" s="385"/>
      <c r="I158" s="385"/>
      <c r="J158" s="385">
        <v>2</v>
      </c>
      <c r="K158" s="385">
        <v>2894</v>
      </c>
      <c r="L158" s="385"/>
      <c r="M158" s="385">
        <v>1447</v>
      </c>
      <c r="N158" s="385"/>
      <c r="O158" s="385"/>
      <c r="P158" s="416"/>
      <c r="Q158" s="386"/>
    </row>
    <row r="159" spans="1:17" ht="14.4" customHeight="1" x14ac:dyDescent="0.3">
      <c r="A159" s="381" t="s">
        <v>678</v>
      </c>
      <c r="B159" s="382" t="s">
        <v>598</v>
      </c>
      <c r="C159" s="382" t="s">
        <v>595</v>
      </c>
      <c r="D159" s="382" t="s">
        <v>623</v>
      </c>
      <c r="E159" s="382" t="s">
        <v>624</v>
      </c>
      <c r="F159" s="385"/>
      <c r="G159" s="385"/>
      <c r="H159" s="385"/>
      <c r="I159" s="385"/>
      <c r="J159" s="385">
        <v>1</v>
      </c>
      <c r="K159" s="385">
        <v>16</v>
      </c>
      <c r="L159" s="385"/>
      <c r="M159" s="385">
        <v>16</v>
      </c>
      <c r="N159" s="385"/>
      <c r="O159" s="385"/>
      <c r="P159" s="416"/>
      <c r="Q159" s="386"/>
    </row>
    <row r="160" spans="1:17" ht="14.4" customHeight="1" x14ac:dyDescent="0.3">
      <c r="A160" s="381" t="s">
        <v>678</v>
      </c>
      <c r="B160" s="382" t="s">
        <v>598</v>
      </c>
      <c r="C160" s="382" t="s">
        <v>595</v>
      </c>
      <c r="D160" s="382" t="s">
        <v>625</v>
      </c>
      <c r="E160" s="382" t="s">
        <v>610</v>
      </c>
      <c r="F160" s="385"/>
      <c r="G160" s="385"/>
      <c r="H160" s="385"/>
      <c r="I160" s="385"/>
      <c r="J160" s="385">
        <v>2</v>
      </c>
      <c r="K160" s="385">
        <v>1376</v>
      </c>
      <c r="L160" s="385"/>
      <c r="M160" s="385">
        <v>688</v>
      </c>
      <c r="N160" s="385"/>
      <c r="O160" s="385"/>
      <c r="P160" s="416"/>
      <c r="Q160" s="386"/>
    </row>
    <row r="161" spans="1:17" ht="14.4" customHeight="1" x14ac:dyDescent="0.3">
      <c r="A161" s="381" t="s">
        <v>678</v>
      </c>
      <c r="B161" s="382" t="s">
        <v>598</v>
      </c>
      <c r="C161" s="382" t="s">
        <v>595</v>
      </c>
      <c r="D161" s="382" t="s">
        <v>626</v>
      </c>
      <c r="E161" s="382" t="s">
        <v>612</v>
      </c>
      <c r="F161" s="385"/>
      <c r="G161" s="385"/>
      <c r="H161" s="385"/>
      <c r="I161" s="385"/>
      <c r="J161" s="385">
        <v>1</v>
      </c>
      <c r="K161" s="385">
        <v>1375</v>
      </c>
      <c r="L161" s="385"/>
      <c r="M161" s="385">
        <v>1375</v>
      </c>
      <c r="N161" s="385"/>
      <c r="O161" s="385"/>
      <c r="P161" s="416"/>
      <c r="Q161" s="386"/>
    </row>
    <row r="162" spans="1:17" ht="14.4" customHeight="1" x14ac:dyDescent="0.3">
      <c r="A162" s="381" t="s">
        <v>678</v>
      </c>
      <c r="B162" s="382" t="s">
        <v>598</v>
      </c>
      <c r="C162" s="382" t="s">
        <v>595</v>
      </c>
      <c r="D162" s="382" t="s">
        <v>627</v>
      </c>
      <c r="E162" s="382" t="s">
        <v>628</v>
      </c>
      <c r="F162" s="385"/>
      <c r="G162" s="385"/>
      <c r="H162" s="385"/>
      <c r="I162" s="385"/>
      <c r="J162" s="385">
        <v>1</v>
      </c>
      <c r="K162" s="385">
        <v>2319</v>
      </c>
      <c r="L162" s="385"/>
      <c r="M162" s="385">
        <v>2319</v>
      </c>
      <c r="N162" s="385"/>
      <c r="O162" s="385"/>
      <c r="P162" s="416"/>
      <c r="Q162" s="386"/>
    </row>
    <row r="163" spans="1:17" ht="14.4" customHeight="1" x14ac:dyDescent="0.3">
      <c r="A163" s="381" t="s">
        <v>678</v>
      </c>
      <c r="B163" s="382" t="s">
        <v>598</v>
      </c>
      <c r="C163" s="382" t="s">
        <v>595</v>
      </c>
      <c r="D163" s="382" t="s">
        <v>629</v>
      </c>
      <c r="E163" s="382" t="s">
        <v>630</v>
      </c>
      <c r="F163" s="385"/>
      <c r="G163" s="385"/>
      <c r="H163" s="385"/>
      <c r="I163" s="385"/>
      <c r="J163" s="385">
        <v>2</v>
      </c>
      <c r="K163" s="385">
        <v>130</v>
      </c>
      <c r="L163" s="385"/>
      <c r="M163" s="385">
        <v>65</v>
      </c>
      <c r="N163" s="385"/>
      <c r="O163" s="385"/>
      <c r="P163" s="416"/>
      <c r="Q163" s="386"/>
    </row>
    <row r="164" spans="1:17" ht="14.4" customHeight="1" x14ac:dyDescent="0.3">
      <c r="A164" s="381" t="s">
        <v>678</v>
      </c>
      <c r="B164" s="382" t="s">
        <v>598</v>
      </c>
      <c r="C164" s="382" t="s">
        <v>595</v>
      </c>
      <c r="D164" s="382" t="s">
        <v>631</v>
      </c>
      <c r="E164" s="382" t="s">
        <v>632</v>
      </c>
      <c r="F164" s="385"/>
      <c r="G164" s="385"/>
      <c r="H164" s="385"/>
      <c r="I164" s="385"/>
      <c r="J164" s="385">
        <v>2</v>
      </c>
      <c r="K164" s="385">
        <v>792</v>
      </c>
      <c r="L164" s="385"/>
      <c r="M164" s="385">
        <v>396</v>
      </c>
      <c r="N164" s="385"/>
      <c r="O164" s="385"/>
      <c r="P164" s="416"/>
      <c r="Q164" s="386"/>
    </row>
    <row r="165" spans="1:17" ht="14.4" customHeight="1" x14ac:dyDescent="0.3">
      <c r="A165" s="381" t="s">
        <v>678</v>
      </c>
      <c r="B165" s="382" t="s">
        <v>598</v>
      </c>
      <c r="C165" s="382" t="s">
        <v>595</v>
      </c>
      <c r="D165" s="382" t="s">
        <v>635</v>
      </c>
      <c r="E165" s="382" t="s">
        <v>636</v>
      </c>
      <c r="F165" s="385"/>
      <c r="G165" s="385"/>
      <c r="H165" s="385"/>
      <c r="I165" s="385"/>
      <c r="J165" s="385">
        <v>5</v>
      </c>
      <c r="K165" s="385">
        <v>2750</v>
      </c>
      <c r="L165" s="385"/>
      <c r="M165" s="385">
        <v>550</v>
      </c>
      <c r="N165" s="385"/>
      <c r="O165" s="385"/>
      <c r="P165" s="416"/>
      <c r="Q165" s="386"/>
    </row>
    <row r="166" spans="1:17" ht="14.4" customHeight="1" x14ac:dyDescent="0.3">
      <c r="A166" s="381" t="s">
        <v>679</v>
      </c>
      <c r="B166" s="382" t="s">
        <v>598</v>
      </c>
      <c r="C166" s="382" t="s">
        <v>595</v>
      </c>
      <c r="D166" s="382" t="s">
        <v>623</v>
      </c>
      <c r="E166" s="382" t="s">
        <v>624</v>
      </c>
      <c r="F166" s="385"/>
      <c r="G166" s="385"/>
      <c r="H166" s="385"/>
      <c r="I166" s="385"/>
      <c r="J166" s="385">
        <v>1</v>
      </c>
      <c r="K166" s="385">
        <v>16</v>
      </c>
      <c r="L166" s="385"/>
      <c r="M166" s="385">
        <v>16</v>
      </c>
      <c r="N166" s="385"/>
      <c r="O166" s="385"/>
      <c r="P166" s="416"/>
      <c r="Q166" s="386"/>
    </row>
    <row r="167" spans="1:17" ht="14.4" customHeight="1" x14ac:dyDescent="0.3">
      <c r="A167" s="381" t="s">
        <v>679</v>
      </c>
      <c r="B167" s="382" t="s">
        <v>598</v>
      </c>
      <c r="C167" s="382" t="s">
        <v>595</v>
      </c>
      <c r="D167" s="382" t="s">
        <v>625</v>
      </c>
      <c r="E167" s="382" t="s">
        <v>610</v>
      </c>
      <c r="F167" s="385"/>
      <c r="G167" s="385"/>
      <c r="H167" s="385"/>
      <c r="I167" s="385"/>
      <c r="J167" s="385">
        <v>2</v>
      </c>
      <c r="K167" s="385">
        <v>1376</v>
      </c>
      <c r="L167" s="385"/>
      <c r="M167" s="385">
        <v>688</v>
      </c>
      <c r="N167" s="385"/>
      <c r="O167" s="385"/>
      <c r="P167" s="416"/>
      <c r="Q167" s="386"/>
    </row>
    <row r="168" spans="1:17" ht="14.4" customHeight="1" x14ac:dyDescent="0.3">
      <c r="A168" s="381" t="s">
        <v>679</v>
      </c>
      <c r="B168" s="382" t="s">
        <v>598</v>
      </c>
      <c r="C168" s="382" t="s">
        <v>595</v>
      </c>
      <c r="D168" s="382" t="s">
        <v>629</v>
      </c>
      <c r="E168" s="382" t="s">
        <v>630</v>
      </c>
      <c r="F168" s="385"/>
      <c r="G168" s="385"/>
      <c r="H168" s="385"/>
      <c r="I168" s="385"/>
      <c r="J168" s="385">
        <v>2</v>
      </c>
      <c r="K168" s="385">
        <v>130</v>
      </c>
      <c r="L168" s="385"/>
      <c r="M168" s="385">
        <v>65</v>
      </c>
      <c r="N168" s="385"/>
      <c r="O168" s="385"/>
      <c r="P168" s="416"/>
      <c r="Q168" s="386"/>
    </row>
    <row r="169" spans="1:17" ht="14.4" customHeight="1" x14ac:dyDescent="0.3">
      <c r="A169" s="381" t="s">
        <v>679</v>
      </c>
      <c r="B169" s="382" t="s">
        <v>598</v>
      </c>
      <c r="C169" s="382" t="s">
        <v>595</v>
      </c>
      <c r="D169" s="382" t="s">
        <v>635</v>
      </c>
      <c r="E169" s="382" t="s">
        <v>636</v>
      </c>
      <c r="F169" s="385"/>
      <c r="G169" s="385"/>
      <c r="H169" s="385"/>
      <c r="I169" s="385"/>
      <c r="J169" s="385">
        <v>10</v>
      </c>
      <c r="K169" s="385">
        <v>5500</v>
      </c>
      <c r="L169" s="385"/>
      <c r="M169" s="385">
        <v>550</v>
      </c>
      <c r="N169" s="385"/>
      <c r="O169" s="385"/>
      <c r="P169" s="416"/>
      <c r="Q169" s="386"/>
    </row>
    <row r="170" spans="1:17" ht="14.4" customHeight="1" x14ac:dyDescent="0.3">
      <c r="A170" s="381" t="s">
        <v>680</v>
      </c>
      <c r="B170" s="382" t="s">
        <v>598</v>
      </c>
      <c r="C170" s="382" t="s">
        <v>595</v>
      </c>
      <c r="D170" s="382" t="s">
        <v>619</v>
      </c>
      <c r="E170" s="382" t="s">
        <v>620</v>
      </c>
      <c r="F170" s="385"/>
      <c r="G170" s="385"/>
      <c r="H170" s="385"/>
      <c r="I170" s="385"/>
      <c r="J170" s="385"/>
      <c r="K170" s="385"/>
      <c r="L170" s="385"/>
      <c r="M170" s="385"/>
      <c r="N170" s="385">
        <v>1</v>
      </c>
      <c r="O170" s="385">
        <v>1447</v>
      </c>
      <c r="P170" s="416"/>
      <c r="Q170" s="386">
        <v>1447</v>
      </c>
    </row>
    <row r="171" spans="1:17" ht="14.4" customHeight="1" x14ac:dyDescent="0.3">
      <c r="A171" s="381" t="s">
        <v>680</v>
      </c>
      <c r="B171" s="382" t="s">
        <v>598</v>
      </c>
      <c r="C171" s="382" t="s">
        <v>595</v>
      </c>
      <c r="D171" s="382" t="s">
        <v>631</v>
      </c>
      <c r="E171" s="382" t="s">
        <v>632</v>
      </c>
      <c r="F171" s="385"/>
      <c r="G171" s="385"/>
      <c r="H171" s="385"/>
      <c r="I171" s="385"/>
      <c r="J171" s="385"/>
      <c r="K171" s="385"/>
      <c r="L171" s="385"/>
      <c r="M171" s="385"/>
      <c r="N171" s="385">
        <v>1</v>
      </c>
      <c r="O171" s="385">
        <v>396</v>
      </c>
      <c r="P171" s="416"/>
      <c r="Q171" s="386">
        <v>396</v>
      </c>
    </row>
    <row r="172" spans="1:17" ht="14.4" customHeight="1" x14ac:dyDescent="0.3">
      <c r="A172" s="381" t="s">
        <v>680</v>
      </c>
      <c r="B172" s="382" t="s">
        <v>598</v>
      </c>
      <c r="C172" s="382" t="s">
        <v>595</v>
      </c>
      <c r="D172" s="382" t="s">
        <v>643</v>
      </c>
      <c r="E172" s="382" t="s">
        <v>644</v>
      </c>
      <c r="F172" s="385"/>
      <c r="G172" s="385"/>
      <c r="H172" s="385"/>
      <c r="I172" s="385"/>
      <c r="J172" s="385"/>
      <c r="K172" s="385"/>
      <c r="L172" s="385"/>
      <c r="M172" s="385"/>
      <c r="N172" s="385">
        <v>3</v>
      </c>
      <c r="O172" s="385">
        <v>1275</v>
      </c>
      <c r="P172" s="416"/>
      <c r="Q172" s="386">
        <v>425</v>
      </c>
    </row>
    <row r="173" spans="1:17" ht="14.4" customHeight="1" x14ac:dyDescent="0.3">
      <c r="A173" s="381" t="s">
        <v>681</v>
      </c>
      <c r="B173" s="382" t="s">
        <v>594</v>
      </c>
      <c r="C173" s="382" t="s">
        <v>595</v>
      </c>
      <c r="D173" s="382" t="s">
        <v>596</v>
      </c>
      <c r="E173" s="382" t="s">
        <v>597</v>
      </c>
      <c r="F173" s="385"/>
      <c r="G173" s="385"/>
      <c r="H173" s="385"/>
      <c r="I173" s="385"/>
      <c r="J173" s="385"/>
      <c r="K173" s="385"/>
      <c r="L173" s="385"/>
      <c r="M173" s="385"/>
      <c r="N173" s="385">
        <v>1</v>
      </c>
      <c r="O173" s="385">
        <v>10595</v>
      </c>
      <c r="P173" s="416"/>
      <c r="Q173" s="386">
        <v>10595</v>
      </c>
    </row>
    <row r="174" spans="1:17" ht="14.4" customHeight="1" x14ac:dyDescent="0.3">
      <c r="A174" s="381" t="s">
        <v>681</v>
      </c>
      <c r="B174" s="382" t="s">
        <v>598</v>
      </c>
      <c r="C174" s="382" t="s">
        <v>595</v>
      </c>
      <c r="D174" s="382" t="s">
        <v>599</v>
      </c>
      <c r="E174" s="382" t="s">
        <v>600</v>
      </c>
      <c r="F174" s="385"/>
      <c r="G174" s="385"/>
      <c r="H174" s="385"/>
      <c r="I174" s="385"/>
      <c r="J174" s="385">
        <v>1</v>
      </c>
      <c r="K174" s="385">
        <v>126</v>
      </c>
      <c r="L174" s="385"/>
      <c r="M174" s="385">
        <v>126</v>
      </c>
      <c r="N174" s="385"/>
      <c r="O174" s="385"/>
      <c r="P174" s="416"/>
      <c r="Q174" s="386"/>
    </row>
    <row r="175" spans="1:17" ht="14.4" customHeight="1" x14ac:dyDescent="0.3">
      <c r="A175" s="381" t="s">
        <v>681</v>
      </c>
      <c r="B175" s="382" t="s">
        <v>598</v>
      </c>
      <c r="C175" s="382" t="s">
        <v>595</v>
      </c>
      <c r="D175" s="382" t="s">
        <v>609</v>
      </c>
      <c r="E175" s="382" t="s">
        <v>610</v>
      </c>
      <c r="F175" s="385"/>
      <c r="G175" s="385"/>
      <c r="H175" s="385"/>
      <c r="I175" s="385"/>
      <c r="J175" s="385">
        <v>1</v>
      </c>
      <c r="K175" s="385">
        <v>438</v>
      </c>
      <c r="L175" s="385"/>
      <c r="M175" s="385">
        <v>438</v>
      </c>
      <c r="N175" s="385"/>
      <c r="O175" s="385"/>
      <c r="P175" s="416"/>
      <c r="Q175" s="386"/>
    </row>
    <row r="176" spans="1:17" ht="14.4" customHeight="1" x14ac:dyDescent="0.3">
      <c r="A176" s="381" t="s">
        <v>681</v>
      </c>
      <c r="B176" s="382" t="s">
        <v>598</v>
      </c>
      <c r="C176" s="382" t="s">
        <v>595</v>
      </c>
      <c r="D176" s="382" t="s">
        <v>619</v>
      </c>
      <c r="E176" s="382" t="s">
        <v>620</v>
      </c>
      <c r="F176" s="385"/>
      <c r="G176" s="385"/>
      <c r="H176" s="385"/>
      <c r="I176" s="385"/>
      <c r="J176" s="385"/>
      <c r="K176" s="385"/>
      <c r="L176" s="385"/>
      <c r="M176" s="385"/>
      <c r="N176" s="385">
        <v>1</v>
      </c>
      <c r="O176" s="385">
        <v>1447</v>
      </c>
      <c r="P176" s="416"/>
      <c r="Q176" s="386">
        <v>1447</v>
      </c>
    </row>
    <row r="177" spans="1:17" ht="14.4" customHeight="1" x14ac:dyDescent="0.3">
      <c r="A177" s="381" t="s">
        <v>681</v>
      </c>
      <c r="B177" s="382" t="s">
        <v>598</v>
      </c>
      <c r="C177" s="382" t="s">
        <v>595</v>
      </c>
      <c r="D177" s="382" t="s">
        <v>623</v>
      </c>
      <c r="E177" s="382" t="s">
        <v>624</v>
      </c>
      <c r="F177" s="385">
        <v>1</v>
      </c>
      <c r="G177" s="385">
        <v>16</v>
      </c>
      <c r="H177" s="385">
        <v>1</v>
      </c>
      <c r="I177" s="385">
        <v>16</v>
      </c>
      <c r="J177" s="385">
        <v>2</v>
      </c>
      <c r="K177" s="385">
        <v>32</v>
      </c>
      <c r="L177" s="385">
        <v>2</v>
      </c>
      <c r="M177" s="385">
        <v>16</v>
      </c>
      <c r="N177" s="385"/>
      <c r="O177" s="385"/>
      <c r="P177" s="416"/>
      <c r="Q177" s="386"/>
    </row>
    <row r="178" spans="1:17" ht="14.4" customHeight="1" x14ac:dyDescent="0.3">
      <c r="A178" s="381" t="s">
        <v>681</v>
      </c>
      <c r="B178" s="382" t="s">
        <v>598</v>
      </c>
      <c r="C178" s="382" t="s">
        <v>595</v>
      </c>
      <c r="D178" s="382" t="s">
        <v>625</v>
      </c>
      <c r="E178" s="382" t="s">
        <v>610</v>
      </c>
      <c r="F178" s="385">
        <v>2</v>
      </c>
      <c r="G178" s="385">
        <v>1370</v>
      </c>
      <c r="H178" s="385">
        <v>1</v>
      </c>
      <c r="I178" s="385">
        <v>685</v>
      </c>
      <c r="J178" s="385">
        <v>2</v>
      </c>
      <c r="K178" s="385">
        <v>1376</v>
      </c>
      <c r="L178" s="385">
        <v>1.0043795620437956</v>
      </c>
      <c r="M178" s="385">
        <v>688</v>
      </c>
      <c r="N178" s="385"/>
      <c r="O178" s="385"/>
      <c r="P178" s="416"/>
      <c r="Q178" s="386"/>
    </row>
    <row r="179" spans="1:17" ht="14.4" customHeight="1" x14ac:dyDescent="0.3">
      <c r="A179" s="381" t="s">
        <v>681</v>
      </c>
      <c r="B179" s="382" t="s">
        <v>598</v>
      </c>
      <c r="C179" s="382" t="s">
        <v>595</v>
      </c>
      <c r="D179" s="382" t="s">
        <v>629</v>
      </c>
      <c r="E179" s="382" t="s">
        <v>630</v>
      </c>
      <c r="F179" s="385">
        <v>2</v>
      </c>
      <c r="G179" s="385">
        <v>130</v>
      </c>
      <c r="H179" s="385">
        <v>1</v>
      </c>
      <c r="I179" s="385">
        <v>65</v>
      </c>
      <c r="J179" s="385">
        <v>3</v>
      </c>
      <c r="K179" s="385">
        <v>195</v>
      </c>
      <c r="L179" s="385">
        <v>1.5</v>
      </c>
      <c r="M179" s="385">
        <v>65</v>
      </c>
      <c r="N179" s="385"/>
      <c r="O179" s="385"/>
      <c r="P179" s="416"/>
      <c r="Q179" s="386"/>
    </row>
    <row r="180" spans="1:17" ht="14.4" customHeight="1" x14ac:dyDescent="0.3">
      <c r="A180" s="381" t="s">
        <v>681</v>
      </c>
      <c r="B180" s="382" t="s">
        <v>598</v>
      </c>
      <c r="C180" s="382" t="s">
        <v>595</v>
      </c>
      <c r="D180" s="382" t="s">
        <v>631</v>
      </c>
      <c r="E180" s="382" t="s">
        <v>632</v>
      </c>
      <c r="F180" s="385"/>
      <c r="G180" s="385"/>
      <c r="H180" s="385"/>
      <c r="I180" s="385"/>
      <c r="J180" s="385"/>
      <c r="K180" s="385"/>
      <c r="L180" s="385"/>
      <c r="M180" s="385"/>
      <c r="N180" s="385">
        <v>1</v>
      </c>
      <c r="O180" s="385">
        <v>396</v>
      </c>
      <c r="P180" s="416"/>
      <c r="Q180" s="386">
        <v>396</v>
      </c>
    </row>
    <row r="181" spans="1:17" ht="14.4" customHeight="1" thickBot="1" x14ac:dyDescent="0.35">
      <c r="A181" s="387" t="s">
        <v>681</v>
      </c>
      <c r="B181" s="388" t="s">
        <v>598</v>
      </c>
      <c r="C181" s="388" t="s">
        <v>595</v>
      </c>
      <c r="D181" s="388" t="s">
        <v>635</v>
      </c>
      <c r="E181" s="388" t="s">
        <v>636</v>
      </c>
      <c r="F181" s="391"/>
      <c r="G181" s="391"/>
      <c r="H181" s="391"/>
      <c r="I181" s="391"/>
      <c r="J181" s="391">
        <v>10</v>
      </c>
      <c r="K181" s="391">
        <v>5500</v>
      </c>
      <c r="L181" s="391"/>
      <c r="M181" s="391">
        <v>550</v>
      </c>
      <c r="N181" s="391"/>
      <c r="O181" s="391"/>
      <c r="P181" s="401"/>
      <c r="Q181" s="39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9" bestFit="1" customWidth="1"/>
    <col min="2" max="2" width="11.6640625" style="129" hidden="1" customWidth="1"/>
    <col min="3" max="4" width="11" style="131" customWidth="1"/>
    <col min="5" max="5" width="11" style="132" customWidth="1"/>
    <col min="6" max="16384" width="8.88671875" style="129"/>
  </cols>
  <sheetData>
    <row r="1" spans="1:5" ht="18.600000000000001" thickBot="1" x14ac:dyDescent="0.4">
      <c r="A1" s="283" t="s">
        <v>109</v>
      </c>
      <c r="B1" s="283"/>
      <c r="C1" s="284"/>
      <c r="D1" s="284"/>
      <c r="E1" s="284"/>
    </row>
    <row r="2" spans="1:5" ht="14.4" customHeight="1" thickBot="1" x14ac:dyDescent="0.35">
      <c r="A2" s="207" t="s">
        <v>214</v>
      </c>
      <c r="B2" s="130"/>
    </row>
    <row r="3" spans="1:5" ht="14.4" customHeight="1" thickBot="1" x14ac:dyDescent="0.35">
      <c r="A3" s="133"/>
      <c r="C3" s="134" t="s">
        <v>97</v>
      </c>
      <c r="D3" s="135" t="s">
        <v>62</v>
      </c>
      <c r="E3" s="136" t="s">
        <v>64</v>
      </c>
    </row>
    <row r="4" spans="1:5" ht="14.4" customHeight="1" thickBot="1" x14ac:dyDescent="0.35">
      <c r="A4" s="137" t="str">
        <f>HYPERLINK("#HI!A1","NÁKLADY CELKEM (v tisících Kč)")</f>
        <v>NÁKLADY CELKEM (v tisících Kč)</v>
      </c>
      <c r="B4" s="138"/>
      <c r="C4" s="139">
        <f ca="1">IF(ISERROR(VLOOKUP("Náklady celkem",INDIRECT("HI!$A:$G"),6,0)),0,VLOOKUP("Náklady celkem",INDIRECT("HI!$A:$G"),6,0))</f>
        <v>3834</v>
      </c>
      <c r="D4" s="139">
        <f ca="1">IF(ISERROR(VLOOKUP("Náklady celkem",INDIRECT("HI!$A:$G"),5,0)),0,VLOOKUP("Náklady celkem",INDIRECT("HI!$A:$G"),5,0))</f>
        <v>3296.17472000001</v>
      </c>
      <c r="E4" s="140">
        <f ca="1">IF(C4=0,0,D4/C4)</f>
        <v>0.85972214919144752</v>
      </c>
    </row>
    <row r="5" spans="1:5" ht="14.4" customHeight="1" x14ac:dyDescent="0.3">
      <c r="A5" s="141" t="s">
        <v>124</v>
      </c>
      <c r="B5" s="142"/>
      <c r="C5" s="143"/>
      <c r="D5" s="143"/>
      <c r="E5" s="144"/>
    </row>
    <row r="6" spans="1:5" ht="14.4" customHeight="1" x14ac:dyDescent="0.3">
      <c r="A6" s="145" t="s">
        <v>129</v>
      </c>
      <c r="B6" s="146"/>
      <c r="C6" s="147"/>
      <c r="D6" s="147"/>
      <c r="E6" s="144"/>
    </row>
    <row r="7" spans="1:5" ht="14.4" customHeight="1" x14ac:dyDescent="0.3">
      <c r="A7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6" t="s">
        <v>101</v>
      </c>
      <c r="C7" s="147">
        <f>IF(ISERROR(HI!F5),"",HI!F5)</f>
        <v>8</v>
      </c>
      <c r="D7" s="147">
        <f>IF(ISERROR(HI!E5),"",HI!E5)</f>
        <v>3.91431</v>
      </c>
      <c r="E7" s="144">
        <f t="shared" ref="E7:E11" si="0">IF(C7=0,0,D7/C7)</f>
        <v>0.48928874999999999</v>
      </c>
    </row>
    <row r="8" spans="1:5" ht="14.4" customHeight="1" x14ac:dyDescent="0.3">
      <c r="A8" s="150" t="s">
        <v>125</v>
      </c>
      <c r="B8" s="146"/>
      <c r="C8" s="147"/>
      <c r="D8" s="147"/>
      <c r="E8" s="144"/>
    </row>
    <row r="9" spans="1:5" ht="14.4" customHeight="1" x14ac:dyDescent="0.3">
      <c r="A9" s="150" t="s">
        <v>126</v>
      </c>
      <c r="B9" s="146"/>
      <c r="C9" s="147"/>
      <c r="D9" s="147"/>
      <c r="E9" s="144"/>
    </row>
    <row r="10" spans="1:5" ht="14.4" customHeight="1" x14ac:dyDescent="0.3">
      <c r="A10" s="151" t="s">
        <v>130</v>
      </c>
      <c r="B10" s="146"/>
      <c r="C10" s="143"/>
      <c r="D10" s="143"/>
      <c r="E10" s="144"/>
    </row>
    <row r="11" spans="1:5" ht="14.4" customHeight="1" x14ac:dyDescent="0.3">
      <c r="A11" s="15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6" t="s">
        <v>101</v>
      </c>
      <c r="C11" s="147">
        <f>IF(ISERROR(HI!F6),"",HI!F6)</f>
        <v>216</v>
      </c>
      <c r="D11" s="147">
        <f>IF(ISERROR(HI!E6),"",HI!E6)</f>
        <v>216.92242000000101</v>
      </c>
      <c r="E11" s="144">
        <f t="shared" si="0"/>
        <v>1.0042704629629677</v>
      </c>
    </row>
    <row r="12" spans="1:5" ht="14.4" customHeight="1" thickBot="1" x14ac:dyDescent="0.35">
      <c r="A12" s="153" t="str">
        <f>HYPERLINK("#HI!A1","Osobní náklady")</f>
        <v>Osobní náklady</v>
      </c>
      <c r="B12" s="146"/>
      <c r="C12" s="143">
        <f ca="1">IF(ISERROR(VLOOKUP("Osobní náklady (Kč)",INDIRECT("HI!$A:$G"),6,0)),0,VLOOKUP("Osobní náklady (Kč)",INDIRECT("HI!$A:$G"),6,0))</f>
        <v>0</v>
      </c>
      <c r="D12" s="143">
        <f ca="1">IF(ISERROR(VLOOKUP("Osobní náklady (Kč)",INDIRECT("HI!$A:$G"),5,0)),0,VLOOKUP("Osobní náklady (Kč)",INDIRECT("HI!$A:$G"),5,0))</f>
        <v>0</v>
      </c>
      <c r="E12" s="144">
        <f ca="1">IF(C12=0,0,D12/C12)</f>
        <v>0</v>
      </c>
    </row>
    <row r="13" spans="1:5" ht="14.4" customHeight="1" thickBot="1" x14ac:dyDescent="0.35">
      <c r="A13" s="157"/>
      <c r="B13" s="158"/>
      <c r="C13" s="159"/>
      <c r="D13" s="159"/>
      <c r="E13" s="160"/>
    </row>
    <row r="14" spans="1:5" ht="14.4" customHeight="1" thickBot="1" x14ac:dyDescent="0.35">
      <c r="A14" s="161" t="str">
        <f>HYPERLINK("#HI!A1","VÝNOSY CELKEM (v tisících)")</f>
        <v>VÝNOSY CELKEM (v tisících)</v>
      </c>
      <c r="B14" s="162"/>
      <c r="C14" s="163">
        <f ca="1">IF(ISERROR(VLOOKUP("Výnosy celkem",INDIRECT("HI!$A:$G"),6,0)),0,VLOOKUP("Výnosy celkem",INDIRECT("HI!$A:$G"),6,0))</f>
        <v>2558.37</v>
      </c>
      <c r="D14" s="163">
        <f ca="1">IF(ISERROR(VLOOKUP("Výnosy celkem",INDIRECT("HI!$A:$G"),5,0)),0,VLOOKUP("Výnosy celkem",INDIRECT("HI!$A:$G"),5,0))</f>
        <v>2474.5650000000001</v>
      </c>
      <c r="E14" s="164">
        <f t="shared" ref="E14:E17" ca="1" si="1">IF(C14=0,0,D14/C14)</f>
        <v>0.96724281476096119</v>
      </c>
    </row>
    <row r="15" spans="1:5" ht="14.4" customHeight="1" x14ac:dyDescent="0.3">
      <c r="A15" s="165" t="str">
        <f>HYPERLINK("#HI!A1","Ambulance (body za výkony + Kč za ZUM a ZULP)")</f>
        <v>Ambulance (body za výkony + Kč za ZUM a ZULP)</v>
      </c>
      <c r="B15" s="142"/>
      <c r="C15" s="143">
        <f ca="1">IF(ISERROR(VLOOKUP("Ambulance *",INDIRECT("HI!$A:$G"),6,0)),0,VLOOKUP("Ambulance *",INDIRECT("HI!$A:$G"),6,0))</f>
        <v>2558.37</v>
      </c>
      <c r="D15" s="143">
        <f ca="1">IF(ISERROR(VLOOKUP("Ambulance *",INDIRECT("HI!$A:$G"),5,0)),0,VLOOKUP("Ambulance *",INDIRECT("HI!$A:$G"),5,0))</f>
        <v>2474.5650000000001</v>
      </c>
      <c r="E15" s="144">
        <f t="shared" ca="1" si="1"/>
        <v>0.96724281476096119</v>
      </c>
    </row>
    <row r="16" spans="1:5" ht="14.4" customHeight="1" x14ac:dyDescent="0.3">
      <c r="A16" s="166" t="str">
        <f>HYPERLINK("#'ZV Vykáz.-A'!A1","Zdravotní výkony vykázané u ambulantních pacientů (min. 100 %)")</f>
        <v>Zdravotní výkony vykázané u ambulantních pacientů (min. 100 %)</v>
      </c>
      <c r="B16" s="129" t="s">
        <v>111</v>
      </c>
      <c r="C16" s="149">
        <v>1</v>
      </c>
      <c r="D16" s="149">
        <f>IF(ISERROR(VLOOKUP("Celkem:",'ZV Vykáz.-A'!$A:$S,7,0)),"",VLOOKUP("Celkem:",'ZV Vykáz.-A'!$A:$S,7,0))</f>
        <v>0.96724281476096108</v>
      </c>
      <c r="E16" s="144">
        <f t="shared" si="1"/>
        <v>0.96724281476096108</v>
      </c>
    </row>
    <row r="17" spans="1:5" ht="14.4" customHeight="1" x14ac:dyDescent="0.3">
      <c r="A17" s="166" t="str">
        <f>HYPERLINK("#'ZV Vykáz.-H'!A1","Zdravotní výkony vykázané u hospitalizovaných pacientů (max. 85 %)")</f>
        <v>Zdravotní výkony vykázané u hospitalizovaných pacientů (max. 85 %)</v>
      </c>
      <c r="B17" s="129" t="s">
        <v>113</v>
      </c>
      <c r="C17" s="149">
        <v>0.85</v>
      </c>
      <c r="D17" s="149">
        <f>IF(ISERROR(VLOOKUP("Celkem:",'ZV Vykáz.-H'!$A:$S,7,0)),"",VLOOKUP("Celkem:",'ZV Vykáz.-H'!$A:$S,7,0))</f>
        <v>1.5238412866794178</v>
      </c>
      <c r="E17" s="144">
        <f t="shared" si="1"/>
        <v>1.7927544549169621</v>
      </c>
    </row>
    <row r="18" spans="1:5" ht="14.4" customHeight="1" x14ac:dyDescent="0.3">
      <c r="A18" s="167" t="str">
        <f>HYPERLINK("#HI!A1","Hospitalizace (casemix * 30000)")</f>
        <v>Hospitalizace (casemix * 30000)</v>
      </c>
      <c r="B18" s="146"/>
      <c r="C18" s="143">
        <f ca="1">IF(ISERROR(VLOOKUP("Hospitalizace *",INDIRECT("HI!$A:$G"),6,0)),0,VLOOKUP("Hospitalizace *",INDIRECT("HI!$A:$G"),6,0))</f>
        <v>0</v>
      </c>
      <c r="D18" s="143">
        <f ca="1">IF(ISERROR(VLOOKUP("Hospitalizace *",INDIRECT("HI!$A:$G"),5,0)),0,VLOOKUP("Hospitalizace *",INDIRECT("HI!$A:$G"),5,0))</f>
        <v>0</v>
      </c>
      <c r="E18" s="144">
        <f ca="1">IF(C18=0,0,D18/C18)</f>
        <v>0</v>
      </c>
    </row>
    <row r="19" spans="1:5" ht="14.4" customHeight="1" thickBot="1" x14ac:dyDescent="0.35">
      <c r="A19" s="168" t="s">
        <v>127</v>
      </c>
      <c r="B19" s="154"/>
      <c r="C19" s="155"/>
      <c r="D19" s="155"/>
      <c r="E19" s="156"/>
    </row>
    <row r="20" spans="1:5" ht="14.4" customHeight="1" thickBot="1" x14ac:dyDescent="0.35">
      <c r="A20" s="169"/>
      <c r="B20" s="170"/>
      <c r="C20" s="171"/>
      <c r="D20" s="171"/>
      <c r="E20" s="172"/>
    </row>
    <row r="21" spans="1:5" ht="14.4" customHeight="1" thickBot="1" x14ac:dyDescent="0.35">
      <c r="A21" s="173" t="s">
        <v>128</v>
      </c>
      <c r="B21" s="174"/>
      <c r="C21" s="175"/>
      <c r="D21" s="175"/>
      <c r="E21" s="176"/>
    </row>
  </sheetData>
  <mergeCells count="1">
    <mergeCell ref="A1:E1"/>
  </mergeCells>
  <conditionalFormatting sqref="E5">
    <cfRule type="cellIs" dxfId="4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3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3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36" priority="16" operator="lessThan">
      <formula>1</formula>
    </cfRule>
  </conditionalFormatting>
  <conditionalFormatting sqref="E14 E16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35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0" bestFit="1" customWidth="1"/>
    <col min="2" max="3" width="9.5546875" style="110" customWidth="1"/>
    <col min="4" max="4" width="2.44140625" style="110" customWidth="1"/>
    <col min="5" max="8" width="9.5546875" style="110" customWidth="1"/>
    <col min="9" max="16384" width="8.88671875" style="110"/>
  </cols>
  <sheetData>
    <row r="1" spans="1:8" ht="18.600000000000001" customHeight="1" thickBot="1" x14ac:dyDescent="0.4">
      <c r="A1" s="283" t="s">
        <v>117</v>
      </c>
      <c r="B1" s="283"/>
      <c r="C1" s="283"/>
      <c r="D1" s="283"/>
      <c r="E1" s="283"/>
      <c r="F1" s="283"/>
      <c r="G1" s="284"/>
      <c r="H1" s="284"/>
    </row>
    <row r="2" spans="1:8" ht="14.4" customHeight="1" thickBot="1" x14ac:dyDescent="0.35">
      <c r="A2" s="207" t="s">
        <v>214</v>
      </c>
      <c r="B2" s="91"/>
      <c r="C2" s="91"/>
      <c r="D2" s="91"/>
      <c r="E2" s="91"/>
      <c r="F2" s="91"/>
    </row>
    <row r="3" spans="1:8" ht="14.4" customHeight="1" x14ac:dyDescent="0.3">
      <c r="A3" s="285"/>
      <c r="B3" s="87">
        <v>2012</v>
      </c>
      <c r="C3" s="40">
        <v>2013</v>
      </c>
      <c r="D3" s="7"/>
      <c r="E3" s="289">
        <v>2014</v>
      </c>
      <c r="F3" s="290"/>
      <c r="G3" s="290"/>
      <c r="H3" s="291"/>
    </row>
    <row r="4" spans="1:8" ht="14.4" customHeight="1" thickBot="1" x14ac:dyDescent="0.35">
      <c r="A4" s="286"/>
      <c r="B4" s="287" t="s">
        <v>62</v>
      </c>
      <c r="C4" s="288"/>
      <c r="D4" s="7"/>
      <c r="E4" s="108" t="s">
        <v>62</v>
      </c>
      <c r="F4" s="89" t="s">
        <v>63</v>
      </c>
      <c r="G4" s="89" t="s">
        <v>57</v>
      </c>
      <c r="H4" s="90" t="s">
        <v>64</v>
      </c>
    </row>
    <row r="5" spans="1:8" ht="14.4" customHeight="1" x14ac:dyDescent="0.3">
      <c r="A5" s="92" t="str">
        <f>HYPERLINK("#'Léky Žádanky'!A1","Léky (Kč)")</f>
        <v>Léky (Kč)</v>
      </c>
      <c r="B5" s="27">
        <v>6.6422400000000001</v>
      </c>
      <c r="C5" s="29">
        <v>8.7170100000000001</v>
      </c>
      <c r="D5" s="8"/>
      <c r="E5" s="97">
        <v>3.91431</v>
      </c>
      <c r="F5" s="28">
        <v>8</v>
      </c>
      <c r="G5" s="96">
        <f>E5-F5</f>
        <v>-4.0856899999999996</v>
      </c>
      <c r="H5" s="102">
        <f>IF(F5&lt;0.00000001,"",E5/F5)</f>
        <v>0.48928874999999999</v>
      </c>
    </row>
    <row r="6" spans="1:8" ht="14.4" customHeight="1" x14ac:dyDescent="0.3">
      <c r="A6" s="92" t="str">
        <f>HYPERLINK("#'Materiál Žádanky'!A1","Materiál - SZM (Kč)")</f>
        <v>Materiál - SZM (Kč)</v>
      </c>
      <c r="B6" s="10">
        <v>134.70820000000001</v>
      </c>
      <c r="C6" s="31">
        <v>208.86501000000001</v>
      </c>
      <c r="D6" s="8"/>
      <c r="E6" s="98">
        <v>216.92242000000101</v>
      </c>
      <c r="F6" s="30">
        <v>216</v>
      </c>
      <c r="G6" s="99">
        <f>E6-F6</f>
        <v>0.92242000000101143</v>
      </c>
      <c r="H6" s="103">
        <f>IF(F6&lt;0.00000001,"",E6/F6)</f>
        <v>1.0042704629629677</v>
      </c>
    </row>
    <row r="7" spans="1:8" ht="14.4" customHeight="1" x14ac:dyDescent="0.3">
      <c r="A7" s="272" t="str">
        <f>HYPERLINK("#'Osobní náklady'!A1","Osobní náklady (Kč) *")</f>
        <v>Osobní náklady (Kč) *</v>
      </c>
      <c r="B7" s="10">
        <v>2558.4759600000002</v>
      </c>
      <c r="C7" s="31">
        <v>2459.4061499999998</v>
      </c>
      <c r="D7" s="8"/>
      <c r="E7" s="98">
        <v>2684.8030400000098</v>
      </c>
      <c r="F7" s="30">
        <v>3144</v>
      </c>
      <c r="G7" s="99">
        <f>E7-F7</f>
        <v>-459.19695999999021</v>
      </c>
      <c r="H7" s="103">
        <f>IF(F7&lt;0.00000001,"",E7/F7)</f>
        <v>0.85394498727735679</v>
      </c>
    </row>
    <row r="8" spans="1:8" ht="14.4" customHeight="1" thickBot="1" x14ac:dyDescent="0.35">
      <c r="A8" s="1" t="s">
        <v>65</v>
      </c>
      <c r="B8" s="11">
        <v>147.813940000001</v>
      </c>
      <c r="C8" s="33">
        <v>158.18556000000001</v>
      </c>
      <c r="D8" s="8"/>
      <c r="E8" s="100">
        <v>390.534950000001</v>
      </c>
      <c r="F8" s="32">
        <v>466</v>
      </c>
      <c r="G8" s="101">
        <f>E8-F8</f>
        <v>-75.465049999998996</v>
      </c>
      <c r="H8" s="104">
        <f>IF(F8&lt;0.00000001,"",E8/F8)</f>
        <v>0.83805783261802791</v>
      </c>
    </row>
    <row r="9" spans="1:8" ht="14.4" customHeight="1" thickBot="1" x14ac:dyDescent="0.35">
      <c r="A9" s="2" t="s">
        <v>66</v>
      </c>
      <c r="B9" s="3">
        <v>2847.6403399999999</v>
      </c>
      <c r="C9" s="35">
        <v>2835.17373</v>
      </c>
      <c r="D9" s="8"/>
      <c r="E9" s="3">
        <v>3296.17472000001</v>
      </c>
      <c r="F9" s="34">
        <v>3834</v>
      </c>
      <c r="G9" s="34">
        <f>E9-F9</f>
        <v>-537.82527999999002</v>
      </c>
      <c r="H9" s="105">
        <f>IF(F9&lt;0.00000001,"",E9/F9)</f>
        <v>0.85972214919144752</v>
      </c>
    </row>
    <row r="10" spans="1:8" ht="14.4" customHeight="1" thickBot="1" x14ac:dyDescent="0.35">
      <c r="A10" s="12"/>
      <c r="B10" s="12"/>
      <c r="C10" s="88"/>
      <c r="D10" s="8"/>
      <c r="E10" s="12"/>
      <c r="F10" s="13"/>
    </row>
    <row r="11" spans="1:8" ht="14.4" customHeight="1" x14ac:dyDescent="0.3">
      <c r="A11" s="113" t="str">
        <f>HYPERLINK("#'ZV Vykáz.-A'!A1","Ambulance *")</f>
        <v>Ambulance *</v>
      </c>
      <c r="B11" s="9">
        <f>IF(ISERROR(VLOOKUP("Celkem:",'ZV Vykáz.-A'!A:F,2,0)),0,VLOOKUP("Celkem:",'ZV Vykáz.-A'!A:F,2,0)/1000)</f>
        <v>2558.37</v>
      </c>
      <c r="C11" s="29">
        <f>IF(ISERROR(VLOOKUP("Celkem:",'ZV Vykáz.-A'!A:F,4,0)),0,VLOOKUP("Celkem:",'ZV Vykáz.-A'!A:F,4,0)/1000)</f>
        <v>3029.8110000000001</v>
      </c>
      <c r="D11" s="8"/>
      <c r="E11" s="97">
        <f>IF(ISERROR(VLOOKUP("Celkem:",'ZV Vykáz.-A'!A:F,6,0)),0,VLOOKUP("Celkem:",'ZV Vykáz.-A'!A:F,6,0)/1000)</f>
        <v>2474.5650000000001</v>
      </c>
      <c r="F11" s="28">
        <f>B11</f>
        <v>2558.37</v>
      </c>
      <c r="G11" s="96">
        <f>E11-F11</f>
        <v>-83.804999999999836</v>
      </c>
      <c r="H11" s="102">
        <f>IF(F11&lt;0.00000001,"",E11/F11)</f>
        <v>0.96724281476096119</v>
      </c>
    </row>
    <row r="12" spans="1:8" ht="14.4" customHeight="1" thickBot="1" x14ac:dyDescent="0.35">
      <c r="A12" s="11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0">
        <f>IF(ISERROR(VLOOKUP("Celkem",#REF!,4,0)),0,VLOOKUP("Celkem",#REF!,4,0)*30)</f>
        <v>0</v>
      </c>
      <c r="F12" s="32">
        <f>B12</f>
        <v>0</v>
      </c>
      <c r="G12" s="101">
        <f>E12-F12</f>
        <v>0</v>
      </c>
      <c r="H12" s="104" t="str">
        <f>IF(F12&lt;0.00000001,"",E12/F12)</f>
        <v/>
      </c>
    </row>
    <row r="13" spans="1:8" ht="14.4" customHeight="1" thickBot="1" x14ac:dyDescent="0.35">
      <c r="A13" s="4" t="s">
        <v>69</v>
      </c>
      <c r="B13" s="5">
        <f>SUM(B11:B12)</f>
        <v>2558.37</v>
      </c>
      <c r="C13" s="37">
        <f>SUM(C11:C12)</f>
        <v>3029.8110000000001</v>
      </c>
      <c r="D13" s="8"/>
      <c r="E13" s="5">
        <f>SUM(E11:E12)</f>
        <v>2474.5650000000001</v>
      </c>
      <c r="F13" s="36">
        <f>SUM(F11:F12)</f>
        <v>2558.37</v>
      </c>
      <c r="G13" s="36">
        <f>E13-F13</f>
        <v>-83.804999999999836</v>
      </c>
      <c r="H13" s="106">
        <f>IF(F13&lt;0.00000001,"",E13/F13)</f>
        <v>0.96724281476096119</v>
      </c>
    </row>
    <row r="14" spans="1:8" ht="14.4" customHeight="1" thickBot="1" x14ac:dyDescent="0.35">
      <c r="A14" s="12"/>
      <c r="B14" s="12"/>
      <c r="C14" s="88"/>
      <c r="D14" s="8"/>
      <c r="E14" s="12"/>
      <c r="F14" s="13"/>
    </row>
    <row r="15" spans="1:8" ht="14.4" customHeight="1" thickBot="1" x14ac:dyDescent="0.35">
      <c r="A15" s="115" t="str">
        <f>HYPERLINK("#'HI Graf'!A1","Hospodářský index (Výnosy / Náklady) *")</f>
        <v>Hospodářský index (Výnosy / Náklady) *</v>
      </c>
      <c r="B15" s="6">
        <f>IF(B9=0,"",B13/B9)</f>
        <v>0.89841752979240352</v>
      </c>
      <c r="C15" s="39">
        <f>IF(C9=0,"",C13/C9)</f>
        <v>1.0686509147360082</v>
      </c>
      <c r="D15" s="8"/>
      <c r="E15" s="6">
        <f>IF(E9=0,"",E13/E9)</f>
        <v>0.7507384195944542</v>
      </c>
      <c r="F15" s="38">
        <f>IF(F9=0,"",F13/F9)</f>
        <v>0.66728482003129885</v>
      </c>
      <c r="G15" s="38">
        <f>IF(ISERROR(F15-E15),"",E15-F15)</f>
        <v>8.3453599563155345E-2</v>
      </c>
      <c r="H15" s="107">
        <f>IF(ISERROR(F15-E15),"",IF(F15&lt;0.00000001,"",E15/F15))</f>
        <v>1.1250644358420157</v>
      </c>
    </row>
    <row r="17" spans="1:8" ht="14.4" customHeight="1" x14ac:dyDescent="0.3">
      <c r="A17" s="93" t="s">
        <v>132</v>
      </c>
    </row>
    <row r="18" spans="1:8" ht="14.4" customHeight="1" x14ac:dyDescent="0.3">
      <c r="A18" s="274" t="s">
        <v>211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210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94" t="s">
        <v>133</v>
      </c>
    </row>
    <row r="21" spans="1:8" ht="14.4" customHeight="1" x14ac:dyDescent="0.3">
      <c r="A21" s="94" t="s">
        <v>134</v>
      </c>
    </row>
    <row r="22" spans="1:8" ht="14.4" customHeight="1" x14ac:dyDescent="0.3">
      <c r="A22" s="95" t="s">
        <v>135</v>
      </c>
    </row>
    <row r="23" spans="1:8" ht="14.4" customHeight="1" x14ac:dyDescent="0.3">
      <c r="A23" s="95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4" priority="4" operator="greaterThan">
      <formula>0</formula>
    </cfRule>
  </conditionalFormatting>
  <conditionalFormatting sqref="G11:G13 G15">
    <cfRule type="cellIs" dxfId="33" priority="3" operator="lessThan">
      <formula>0</formula>
    </cfRule>
  </conditionalFormatting>
  <conditionalFormatting sqref="H5:H9">
    <cfRule type="cellIs" dxfId="32" priority="2" operator="greaterThan">
      <formula>1</formula>
    </cfRule>
  </conditionalFormatting>
  <conditionalFormatting sqref="H11:H13 H15">
    <cfRule type="cellIs" dxfId="3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83" t="s">
        <v>94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207" t="s">
        <v>214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4.4" customHeight="1" x14ac:dyDescent="0.3">
      <c r="A3" s="177"/>
      <c r="B3" s="178" t="s">
        <v>71</v>
      </c>
      <c r="C3" s="179" t="s">
        <v>72</v>
      </c>
      <c r="D3" s="179" t="s">
        <v>73</v>
      </c>
      <c r="E3" s="178" t="s">
        <v>74</v>
      </c>
      <c r="F3" s="179" t="s">
        <v>75</v>
      </c>
      <c r="G3" s="179" t="s">
        <v>76</v>
      </c>
      <c r="H3" s="179" t="s">
        <v>77</v>
      </c>
      <c r="I3" s="179" t="s">
        <v>78</v>
      </c>
      <c r="J3" s="179" t="s">
        <v>79</v>
      </c>
      <c r="K3" s="179" t="s">
        <v>80</v>
      </c>
      <c r="L3" s="179" t="s">
        <v>81</v>
      </c>
      <c r="M3" s="179" t="s">
        <v>82</v>
      </c>
    </row>
    <row r="4" spans="1:13" ht="14.4" customHeight="1" x14ac:dyDescent="0.3">
      <c r="A4" s="177" t="s">
        <v>70</v>
      </c>
      <c r="B4" s="180">
        <f>(B10+B8)/B6</f>
        <v>0.82222484102792515</v>
      </c>
      <c r="C4" s="180">
        <f t="shared" ref="C4:M4" si="0">(C10+C8)/C6</f>
        <v>0.7507384195944542</v>
      </c>
      <c r="D4" s="180">
        <f t="shared" si="0"/>
        <v>0.7507384195944542</v>
      </c>
      <c r="E4" s="180">
        <f t="shared" si="0"/>
        <v>0.7507384195944542</v>
      </c>
      <c r="F4" s="180">
        <f t="shared" si="0"/>
        <v>0.7507384195944542</v>
      </c>
      <c r="G4" s="180">
        <f t="shared" si="0"/>
        <v>0.7507384195944542</v>
      </c>
      <c r="H4" s="180">
        <f t="shared" si="0"/>
        <v>0.7507384195944542</v>
      </c>
      <c r="I4" s="180">
        <f t="shared" si="0"/>
        <v>0.7507384195944542</v>
      </c>
      <c r="J4" s="180">
        <f t="shared" si="0"/>
        <v>0.7507384195944542</v>
      </c>
      <c r="K4" s="180">
        <f t="shared" si="0"/>
        <v>0.7507384195944542</v>
      </c>
      <c r="L4" s="180">
        <f t="shared" si="0"/>
        <v>0.7507384195944542</v>
      </c>
      <c r="M4" s="180">
        <f t="shared" si="0"/>
        <v>0.7507384195944542</v>
      </c>
    </row>
    <row r="5" spans="1:13" ht="14.4" customHeight="1" x14ac:dyDescent="0.3">
      <c r="A5" s="181" t="s">
        <v>42</v>
      </c>
      <c r="B5" s="180">
        <f>IF(ISERROR(VLOOKUP($A5,'Man Tab'!$A:$Q,COLUMN()+2,0)),0,VLOOKUP($A5,'Man Tab'!$A:$Q,COLUMN()+2,0))</f>
        <v>1667.6813100000099</v>
      </c>
      <c r="C5" s="180">
        <f>IF(ISERROR(VLOOKUP($A5,'Man Tab'!$A:$Q,COLUMN()+2,0)),0,VLOOKUP($A5,'Man Tab'!$A:$Q,COLUMN()+2,0))</f>
        <v>1628.49341</v>
      </c>
      <c r="D5" s="180">
        <f>IF(ISERROR(VLOOKUP($A5,'Man Tab'!$A:$Q,COLUMN()+2,0)),0,VLOOKUP($A5,'Man Tab'!$A:$Q,COLUMN()+2,0))</f>
        <v>4.9406564584124654E-324</v>
      </c>
      <c r="E5" s="180">
        <f>IF(ISERROR(VLOOKUP($A5,'Man Tab'!$A:$Q,COLUMN()+2,0)),0,VLOOKUP($A5,'Man Tab'!$A:$Q,COLUMN()+2,0))</f>
        <v>4.9406564584124654E-324</v>
      </c>
      <c r="F5" s="180">
        <f>IF(ISERROR(VLOOKUP($A5,'Man Tab'!$A:$Q,COLUMN()+2,0)),0,VLOOKUP($A5,'Man Tab'!$A:$Q,COLUMN()+2,0))</f>
        <v>4.9406564584124654E-324</v>
      </c>
      <c r="G5" s="180">
        <f>IF(ISERROR(VLOOKUP($A5,'Man Tab'!$A:$Q,COLUMN()+2,0)),0,VLOOKUP($A5,'Man Tab'!$A:$Q,COLUMN()+2,0))</f>
        <v>4.9406564584124654E-324</v>
      </c>
      <c r="H5" s="180">
        <f>IF(ISERROR(VLOOKUP($A5,'Man Tab'!$A:$Q,COLUMN()+2,0)),0,VLOOKUP($A5,'Man Tab'!$A:$Q,COLUMN()+2,0))</f>
        <v>4.9406564584124654E-324</v>
      </c>
      <c r="I5" s="180">
        <f>IF(ISERROR(VLOOKUP($A5,'Man Tab'!$A:$Q,COLUMN()+2,0)),0,VLOOKUP($A5,'Man Tab'!$A:$Q,COLUMN()+2,0))</f>
        <v>4.9406564584124654E-324</v>
      </c>
      <c r="J5" s="180">
        <f>IF(ISERROR(VLOOKUP($A5,'Man Tab'!$A:$Q,COLUMN()+2,0)),0,VLOOKUP($A5,'Man Tab'!$A:$Q,COLUMN()+2,0))</f>
        <v>4.9406564584124654E-324</v>
      </c>
      <c r="K5" s="180">
        <f>IF(ISERROR(VLOOKUP($A5,'Man Tab'!$A:$Q,COLUMN()+2,0)),0,VLOOKUP($A5,'Man Tab'!$A:$Q,COLUMN()+2,0))</f>
        <v>4.9406564584124654E-324</v>
      </c>
      <c r="L5" s="180">
        <f>IF(ISERROR(VLOOKUP($A5,'Man Tab'!$A:$Q,COLUMN()+2,0)),0,VLOOKUP($A5,'Man Tab'!$A:$Q,COLUMN()+2,0))</f>
        <v>4.9406564584124654E-324</v>
      </c>
      <c r="M5" s="180">
        <f>IF(ISERROR(VLOOKUP($A5,'Man Tab'!$A:$Q,COLUMN()+2,0)),0,VLOOKUP($A5,'Man Tab'!$A:$Q,COLUMN()+2,0))</f>
        <v>4.9406564584124654E-324</v>
      </c>
    </row>
    <row r="6" spans="1:13" ht="14.4" customHeight="1" x14ac:dyDescent="0.3">
      <c r="A6" s="181" t="s">
        <v>66</v>
      </c>
      <c r="B6" s="182">
        <f>B5</f>
        <v>1667.6813100000099</v>
      </c>
      <c r="C6" s="182">
        <f t="shared" ref="C6:M6" si="1">C5+B6</f>
        <v>3296.17472000001</v>
      </c>
      <c r="D6" s="182">
        <f t="shared" si="1"/>
        <v>3296.17472000001</v>
      </c>
      <c r="E6" s="182">
        <f t="shared" si="1"/>
        <v>3296.17472000001</v>
      </c>
      <c r="F6" s="182">
        <f t="shared" si="1"/>
        <v>3296.17472000001</v>
      </c>
      <c r="G6" s="182">
        <f t="shared" si="1"/>
        <v>3296.17472000001</v>
      </c>
      <c r="H6" s="182">
        <f t="shared" si="1"/>
        <v>3296.17472000001</v>
      </c>
      <c r="I6" s="182">
        <f t="shared" si="1"/>
        <v>3296.17472000001</v>
      </c>
      <c r="J6" s="182">
        <f t="shared" si="1"/>
        <v>3296.17472000001</v>
      </c>
      <c r="K6" s="182">
        <f t="shared" si="1"/>
        <v>3296.17472000001</v>
      </c>
      <c r="L6" s="182">
        <f t="shared" si="1"/>
        <v>3296.17472000001</v>
      </c>
      <c r="M6" s="182">
        <f t="shared" si="1"/>
        <v>3296.17472000001</v>
      </c>
    </row>
    <row r="7" spans="1:13" ht="14.4" customHeight="1" x14ac:dyDescent="0.3">
      <c r="A7" s="181" t="s">
        <v>92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</row>
    <row r="8" spans="1:13" ht="14.4" customHeight="1" x14ac:dyDescent="0.3">
      <c r="A8" s="181" t="s">
        <v>67</v>
      </c>
      <c r="B8" s="182">
        <f>B7*30</f>
        <v>0</v>
      </c>
      <c r="C8" s="182">
        <f t="shared" ref="C8:M8" si="2">C7*30</f>
        <v>0</v>
      </c>
      <c r="D8" s="182">
        <f t="shared" si="2"/>
        <v>0</v>
      </c>
      <c r="E8" s="182">
        <f t="shared" si="2"/>
        <v>0</v>
      </c>
      <c r="F8" s="182">
        <f t="shared" si="2"/>
        <v>0</v>
      </c>
      <c r="G8" s="182">
        <f t="shared" si="2"/>
        <v>0</v>
      </c>
      <c r="H8" s="182">
        <f t="shared" si="2"/>
        <v>0</v>
      </c>
      <c r="I8" s="182">
        <f t="shared" si="2"/>
        <v>0</v>
      </c>
      <c r="J8" s="182">
        <f t="shared" si="2"/>
        <v>0</v>
      </c>
      <c r="K8" s="182">
        <f t="shared" si="2"/>
        <v>0</v>
      </c>
      <c r="L8" s="182">
        <f t="shared" si="2"/>
        <v>0</v>
      </c>
      <c r="M8" s="182">
        <f t="shared" si="2"/>
        <v>0</v>
      </c>
    </row>
    <row r="9" spans="1:13" ht="14.4" customHeight="1" x14ac:dyDescent="0.3">
      <c r="A9" s="181" t="s">
        <v>93</v>
      </c>
      <c r="B9" s="181">
        <v>1371209</v>
      </c>
      <c r="C9" s="181">
        <v>1103356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</row>
    <row r="10" spans="1:13" ht="14.4" customHeight="1" x14ac:dyDescent="0.3">
      <c r="A10" s="181" t="s">
        <v>68</v>
      </c>
      <c r="B10" s="182">
        <f>B9/1000</f>
        <v>1371.2090000000001</v>
      </c>
      <c r="C10" s="182">
        <f t="shared" ref="C10:M10" si="3">C9/1000+B10</f>
        <v>2474.5650000000001</v>
      </c>
      <c r="D10" s="182">
        <f t="shared" si="3"/>
        <v>2474.5650000000001</v>
      </c>
      <c r="E10" s="182">
        <f t="shared" si="3"/>
        <v>2474.5650000000001</v>
      </c>
      <c r="F10" s="182">
        <f t="shared" si="3"/>
        <v>2474.5650000000001</v>
      </c>
      <c r="G10" s="182">
        <f t="shared" si="3"/>
        <v>2474.5650000000001</v>
      </c>
      <c r="H10" s="182">
        <f t="shared" si="3"/>
        <v>2474.5650000000001</v>
      </c>
      <c r="I10" s="182">
        <f t="shared" si="3"/>
        <v>2474.5650000000001</v>
      </c>
      <c r="J10" s="182">
        <f t="shared" si="3"/>
        <v>2474.5650000000001</v>
      </c>
      <c r="K10" s="182">
        <f t="shared" si="3"/>
        <v>2474.5650000000001</v>
      </c>
      <c r="L10" s="182">
        <f t="shared" si="3"/>
        <v>2474.5650000000001</v>
      </c>
      <c r="M10" s="182">
        <f t="shared" si="3"/>
        <v>2474.5650000000001</v>
      </c>
    </row>
    <row r="11" spans="1:13" ht="14.4" customHeight="1" x14ac:dyDescent="0.3">
      <c r="A11" s="177"/>
      <c r="B11" s="177" t="s">
        <v>83</v>
      </c>
      <c r="C11" s="177">
        <f>COUNTIF(B7:M7,"&lt;&gt;")</f>
        <v>0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ht="14.4" customHeight="1" x14ac:dyDescent="0.3">
      <c r="A12" s="177">
        <v>0</v>
      </c>
      <c r="B12" s="180">
        <f>IF(ISERROR(HI!F15),#REF!,HI!F15)</f>
        <v>0.66728482003129885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4.4" customHeight="1" x14ac:dyDescent="0.3">
      <c r="A13" s="177">
        <v>1</v>
      </c>
      <c r="B13" s="180">
        <f>IF(ISERROR(HI!F15),#REF!,HI!F15)</f>
        <v>0.66728482003129885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0" bestFit="1" customWidth="1"/>
    <col min="2" max="2" width="12.77734375" style="110" bestFit="1" customWidth="1"/>
    <col min="3" max="3" width="13.6640625" style="110" bestFit="1" customWidth="1"/>
    <col min="4" max="15" width="7.77734375" style="110" bestFit="1" customWidth="1"/>
    <col min="16" max="16" width="8.88671875" style="110" customWidth="1"/>
    <col min="17" max="17" width="6.6640625" style="110" bestFit="1" customWidth="1"/>
    <col min="18" max="16384" width="8.88671875" style="110"/>
  </cols>
  <sheetData>
    <row r="1" spans="1:17" s="183" customFormat="1" ht="18.600000000000001" customHeight="1" thickBot="1" x14ac:dyDescent="0.4">
      <c r="A1" s="292" t="s">
        <v>216</v>
      </c>
      <c r="B1" s="292"/>
      <c r="C1" s="292"/>
      <c r="D1" s="292"/>
      <c r="E1" s="292"/>
      <c r="F1" s="292"/>
      <c r="G1" s="292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83" customFormat="1" ht="14.4" customHeight="1" thickBot="1" x14ac:dyDescent="0.3">
      <c r="A2" s="207" t="s">
        <v>214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4.4" customHeight="1" x14ac:dyDescent="0.3">
      <c r="A3" s="60"/>
      <c r="B3" s="293" t="s">
        <v>18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118"/>
      <c r="Q3" s="120"/>
    </row>
    <row r="4" spans="1:17" ht="14.4" customHeight="1" x14ac:dyDescent="0.3">
      <c r="A4" s="61"/>
      <c r="B4" s="20">
        <v>2014</v>
      </c>
      <c r="C4" s="119" t="s">
        <v>19</v>
      </c>
      <c r="D4" s="109" t="s">
        <v>139</v>
      </c>
      <c r="E4" s="109" t="s">
        <v>140</v>
      </c>
      <c r="F4" s="109" t="s">
        <v>141</v>
      </c>
      <c r="G4" s="109" t="s">
        <v>142</v>
      </c>
      <c r="H4" s="109" t="s">
        <v>143</v>
      </c>
      <c r="I4" s="109" t="s">
        <v>144</v>
      </c>
      <c r="J4" s="109" t="s">
        <v>145</v>
      </c>
      <c r="K4" s="109" t="s">
        <v>146</v>
      </c>
      <c r="L4" s="109" t="s">
        <v>147</v>
      </c>
      <c r="M4" s="109" t="s">
        <v>148</v>
      </c>
      <c r="N4" s="109" t="s">
        <v>149</v>
      </c>
      <c r="O4" s="109" t="s">
        <v>150</v>
      </c>
      <c r="P4" s="295" t="s">
        <v>6</v>
      </c>
      <c r="Q4" s="296"/>
    </row>
    <row r="5" spans="1:17" ht="14.4" customHeight="1" thickBot="1" x14ac:dyDescent="0.35">
      <c r="A5" s="62"/>
      <c r="B5" s="21" t="s">
        <v>20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2" t="s">
        <v>21</v>
      </c>
      <c r="K5" s="22" t="s">
        <v>21</v>
      </c>
      <c r="L5" s="22" t="s">
        <v>21</v>
      </c>
      <c r="M5" s="22" t="s">
        <v>21</v>
      </c>
      <c r="N5" s="22" t="s">
        <v>21</v>
      </c>
      <c r="O5" s="22" t="s">
        <v>21</v>
      </c>
      <c r="P5" s="22" t="s">
        <v>21</v>
      </c>
      <c r="Q5" s="23" t="s">
        <v>22</v>
      </c>
    </row>
    <row r="6" spans="1:17" ht="14.4" customHeight="1" x14ac:dyDescent="0.3">
      <c r="A6" s="14" t="s">
        <v>23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9.8813129168249309E-324</v>
      </c>
      <c r="Q6" s="72" t="s">
        <v>215</v>
      </c>
    </row>
    <row r="7" spans="1:17" ht="14.4" customHeight="1" x14ac:dyDescent="0.3">
      <c r="A7" s="15" t="s">
        <v>24</v>
      </c>
      <c r="B7" s="46">
        <v>40.857189455970001</v>
      </c>
      <c r="C7" s="47">
        <v>3.4047657879969999</v>
      </c>
      <c r="D7" s="47">
        <v>1.89856</v>
      </c>
      <c r="E7" s="47">
        <v>2.0157500000000002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3.91431</v>
      </c>
      <c r="Q7" s="73">
        <v>0.57482808564900001</v>
      </c>
    </row>
    <row r="8" spans="1:17" ht="14.4" customHeight="1" x14ac:dyDescent="0.3">
      <c r="A8" s="15" t="s">
        <v>25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9.8813129168249309E-324</v>
      </c>
      <c r="Q8" s="73" t="s">
        <v>215</v>
      </c>
    </row>
    <row r="9" spans="1:17" ht="14.4" customHeight="1" x14ac:dyDescent="0.3">
      <c r="A9" s="15" t="s">
        <v>26</v>
      </c>
      <c r="B9" s="46">
        <v>1190.4645750868599</v>
      </c>
      <c r="C9" s="47">
        <v>99.205381257238002</v>
      </c>
      <c r="D9" s="47">
        <v>110.930930000001</v>
      </c>
      <c r="E9" s="47">
        <v>105.99149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216.92242000000101</v>
      </c>
      <c r="Q9" s="73">
        <v>1.0932996640449999</v>
      </c>
    </row>
    <row r="10" spans="1:17" ht="14.4" customHeight="1" x14ac:dyDescent="0.3">
      <c r="A10" s="15" t="s">
        <v>27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9.8813129168249309E-324</v>
      </c>
      <c r="Q10" s="73" t="s">
        <v>215</v>
      </c>
    </row>
    <row r="11" spans="1:17" ht="14.4" customHeight="1" x14ac:dyDescent="0.3">
      <c r="A11" s="15" t="s">
        <v>28</v>
      </c>
      <c r="B11" s="46">
        <v>170.601841284606</v>
      </c>
      <c r="C11" s="47">
        <v>14.216820107049999</v>
      </c>
      <c r="D11" s="47">
        <v>15.756970000000001</v>
      </c>
      <c r="E11" s="47">
        <v>-1.24681</v>
      </c>
      <c r="F11" s="47">
        <v>4.9406564584124654E-324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14.510160000000001</v>
      </c>
      <c r="Q11" s="73">
        <v>0.51031664924800002</v>
      </c>
    </row>
    <row r="12" spans="1:17" ht="14.4" customHeight="1" x14ac:dyDescent="0.3">
      <c r="A12" s="15" t="s">
        <v>29</v>
      </c>
      <c r="B12" s="46">
        <v>21.150116570289001</v>
      </c>
      <c r="C12" s="47">
        <v>1.7625097141899999</v>
      </c>
      <c r="D12" s="47">
        <v>18.265000000000001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18.265000000000001</v>
      </c>
      <c r="Q12" s="73">
        <v>5.1815317251700002</v>
      </c>
    </row>
    <row r="13" spans="1:17" ht="14.4" customHeight="1" x14ac:dyDescent="0.3">
      <c r="A13" s="15" t="s">
        <v>30</v>
      </c>
      <c r="B13" s="46">
        <v>31.863843538878999</v>
      </c>
      <c r="C13" s="47">
        <v>2.6553202949060002</v>
      </c>
      <c r="D13" s="47">
        <v>1.5521199999999999</v>
      </c>
      <c r="E13" s="47">
        <v>1.7442599999999999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3.2963800000000001</v>
      </c>
      <c r="Q13" s="73">
        <v>0.62071231224400003</v>
      </c>
    </row>
    <row r="14" spans="1:17" ht="14.4" customHeight="1" x14ac:dyDescent="0.3">
      <c r="A14" s="15" t="s">
        <v>31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9.8813129168249309E-324</v>
      </c>
      <c r="Q14" s="73" t="s">
        <v>215</v>
      </c>
    </row>
    <row r="15" spans="1:17" ht="14.4" customHeight="1" x14ac:dyDescent="0.3">
      <c r="A15" s="15" t="s">
        <v>32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9.8813129168249309E-324</v>
      </c>
      <c r="Q15" s="73" t="s">
        <v>215</v>
      </c>
    </row>
    <row r="16" spans="1:17" ht="14.4" customHeight="1" x14ac:dyDescent="0.3">
      <c r="A16" s="15" t="s">
        <v>33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9.8813129168249309E-324</v>
      </c>
      <c r="Q16" s="73" t="s">
        <v>215</v>
      </c>
    </row>
    <row r="17" spans="1:17" ht="14.4" customHeight="1" x14ac:dyDescent="0.3">
      <c r="A17" s="15" t="s">
        <v>34</v>
      </c>
      <c r="B17" s="46">
        <v>145.40613290015901</v>
      </c>
      <c r="C17" s="47">
        <v>12.117177741679001</v>
      </c>
      <c r="D17" s="47">
        <v>3.0489999999999999</v>
      </c>
      <c r="E17" s="47">
        <v>4.9406564584124654E-324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3.0489999999999999</v>
      </c>
      <c r="Q17" s="73">
        <v>0.12581312517599999</v>
      </c>
    </row>
    <row r="18" spans="1:17" ht="14.4" customHeight="1" x14ac:dyDescent="0.3">
      <c r="A18" s="15" t="s">
        <v>35</v>
      </c>
      <c r="B18" s="46">
        <v>0</v>
      </c>
      <c r="C18" s="47">
        <v>0</v>
      </c>
      <c r="D18" s="47">
        <v>4.9406564584124654E-324</v>
      </c>
      <c r="E18" s="47">
        <v>1.012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1.012</v>
      </c>
      <c r="Q18" s="73" t="s">
        <v>215</v>
      </c>
    </row>
    <row r="19" spans="1:17" ht="14.4" customHeight="1" x14ac:dyDescent="0.3">
      <c r="A19" s="15" t="s">
        <v>36</v>
      </c>
      <c r="B19" s="46">
        <v>431.19025838665101</v>
      </c>
      <c r="C19" s="47">
        <v>35.932521532220001</v>
      </c>
      <c r="D19" s="47">
        <v>16.583310000000001</v>
      </c>
      <c r="E19" s="47">
        <v>7.5413699999999997</v>
      </c>
      <c r="F19" s="47">
        <v>4.9406564584124654E-324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24.124680000000001</v>
      </c>
      <c r="Q19" s="73">
        <v>0.335694225889</v>
      </c>
    </row>
    <row r="20" spans="1:17" ht="14.4" customHeight="1" x14ac:dyDescent="0.3">
      <c r="A20" s="15" t="s">
        <v>37</v>
      </c>
      <c r="B20" s="46">
        <v>17309.079657865099</v>
      </c>
      <c r="C20" s="47">
        <v>1442.4233048220899</v>
      </c>
      <c r="D20" s="47">
        <v>1350.10942000001</v>
      </c>
      <c r="E20" s="47">
        <v>1334.69362</v>
      </c>
      <c r="F20" s="47">
        <v>4.9406564584124654E-324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2684.8030400000098</v>
      </c>
      <c r="Q20" s="73">
        <v>0.93065712090999997</v>
      </c>
    </row>
    <row r="21" spans="1:17" ht="14.4" customHeight="1" x14ac:dyDescent="0.3">
      <c r="A21" s="16" t="s">
        <v>38</v>
      </c>
      <c r="B21" s="46">
        <v>1663.9999205404099</v>
      </c>
      <c r="C21" s="47">
        <v>138.66666004503401</v>
      </c>
      <c r="D21" s="47">
        <v>144.07000000000099</v>
      </c>
      <c r="E21" s="47">
        <v>145.55199999999999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289.62200000000098</v>
      </c>
      <c r="Q21" s="73">
        <v>1.044310146021</v>
      </c>
    </row>
    <row r="22" spans="1:17" ht="14.4" customHeight="1" x14ac:dyDescent="0.3">
      <c r="A22" s="15" t="s">
        <v>39</v>
      </c>
      <c r="B22" s="46">
        <v>0</v>
      </c>
      <c r="C22" s="47">
        <v>0</v>
      </c>
      <c r="D22" s="47">
        <v>4.9406564584124654E-324</v>
      </c>
      <c r="E22" s="47">
        <v>9.0169499999999996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9.0169499999999996</v>
      </c>
      <c r="Q22" s="73" t="s">
        <v>215</v>
      </c>
    </row>
    <row r="23" spans="1:17" ht="14.4" customHeight="1" x14ac:dyDescent="0.3">
      <c r="A23" s="16" t="s">
        <v>40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3.9525251667299724E-323</v>
      </c>
      <c r="Q23" s="73" t="s">
        <v>215</v>
      </c>
    </row>
    <row r="24" spans="1:17" ht="14.4" customHeight="1" x14ac:dyDescent="0.3">
      <c r="A24" s="16" t="s">
        <v>41</v>
      </c>
      <c r="B24" s="46">
        <v>34.876325088338</v>
      </c>
      <c r="C24" s="47">
        <v>2.906360424027</v>
      </c>
      <c r="D24" s="47">
        <v>5.4659999999990001</v>
      </c>
      <c r="E24" s="47">
        <v>22.172779999999001</v>
      </c>
      <c r="F24" s="47">
        <v>-1.0869444208507424E-322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27.638779999998999</v>
      </c>
      <c r="Q24" s="73"/>
    </row>
    <row r="25" spans="1:17" ht="14.4" customHeight="1" x14ac:dyDescent="0.3">
      <c r="A25" s="17" t="s">
        <v>42</v>
      </c>
      <c r="B25" s="49">
        <v>21039.4898607172</v>
      </c>
      <c r="C25" s="50">
        <v>1753.2908217264401</v>
      </c>
      <c r="D25" s="50">
        <v>1667.6813100000099</v>
      </c>
      <c r="E25" s="50">
        <v>1628.49341</v>
      </c>
      <c r="F25" s="50">
        <v>4.9406564584124654E-324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3296.17472000001</v>
      </c>
      <c r="Q25" s="74">
        <v>0.93999657077800003</v>
      </c>
    </row>
    <row r="26" spans="1:17" ht="14.4" customHeight="1" x14ac:dyDescent="0.3">
      <c r="A26" s="15" t="s">
        <v>43</v>
      </c>
      <c r="B26" s="46">
        <v>2523.0019846895402</v>
      </c>
      <c r="C26" s="47">
        <v>210.25016539079499</v>
      </c>
      <c r="D26" s="47">
        <v>202.71498</v>
      </c>
      <c r="E26" s="47">
        <v>187.95821000000001</v>
      </c>
      <c r="F26" s="47">
        <v>4.9406564584124654E-324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390.67318999999998</v>
      </c>
      <c r="Q26" s="73">
        <v>0.92906749745899997</v>
      </c>
    </row>
    <row r="27" spans="1:17" ht="14.4" customHeight="1" x14ac:dyDescent="0.3">
      <c r="A27" s="18" t="s">
        <v>44</v>
      </c>
      <c r="B27" s="49">
        <v>23562.491845406799</v>
      </c>
      <c r="C27" s="50">
        <v>1963.5409871172301</v>
      </c>
      <c r="D27" s="50">
        <v>1870.3962900000099</v>
      </c>
      <c r="E27" s="50">
        <v>1816.45162</v>
      </c>
      <c r="F27" s="50">
        <v>9.8813129168249309E-324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3686.84791000001</v>
      </c>
      <c r="Q27" s="74">
        <v>0.93882631790899995</v>
      </c>
    </row>
    <row r="28" spans="1:17" ht="14.4" customHeight="1" x14ac:dyDescent="0.3">
      <c r="A28" s="16" t="s">
        <v>45</v>
      </c>
      <c r="B28" s="46">
        <v>1007.04727849767</v>
      </c>
      <c r="C28" s="47">
        <v>83.920606541471997</v>
      </c>
      <c r="D28" s="47">
        <v>64.867059999999995</v>
      </c>
      <c r="E28" s="47">
        <v>61.408799999999999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126.27585999999999</v>
      </c>
      <c r="Q28" s="73">
        <v>0.75235311804799998</v>
      </c>
    </row>
    <row r="29" spans="1:17" ht="14.4" customHeight="1" x14ac:dyDescent="0.3">
      <c r="A29" s="16" t="s">
        <v>46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1.9762625833649862E-323</v>
      </c>
      <c r="Q29" s="73" t="s">
        <v>215</v>
      </c>
    </row>
    <row r="30" spans="1:17" ht="14.4" customHeight="1" x14ac:dyDescent="0.3">
      <c r="A30" s="16" t="s">
        <v>47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9.8813129168249309E-323</v>
      </c>
      <c r="Q30" s="73">
        <v>0</v>
      </c>
    </row>
    <row r="31" spans="1:17" ht="14.4" customHeight="1" thickBot="1" x14ac:dyDescent="0.35">
      <c r="A31" s="19" t="s">
        <v>48</v>
      </c>
      <c r="B31" s="52">
        <v>1.9762625833649862E-323</v>
      </c>
      <c r="C31" s="53">
        <v>0</v>
      </c>
      <c r="D31" s="53">
        <v>0.66600000000000004</v>
      </c>
      <c r="E31" s="53">
        <v>10.76295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11.42895</v>
      </c>
      <c r="Q31" s="75" t="s">
        <v>215</v>
      </c>
    </row>
    <row r="32" spans="1:17" ht="14.4" customHeight="1" x14ac:dyDescent="0.3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</row>
    <row r="33" spans="1:17" ht="14.4" customHeight="1" x14ac:dyDescent="0.3">
      <c r="A33" s="93" t="s">
        <v>132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ht="14.4" customHeight="1" x14ac:dyDescent="0.3">
      <c r="A34" s="116" t="s">
        <v>160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ht="14.4" customHeight="1" x14ac:dyDescent="0.3">
      <c r="A35" s="117" t="s">
        <v>49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0" customWidth="1"/>
    <col min="2" max="11" width="10" style="110" customWidth="1"/>
    <col min="12" max="16384" width="8.88671875" style="110"/>
  </cols>
  <sheetData>
    <row r="1" spans="1:11" s="55" customFormat="1" ht="18.600000000000001" customHeight="1" thickBot="1" x14ac:dyDescent="0.4">
      <c r="A1" s="292" t="s">
        <v>50</v>
      </c>
      <c r="B1" s="292"/>
      <c r="C1" s="292"/>
      <c r="D1" s="292"/>
      <c r="E1" s="292"/>
      <c r="F1" s="292"/>
      <c r="G1" s="292"/>
      <c r="H1" s="297"/>
      <c r="I1" s="297"/>
      <c r="J1" s="297"/>
      <c r="K1" s="297"/>
    </row>
    <row r="2" spans="1:11" s="55" customFormat="1" ht="14.4" customHeight="1" thickBot="1" x14ac:dyDescent="0.35">
      <c r="A2" s="207" t="s">
        <v>214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3" t="s">
        <v>51</v>
      </c>
      <c r="C3" s="294"/>
      <c r="D3" s="294"/>
      <c r="E3" s="294"/>
      <c r="F3" s="300" t="s">
        <v>52</v>
      </c>
      <c r="G3" s="294"/>
      <c r="H3" s="294"/>
      <c r="I3" s="294"/>
      <c r="J3" s="294"/>
      <c r="K3" s="301"/>
    </row>
    <row r="4" spans="1:11" ht="14.4" customHeight="1" x14ac:dyDescent="0.3">
      <c r="A4" s="61"/>
      <c r="B4" s="298"/>
      <c r="C4" s="299"/>
      <c r="D4" s="299"/>
      <c r="E4" s="299"/>
      <c r="F4" s="302" t="s">
        <v>155</v>
      </c>
      <c r="G4" s="304" t="s">
        <v>53</v>
      </c>
      <c r="H4" s="121" t="s">
        <v>121</v>
      </c>
      <c r="I4" s="302" t="s">
        <v>54</v>
      </c>
      <c r="J4" s="304" t="s">
        <v>157</v>
      </c>
      <c r="K4" s="305" t="s">
        <v>158</v>
      </c>
    </row>
    <row r="5" spans="1:11" ht="42" thickBot="1" x14ac:dyDescent="0.35">
      <c r="A5" s="62"/>
      <c r="B5" s="24" t="s">
        <v>151</v>
      </c>
      <c r="C5" s="25" t="s">
        <v>152</v>
      </c>
      <c r="D5" s="26" t="s">
        <v>153</v>
      </c>
      <c r="E5" s="26" t="s">
        <v>154</v>
      </c>
      <c r="F5" s="303"/>
      <c r="G5" s="303"/>
      <c r="H5" s="25" t="s">
        <v>156</v>
      </c>
      <c r="I5" s="303"/>
      <c r="J5" s="303"/>
      <c r="K5" s="306"/>
    </row>
    <row r="6" spans="1:11" ht="14.4" customHeight="1" thickBot="1" x14ac:dyDescent="0.35">
      <c r="A6" s="355" t="s">
        <v>217</v>
      </c>
      <c r="B6" s="337">
        <v>17171.902846385299</v>
      </c>
      <c r="C6" s="337">
        <v>19303.046869999998</v>
      </c>
      <c r="D6" s="338">
        <v>2131.1440236147</v>
      </c>
      <c r="E6" s="339">
        <v>1.124106457081</v>
      </c>
      <c r="F6" s="337">
        <v>21039.4898607172</v>
      </c>
      <c r="G6" s="338">
        <v>3506.5816434528701</v>
      </c>
      <c r="H6" s="340">
        <v>1628.49341</v>
      </c>
      <c r="I6" s="337">
        <v>3296.17472000001</v>
      </c>
      <c r="J6" s="338">
        <v>-210.406923452862</v>
      </c>
      <c r="K6" s="341">
        <v>0.15666609512900001</v>
      </c>
    </row>
    <row r="7" spans="1:11" ht="14.4" customHeight="1" thickBot="1" x14ac:dyDescent="0.35">
      <c r="A7" s="356" t="s">
        <v>218</v>
      </c>
      <c r="B7" s="337">
        <v>1474.0673906767599</v>
      </c>
      <c r="C7" s="337">
        <v>1483.7766099999999</v>
      </c>
      <c r="D7" s="338">
        <v>9.7092193232429995</v>
      </c>
      <c r="E7" s="339">
        <v>1.006586686188</v>
      </c>
      <c r="F7" s="337">
        <v>1454.9375659366001</v>
      </c>
      <c r="G7" s="338">
        <v>242.489594322767</v>
      </c>
      <c r="H7" s="340">
        <v>119.26747</v>
      </c>
      <c r="I7" s="337">
        <v>268.337050000001</v>
      </c>
      <c r="J7" s="338">
        <v>25.847455677233</v>
      </c>
      <c r="K7" s="341">
        <v>0.18443200332599999</v>
      </c>
    </row>
    <row r="8" spans="1:11" ht="14.4" customHeight="1" thickBot="1" x14ac:dyDescent="0.35">
      <c r="A8" s="357" t="s">
        <v>219</v>
      </c>
      <c r="B8" s="337">
        <v>1474.0673906767599</v>
      </c>
      <c r="C8" s="337">
        <v>1483.7766099999999</v>
      </c>
      <c r="D8" s="338">
        <v>9.7092193232429995</v>
      </c>
      <c r="E8" s="339">
        <v>1.006586686188</v>
      </c>
      <c r="F8" s="337">
        <v>1454.9375659366001</v>
      </c>
      <c r="G8" s="338">
        <v>242.489594322767</v>
      </c>
      <c r="H8" s="340">
        <v>119.26747</v>
      </c>
      <c r="I8" s="337">
        <v>268.337050000001</v>
      </c>
      <c r="J8" s="338">
        <v>25.847455677233</v>
      </c>
      <c r="K8" s="341">
        <v>0.18443200332599999</v>
      </c>
    </row>
    <row r="9" spans="1:11" ht="14.4" customHeight="1" thickBot="1" x14ac:dyDescent="0.35">
      <c r="A9" s="358" t="s">
        <v>220</v>
      </c>
      <c r="B9" s="342">
        <v>4.9406564584124654E-324</v>
      </c>
      <c r="C9" s="342">
        <v>-4.8000000000000001E-4</v>
      </c>
      <c r="D9" s="343">
        <v>-4.8000000000000001E-4</v>
      </c>
      <c r="E9" s="344" t="s">
        <v>221</v>
      </c>
      <c r="F9" s="342">
        <v>0</v>
      </c>
      <c r="G9" s="343">
        <v>0</v>
      </c>
      <c r="H9" s="345">
        <v>-1.7000000000000001E-4</v>
      </c>
      <c r="I9" s="342">
        <v>-1.7000000000000001E-4</v>
      </c>
      <c r="J9" s="343">
        <v>-1.7000000000000001E-4</v>
      </c>
      <c r="K9" s="346" t="s">
        <v>215</v>
      </c>
    </row>
    <row r="10" spans="1:11" ht="14.4" customHeight="1" thickBot="1" x14ac:dyDescent="0.35">
      <c r="A10" s="359" t="s">
        <v>222</v>
      </c>
      <c r="B10" s="337">
        <v>4.9406564584124654E-324</v>
      </c>
      <c r="C10" s="337">
        <v>-4.8000000000000001E-4</v>
      </c>
      <c r="D10" s="338">
        <v>-4.8000000000000001E-4</v>
      </c>
      <c r="E10" s="347" t="s">
        <v>221</v>
      </c>
      <c r="F10" s="337">
        <v>0</v>
      </c>
      <c r="G10" s="338">
        <v>0</v>
      </c>
      <c r="H10" s="340">
        <v>-1.7000000000000001E-4</v>
      </c>
      <c r="I10" s="337">
        <v>-1.7000000000000001E-4</v>
      </c>
      <c r="J10" s="338">
        <v>-1.7000000000000001E-4</v>
      </c>
      <c r="K10" s="348" t="s">
        <v>215</v>
      </c>
    </row>
    <row r="11" spans="1:11" ht="14.4" customHeight="1" thickBot="1" x14ac:dyDescent="0.35">
      <c r="A11" s="358" t="s">
        <v>223</v>
      </c>
      <c r="B11" s="342">
        <v>54.188132448730002</v>
      </c>
      <c r="C11" s="342">
        <v>40.844389999999997</v>
      </c>
      <c r="D11" s="343">
        <v>-13.34374244873</v>
      </c>
      <c r="E11" s="349">
        <v>0.75375157168600004</v>
      </c>
      <c r="F11" s="342">
        <v>40.857189455970001</v>
      </c>
      <c r="G11" s="343">
        <v>6.8095315759949999</v>
      </c>
      <c r="H11" s="345">
        <v>2.0157500000000002</v>
      </c>
      <c r="I11" s="342">
        <v>3.91431</v>
      </c>
      <c r="J11" s="343">
        <v>-2.895221575995</v>
      </c>
      <c r="K11" s="350">
        <v>9.5804680941000003E-2</v>
      </c>
    </row>
    <row r="12" spans="1:11" ht="14.4" customHeight="1" thickBot="1" x14ac:dyDescent="0.35">
      <c r="A12" s="359" t="s">
        <v>224</v>
      </c>
      <c r="B12" s="337">
        <v>53.283357985510001</v>
      </c>
      <c r="C12" s="337">
        <v>39.94012</v>
      </c>
      <c r="D12" s="338">
        <v>-13.343237985509999</v>
      </c>
      <c r="E12" s="339">
        <v>0.74957963442999997</v>
      </c>
      <c r="F12" s="337">
        <v>39.970374267769998</v>
      </c>
      <c r="G12" s="338">
        <v>6.6617290446280002</v>
      </c>
      <c r="H12" s="340">
        <v>2.0157500000000002</v>
      </c>
      <c r="I12" s="337">
        <v>3.91431</v>
      </c>
      <c r="J12" s="338">
        <v>-2.7474190446279998</v>
      </c>
      <c r="K12" s="341">
        <v>9.7930281406999997E-2</v>
      </c>
    </row>
    <row r="13" spans="1:11" ht="14.4" customHeight="1" thickBot="1" x14ac:dyDescent="0.35">
      <c r="A13" s="359" t="s">
        <v>225</v>
      </c>
      <c r="B13" s="337">
        <v>4.9406564584124654E-324</v>
      </c>
      <c r="C13" s="337">
        <v>7.2099999999999997E-2</v>
      </c>
      <c r="D13" s="338">
        <v>7.2099999999999997E-2</v>
      </c>
      <c r="E13" s="347" t="s">
        <v>221</v>
      </c>
      <c r="F13" s="337">
        <v>7.2976624550999999E-2</v>
      </c>
      <c r="G13" s="338">
        <v>1.2162770757999999E-2</v>
      </c>
      <c r="H13" s="340">
        <v>4.9406564584124654E-324</v>
      </c>
      <c r="I13" s="337">
        <v>9.8813129168249309E-324</v>
      </c>
      <c r="J13" s="338">
        <v>-1.2162770757999999E-2</v>
      </c>
      <c r="K13" s="341">
        <v>1.3339772437713657E-322</v>
      </c>
    </row>
    <row r="14" spans="1:11" ht="14.4" customHeight="1" thickBot="1" x14ac:dyDescent="0.35">
      <c r="A14" s="359" t="s">
        <v>226</v>
      </c>
      <c r="B14" s="337">
        <v>4.9406564584124654E-324</v>
      </c>
      <c r="C14" s="337">
        <v>0.39415</v>
      </c>
      <c r="D14" s="338">
        <v>0.39415</v>
      </c>
      <c r="E14" s="347" t="s">
        <v>221</v>
      </c>
      <c r="F14" s="337">
        <v>0.39477555006699999</v>
      </c>
      <c r="G14" s="338">
        <v>6.5795925010999998E-2</v>
      </c>
      <c r="H14" s="340">
        <v>4.9406564584124654E-324</v>
      </c>
      <c r="I14" s="337">
        <v>9.8813129168249309E-324</v>
      </c>
      <c r="J14" s="338">
        <v>-6.5795925010999998E-2</v>
      </c>
      <c r="K14" s="341">
        <v>2.4703282292062327E-323</v>
      </c>
    </row>
    <row r="15" spans="1:11" ht="14.4" customHeight="1" thickBot="1" x14ac:dyDescent="0.35">
      <c r="A15" s="359" t="s">
        <v>227</v>
      </c>
      <c r="B15" s="337">
        <v>0.90477446321900001</v>
      </c>
      <c r="C15" s="337">
        <v>0.43802000000000002</v>
      </c>
      <c r="D15" s="338">
        <v>-0.46675446321899999</v>
      </c>
      <c r="E15" s="339">
        <v>0.48412064863199999</v>
      </c>
      <c r="F15" s="337">
        <v>0.41906301357999998</v>
      </c>
      <c r="G15" s="338">
        <v>6.9843835596000006E-2</v>
      </c>
      <c r="H15" s="340">
        <v>4.9406564584124654E-324</v>
      </c>
      <c r="I15" s="337">
        <v>9.8813129168249309E-324</v>
      </c>
      <c r="J15" s="338">
        <v>-6.9843835596000006E-2</v>
      </c>
      <c r="K15" s="341">
        <v>2.4703282292062327E-323</v>
      </c>
    </row>
    <row r="16" spans="1:11" ht="14.4" customHeight="1" thickBot="1" x14ac:dyDescent="0.35">
      <c r="A16" s="358" t="s">
        <v>228</v>
      </c>
      <c r="B16" s="342">
        <v>1198.1272008686601</v>
      </c>
      <c r="C16" s="342">
        <v>1189.11303</v>
      </c>
      <c r="D16" s="343">
        <v>-9.0141708686560005</v>
      </c>
      <c r="E16" s="349">
        <v>0.99247644919300004</v>
      </c>
      <c r="F16" s="342">
        <v>1190.4645750868599</v>
      </c>
      <c r="G16" s="343">
        <v>198.410762514476</v>
      </c>
      <c r="H16" s="345">
        <v>105.99149</v>
      </c>
      <c r="I16" s="342">
        <v>216.92242000000101</v>
      </c>
      <c r="J16" s="343">
        <v>18.511657485524001</v>
      </c>
      <c r="K16" s="350">
        <v>0.182216610674</v>
      </c>
    </row>
    <row r="17" spans="1:11" ht="14.4" customHeight="1" thickBot="1" x14ac:dyDescent="0.35">
      <c r="A17" s="359" t="s">
        <v>229</v>
      </c>
      <c r="B17" s="337">
        <v>970.64038025406296</v>
      </c>
      <c r="C17" s="337">
        <v>965.77656999999999</v>
      </c>
      <c r="D17" s="338">
        <v>-4.8638102540619998</v>
      </c>
      <c r="E17" s="339">
        <v>0.99498907076900001</v>
      </c>
      <c r="F17" s="337">
        <v>965.77554709598201</v>
      </c>
      <c r="G17" s="338">
        <v>160.962591182664</v>
      </c>
      <c r="H17" s="340">
        <v>89.939769999999996</v>
      </c>
      <c r="I17" s="337">
        <v>181.56915000000001</v>
      </c>
      <c r="J17" s="338">
        <v>20.606558817336001</v>
      </c>
      <c r="K17" s="341">
        <v>0.18800346575900001</v>
      </c>
    </row>
    <row r="18" spans="1:11" ht="14.4" customHeight="1" thickBot="1" x14ac:dyDescent="0.35">
      <c r="A18" s="359" t="s">
        <v>230</v>
      </c>
      <c r="B18" s="337">
        <v>35.997721255552001</v>
      </c>
      <c r="C18" s="337">
        <v>32.321579999999997</v>
      </c>
      <c r="D18" s="338">
        <v>-3.6761412555519999</v>
      </c>
      <c r="E18" s="339">
        <v>0.89787850098999999</v>
      </c>
      <c r="F18" s="337">
        <v>33.002086201333</v>
      </c>
      <c r="G18" s="338">
        <v>5.500347700222</v>
      </c>
      <c r="H18" s="340">
        <v>3.4063699999999999</v>
      </c>
      <c r="I18" s="337">
        <v>3.4063699999999999</v>
      </c>
      <c r="J18" s="338">
        <v>-2.0939777002220001</v>
      </c>
      <c r="K18" s="341">
        <v>0.10321680815000001</v>
      </c>
    </row>
    <row r="19" spans="1:11" ht="14.4" customHeight="1" thickBot="1" x14ac:dyDescent="0.35">
      <c r="A19" s="359" t="s">
        <v>231</v>
      </c>
      <c r="B19" s="337">
        <v>30.236678500842</v>
      </c>
      <c r="C19" s="337">
        <v>33.004460000000002</v>
      </c>
      <c r="D19" s="338">
        <v>2.767781499157</v>
      </c>
      <c r="E19" s="339">
        <v>1.0915372202360001</v>
      </c>
      <c r="F19" s="337">
        <v>33.079513840559997</v>
      </c>
      <c r="G19" s="338">
        <v>5.5132523067600001</v>
      </c>
      <c r="H19" s="340">
        <v>3.59131</v>
      </c>
      <c r="I19" s="337">
        <v>5.7552500000000002</v>
      </c>
      <c r="J19" s="338">
        <v>0.241997693239</v>
      </c>
      <c r="K19" s="341">
        <v>0.17398230299600001</v>
      </c>
    </row>
    <row r="20" spans="1:11" ht="14.4" customHeight="1" thickBot="1" x14ac:dyDescent="0.35">
      <c r="A20" s="359" t="s">
        <v>232</v>
      </c>
      <c r="B20" s="337">
        <v>111.429102950323</v>
      </c>
      <c r="C20" s="337">
        <v>115.80829</v>
      </c>
      <c r="D20" s="338">
        <v>4.3791870496760001</v>
      </c>
      <c r="E20" s="339">
        <v>1.0393002091350001</v>
      </c>
      <c r="F20" s="337">
        <v>115.80741757675401</v>
      </c>
      <c r="G20" s="338">
        <v>19.301236262791999</v>
      </c>
      <c r="H20" s="340">
        <v>6.9839399999999996</v>
      </c>
      <c r="I20" s="337">
        <v>18.087350000000001</v>
      </c>
      <c r="J20" s="338">
        <v>-1.213886262792</v>
      </c>
      <c r="K20" s="341">
        <v>0.156184727873</v>
      </c>
    </row>
    <row r="21" spans="1:11" ht="14.4" customHeight="1" thickBot="1" x14ac:dyDescent="0.35">
      <c r="A21" s="359" t="s">
        <v>233</v>
      </c>
      <c r="B21" s="337">
        <v>0</v>
      </c>
      <c r="C21" s="337">
        <v>0.06</v>
      </c>
      <c r="D21" s="338">
        <v>0.06</v>
      </c>
      <c r="E21" s="347" t="s">
        <v>215</v>
      </c>
      <c r="F21" s="337">
        <v>6.1548945922999997E-2</v>
      </c>
      <c r="G21" s="338">
        <v>1.0258157653E-2</v>
      </c>
      <c r="H21" s="340">
        <v>4.9406564584124654E-324</v>
      </c>
      <c r="I21" s="337">
        <v>0.41299999999999998</v>
      </c>
      <c r="J21" s="338">
        <v>0.40274184234600002</v>
      </c>
      <c r="K21" s="341">
        <v>6.7101067906539997</v>
      </c>
    </row>
    <row r="22" spans="1:11" ht="14.4" customHeight="1" thickBot="1" x14ac:dyDescent="0.35">
      <c r="A22" s="359" t="s">
        <v>234</v>
      </c>
      <c r="B22" s="337">
        <v>49.823317907875001</v>
      </c>
      <c r="C22" s="337">
        <v>42.142130000000002</v>
      </c>
      <c r="D22" s="338">
        <v>-7.6811879078749996</v>
      </c>
      <c r="E22" s="339">
        <v>0.84583146545800003</v>
      </c>
      <c r="F22" s="337">
        <v>42.738461426302997</v>
      </c>
      <c r="G22" s="338">
        <v>7.1230769043829998</v>
      </c>
      <c r="H22" s="340">
        <v>2.0701000000000001</v>
      </c>
      <c r="I22" s="337">
        <v>7.6913</v>
      </c>
      <c r="J22" s="338">
        <v>0.56822309561600004</v>
      </c>
      <c r="K22" s="341">
        <v>0.17996202351000001</v>
      </c>
    </row>
    <row r="23" spans="1:11" ht="14.4" customHeight="1" thickBot="1" x14ac:dyDescent="0.35">
      <c r="A23" s="358" t="s">
        <v>235</v>
      </c>
      <c r="B23" s="342">
        <v>0</v>
      </c>
      <c r="C23" s="342">
        <v>3.81528</v>
      </c>
      <c r="D23" s="343">
        <v>3.81528</v>
      </c>
      <c r="E23" s="344" t="s">
        <v>215</v>
      </c>
      <c r="F23" s="342">
        <v>0</v>
      </c>
      <c r="G23" s="343">
        <v>0</v>
      </c>
      <c r="H23" s="345">
        <v>4.9406564584124654E-324</v>
      </c>
      <c r="I23" s="342">
        <v>9.8813129168249309E-324</v>
      </c>
      <c r="J23" s="343">
        <v>9.8813129168249309E-324</v>
      </c>
      <c r="K23" s="346" t="s">
        <v>215</v>
      </c>
    </row>
    <row r="24" spans="1:11" ht="14.4" customHeight="1" thickBot="1" x14ac:dyDescent="0.35">
      <c r="A24" s="359" t="s">
        <v>236</v>
      </c>
      <c r="B24" s="337">
        <v>0</v>
      </c>
      <c r="C24" s="337">
        <v>3.81528</v>
      </c>
      <c r="D24" s="338">
        <v>3.81528</v>
      </c>
      <c r="E24" s="347" t="s">
        <v>215</v>
      </c>
      <c r="F24" s="337">
        <v>0</v>
      </c>
      <c r="G24" s="338">
        <v>0</v>
      </c>
      <c r="H24" s="340">
        <v>4.9406564584124654E-324</v>
      </c>
      <c r="I24" s="337">
        <v>9.8813129168249309E-324</v>
      </c>
      <c r="J24" s="338">
        <v>9.8813129168249309E-324</v>
      </c>
      <c r="K24" s="348" t="s">
        <v>215</v>
      </c>
    </row>
    <row r="25" spans="1:11" ht="14.4" customHeight="1" thickBot="1" x14ac:dyDescent="0.35">
      <c r="A25" s="358" t="s">
        <v>237</v>
      </c>
      <c r="B25" s="342">
        <v>165.68994975723101</v>
      </c>
      <c r="C25" s="342">
        <v>172.09411</v>
      </c>
      <c r="D25" s="343">
        <v>6.4041602427689996</v>
      </c>
      <c r="E25" s="349">
        <v>1.0386514707259999</v>
      </c>
      <c r="F25" s="342">
        <v>170.601841284606</v>
      </c>
      <c r="G25" s="343">
        <v>28.433640214099999</v>
      </c>
      <c r="H25" s="345">
        <v>-1.24681</v>
      </c>
      <c r="I25" s="342">
        <v>14.510160000000001</v>
      </c>
      <c r="J25" s="343">
        <v>-13.9234802141</v>
      </c>
      <c r="K25" s="350">
        <v>8.5052774873999995E-2</v>
      </c>
    </row>
    <row r="26" spans="1:11" ht="14.4" customHeight="1" thickBot="1" x14ac:dyDescent="0.35">
      <c r="A26" s="359" t="s">
        <v>238</v>
      </c>
      <c r="B26" s="337">
        <v>33.001493852400003</v>
      </c>
      <c r="C26" s="337">
        <v>2.5059200000000001</v>
      </c>
      <c r="D26" s="338">
        <v>-30.4955738524</v>
      </c>
      <c r="E26" s="339">
        <v>7.5933532317999999E-2</v>
      </c>
      <c r="F26" s="337">
        <v>2.8920952648710001</v>
      </c>
      <c r="G26" s="338">
        <v>0.48201587747800001</v>
      </c>
      <c r="H26" s="340">
        <v>-9.0169499999999996</v>
      </c>
      <c r="I26" s="337">
        <v>-9.0169499999999996</v>
      </c>
      <c r="J26" s="338">
        <v>-9.4989658774779997</v>
      </c>
      <c r="K26" s="341">
        <v>-3.1177914882410001</v>
      </c>
    </row>
    <row r="27" spans="1:11" ht="14.4" customHeight="1" thickBot="1" x14ac:dyDescent="0.35">
      <c r="A27" s="359" t="s">
        <v>239</v>
      </c>
      <c r="B27" s="337">
        <v>14.743887104637</v>
      </c>
      <c r="C27" s="337">
        <v>13.60758</v>
      </c>
      <c r="D27" s="338">
        <v>-1.1363071046369999</v>
      </c>
      <c r="E27" s="339">
        <v>0.92293028991699999</v>
      </c>
      <c r="F27" s="337">
        <v>13.696818428427999</v>
      </c>
      <c r="G27" s="338">
        <v>2.282803071404</v>
      </c>
      <c r="H27" s="340">
        <v>0.56766000000000005</v>
      </c>
      <c r="I27" s="337">
        <v>1.7114199999999999</v>
      </c>
      <c r="J27" s="338">
        <v>-0.57138307140400002</v>
      </c>
      <c r="K27" s="341">
        <v>0.124950185252</v>
      </c>
    </row>
    <row r="28" spans="1:11" ht="14.4" customHeight="1" thickBot="1" x14ac:dyDescent="0.35">
      <c r="A28" s="359" t="s">
        <v>240</v>
      </c>
      <c r="B28" s="337">
        <v>11.671665332312999</v>
      </c>
      <c r="C28" s="337">
        <v>24.604579999999999</v>
      </c>
      <c r="D28" s="338">
        <v>12.932914667685999</v>
      </c>
      <c r="E28" s="339">
        <v>2.108060786482</v>
      </c>
      <c r="F28" s="337">
        <v>25.309455717633998</v>
      </c>
      <c r="G28" s="338">
        <v>4.2182426196050002</v>
      </c>
      <c r="H28" s="340">
        <v>2.48976</v>
      </c>
      <c r="I28" s="337">
        <v>4.1913</v>
      </c>
      <c r="J28" s="338">
        <v>-2.6942619604999999E-2</v>
      </c>
      <c r="K28" s="341">
        <v>0.165602138851</v>
      </c>
    </row>
    <row r="29" spans="1:11" ht="14.4" customHeight="1" thickBot="1" x14ac:dyDescent="0.35">
      <c r="A29" s="359" t="s">
        <v>241</v>
      </c>
      <c r="B29" s="337">
        <v>25.015052885187998</v>
      </c>
      <c r="C29" s="337">
        <v>27.703679999999999</v>
      </c>
      <c r="D29" s="338">
        <v>2.6886271148110001</v>
      </c>
      <c r="E29" s="339">
        <v>1.107480369006</v>
      </c>
      <c r="F29" s="337">
        <v>30.404511458742</v>
      </c>
      <c r="G29" s="338">
        <v>5.0674185764570003</v>
      </c>
      <c r="H29" s="340">
        <v>2.29129</v>
      </c>
      <c r="I29" s="337">
        <v>3.54922</v>
      </c>
      <c r="J29" s="338">
        <v>-1.5181985764570001</v>
      </c>
      <c r="K29" s="341">
        <v>0.11673333428800001</v>
      </c>
    </row>
    <row r="30" spans="1:11" ht="14.4" customHeight="1" thickBot="1" x14ac:dyDescent="0.35">
      <c r="A30" s="359" t="s">
        <v>242</v>
      </c>
      <c r="B30" s="337">
        <v>1.316708619203</v>
      </c>
      <c r="C30" s="337">
        <v>1.5640000000000001</v>
      </c>
      <c r="D30" s="338">
        <v>0.24729138079599999</v>
      </c>
      <c r="E30" s="339">
        <v>1.18781025444</v>
      </c>
      <c r="F30" s="337">
        <v>2.7159437498179999</v>
      </c>
      <c r="G30" s="338">
        <v>0.45265729163599999</v>
      </c>
      <c r="H30" s="340">
        <v>4.9406564584124654E-324</v>
      </c>
      <c r="I30" s="337">
        <v>9.8813129168249309E-324</v>
      </c>
      <c r="J30" s="338">
        <v>-0.45265729163599999</v>
      </c>
      <c r="K30" s="341">
        <v>4.9406564584124654E-324</v>
      </c>
    </row>
    <row r="31" spans="1:11" ht="14.4" customHeight="1" thickBot="1" x14ac:dyDescent="0.35">
      <c r="A31" s="359" t="s">
        <v>243</v>
      </c>
      <c r="B31" s="337">
        <v>14.977087466232</v>
      </c>
      <c r="C31" s="337">
        <v>24.640809999999998</v>
      </c>
      <c r="D31" s="338">
        <v>9.6637225337670003</v>
      </c>
      <c r="E31" s="339">
        <v>1.645233764946</v>
      </c>
      <c r="F31" s="337">
        <v>27.550664638493998</v>
      </c>
      <c r="G31" s="338">
        <v>4.5917774397480002</v>
      </c>
      <c r="H31" s="340">
        <v>0.60499999999999998</v>
      </c>
      <c r="I31" s="337">
        <v>3.8380000000000001</v>
      </c>
      <c r="J31" s="338">
        <v>-0.75377743974800004</v>
      </c>
      <c r="K31" s="341">
        <v>0.13930698407299999</v>
      </c>
    </row>
    <row r="32" spans="1:11" ht="14.4" customHeight="1" thickBot="1" x14ac:dyDescent="0.35">
      <c r="A32" s="359" t="s">
        <v>244</v>
      </c>
      <c r="B32" s="337">
        <v>4.9406564584124654E-324</v>
      </c>
      <c r="C32" s="337">
        <v>5.45</v>
      </c>
      <c r="D32" s="338">
        <v>5.45</v>
      </c>
      <c r="E32" s="347" t="s">
        <v>221</v>
      </c>
      <c r="F32" s="337">
        <v>0</v>
      </c>
      <c r="G32" s="338">
        <v>0</v>
      </c>
      <c r="H32" s="340">
        <v>4.9406564584124654E-324</v>
      </c>
      <c r="I32" s="337">
        <v>9.8813129168249309E-324</v>
      </c>
      <c r="J32" s="338">
        <v>9.8813129168249309E-324</v>
      </c>
      <c r="K32" s="348" t="s">
        <v>215</v>
      </c>
    </row>
    <row r="33" spans="1:11" ht="14.4" customHeight="1" thickBot="1" x14ac:dyDescent="0.35">
      <c r="A33" s="359" t="s">
        <v>245</v>
      </c>
      <c r="B33" s="337">
        <v>4.9406564584124654E-324</v>
      </c>
      <c r="C33" s="337">
        <v>38.261949999999999</v>
      </c>
      <c r="D33" s="338">
        <v>38.261949999999999</v>
      </c>
      <c r="E33" s="347" t="s">
        <v>221</v>
      </c>
      <c r="F33" s="337">
        <v>32.282513973188003</v>
      </c>
      <c r="G33" s="338">
        <v>5.3804189955309996</v>
      </c>
      <c r="H33" s="340">
        <v>1.81643</v>
      </c>
      <c r="I33" s="337">
        <v>3.7249500000000002</v>
      </c>
      <c r="J33" s="338">
        <v>-1.655468995531</v>
      </c>
      <c r="K33" s="341">
        <v>0.115385995127</v>
      </c>
    </row>
    <row r="34" spans="1:11" ht="14.4" customHeight="1" thickBot="1" x14ac:dyDescent="0.35">
      <c r="A34" s="359" t="s">
        <v>246</v>
      </c>
      <c r="B34" s="337">
        <v>4.9406564584124654E-324</v>
      </c>
      <c r="C34" s="337">
        <v>0.84599999999999997</v>
      </c>
      <c r="D34" s="338">
        <v>0.84599999999999997</v>
      </c>
      <c r="E34" s="347" t="s">
        <v>221</v>
      </c>
      <c r="F34" s="337">
        <v>0</v>
      </c>
      <c r="G34" s="338">
        <v>0</v>
      </c>
      <c r="H34" s="340">
        <v>4.9406564584124654E-324</v>
      </c>
      <c r="I34" s="337">
        <v>9.8813129168249309E-324</v>
      </c>
      <c r="J34" s="338">
        <v>9.8813129168249309E-324</v>
      </c>
      <c r="K34" s="348" t="s">
        <v>215</v>
      </c>
    </row>
    <row r="35" spans="1:11" ht="14.4" customHeight="1" thickBot="1" x14ac:dyDescent="0.35">
      <c r="A35" s="359" t="s">
        <v>247</v>
      </c>
      <c r="B35" s="337">
        <v>64.964054497253997</v>
      </c>
      <c r="C35" s="337">
        <v>32.909590000000001</v>
      </c>
      <c r="D35" s="338">
        <v>-32.054464497254003</v>
      </c>
      <c r="E35" s="339">
        <v>0.50658152811799995</v>
      </c>
      <c r="F35" s="337">
        <v>35.749838053428</v>
      </c>
      <c r="G35" s="338">
        <v>5.958306342238</v>
      </c>
      <c r="H35" s="340">
        <v>4.9406564584124654E-324</v>
      </c>
      <c r="I35" s="337">
        <v>6.5122200000000001</v>
      </c>
      <c r="J35" s="338">
        <v>0.55391365776199997</v>
      </c>
      <c r="K35" s="341">
        <v>0.182160825183</v>
      </c>
    </row>
    <row r="36" spans="1:11" ht="14.4" customHeight="1" thickBot="1" x14ac:dyDescent="0.35">
      <c r="A36" s="358" t="s">
        <v>248</v>
      </c>
      <c r="B36" s="342">
        <v>28.078352677297001</v>
      </c>
      <c r="C36" s="342">
        <v>25.839400000000001</v>
      </c>
      <c r="D36" s="343">
        <v>-2.2389526772970001</v>
      </c>
      <c r="E36" s="349">
        <v>0.92026054010199998</v>
      </c>
      <c r="F36" s="342">
        <v>21.150116570289001</v>
      </c>
      <c r="G36" s="343">
        <v>3.5250194283809999</v>
      </c>
      <c r="H36" s="345">
        <v>4.9406564584124654E-324</v>
      </c>
      <c r="I36" s="342">
        <v>18.265000000000001</v>
      </c>
      <c r="J36" s="343">
        <v>14.739980571618</v>
      </c>
      <c r="K36" s="350">
        <v>0.86358862086099997</v>
      </c>
    </row>
    <row r="37" spans="1:11" ht="14.4" customHeight="1" thickBot="1" x14ac:dyDescent="0.35">
      <c r="A37" s="359" t="s">
        <v>249</v>
      </c>
      <c r="B37" s="337">
        <v>1.0187344328729999</v>
      </c>
      <c r="C37" s="337">
        <v>0.28410000000000002</v>
      </c>
      <c r="D37" s="338">
        <v>-0.73463443287300001</v>
      </c>
      <c r="E37" s="339">
        <v>0.27887542703200002</v>
      </c>
      <c r="F37" s="337">
        <v>0.448994692822</v>
      </c>
      <c r="G37" s="338">
        <v>7.4832448802999996E-2</v>
      </c>
      <c r="H37" s="340">
        <v>4.9406564584124654E-324</v>
      </c>
      <c r="I37" s="337">
        <v>9.8813129168249309E-324</v>
      </c>
      <c r="J37" s="338">
        <v>-7.4832448802999996E-2</v>
      </c>
      <c r="K37" s="341">
        <v>1.9762625833649862E-323</v>
      </c>
    </row>
    <row r="38" spans="1:11" ht="14.4" customHeight="1" thickBot="1" x14ac:dyDescent="0.35">
      <c r="A38" s="359" t="s">
        <v>250</v>
      </c>
      <c r="B38" s="337">
        <v>26.043570997195999</v>
      </c>
      <c r="C38" s="337">
        <v>25.555299999999999</v>
      </c>
      <c r="D38" s="338">
        <v>-0.48827099719599998</v>
      </c>
      <c r="E38" s="339">
        <v>0.98125176469599995</v>
      </c>
      <c r="F38" s="337">
        <v>20.701121877466001</v>
      </c>
      <c r="G38" s="338">
        <v>3.4501869795769999</v>
      </c>
      <c r="H38" s="340">
        <v>4.9406564584124654E-324</v>
      </c>
      <c r="I38" s="337">
        <v>9.8813129168249309E-324</v>
      </c>
      <c r="J38" s="338">
        <v>-3.4501869795769999</v>
      </c>
      <c r="K38" s="341">
        <v>0</v>
      </c>
    </row>
    <row r="39" spans="1:11" ht="14.4" customHeight="1" thickBot="1" x14ac:dyDescent="0.35">
      <c r="A39" s="359" t="s">
        <v>251</v>
      </c>
      <c r="B39" s="337">
        <v>1.0160472472269999</v>
      </c>
      <c r="C39" s="337">
        <v>4.9406564584124654E-324</v>
      </c>
      <c r="D39" s="338">
        <v>-1.0160472472269999</v>
      </c>
      <c r="E39" s="339">
        <v>4.9406564584124654E-324</v>
      </c>
      <c r="F39" s="337">
        <v>4.9406564584124654E-324</v>
      </c>
      <c r="G39" s="338">
        <v>0</v>
      </c>
      <c r="H39" s="340">
        <v>4.9406564584124654E-324</v>
      </c>
      <c r="I39" s="337">
        <v>18.265000000000001</v>
      </c>
      <c r="J39" s="338">
        <v>18.265000000000001</v>
      </c>
      <c r="K39" s="348" t="s">
        <v>221</v>
      </c>
    </row>
    <row r="40" spans="1:11" ht="14.4" customHeight="1" thickBot="1" x14ac:dyDescent="0.35">
      <c r="A40" s="358" t="s">
        <v>252</v>
      </c>
      <c r="B40" s="342">
        <v>27.983754924842</v>
      </c>
      <c r="C40" s="342">
        <v>45.685879999999997</v>
      </c>
      <c r="D40" s="343">
        <v>17.702125075156999</v>
      </c>
      <c r="E40" s="349">
        <v>1.632585767088</v>
      </c>
      <c r="F40" s="342">
        <v>31.863843538878999</v>
      </c>
      <c r="G40" s="343">
        <v>5.3106405898129996</v>
      </c>
      <c r="H40" s="345">
        <v>1.7442599999999999</v>
      </c>
      <c r="I40" s="342">
        <v>3.2963800000000001</v>
      </c>
      <c r="J40" s="343">
        <v>-2.0142605898129999</v>
      </c>
      <c r="K40" s="350">
        <v>0.10345205204000001</v>
      </c>
    </row>
    <row r="41" spans="1:11" ht="14.4" customHeight="1" thickBot="1" x14ac:dyDescent="0.35">
      <c r="A41" s="359" t="s">
        <v>253</v>
      </c>
      <c r="B41" s="337">
        <v>12.337216973791</v>
      </c>
      <c r="C41" s="337">
        <v>23.323650000000001</v>
      </c>
      <c r="D41" s="338">
        <v>10.986433026207999</v>
      </c>
      <c r="E41" s="339">
        <v>1.8905114540450001</v>
      </c>
      <c r="F41" s="337">
        <v>20.863713821836001</v>
      </c>
      <c r="G41" s="338">
        <v>3.4772856369720002</v>
      </c>
      <c r="H41" s="340">
        <v>1.58334</v>
      </c>
      <c r="I41" s="337">
        <v>1.84954</v>
      </c>
      <c r="J41" s="338">
        <v>-1.627745636972</v>
      </c>
      <c r="K41" s="341">
        <v>8.8648646917999993E-2</v>
      </c>
    </row>
    <row r="42" spans="1:11" ht="14.4" customHeight="1" thickBot="1" x14ac:dyDescent="0.35">
      <c r="A42" s="359" t="s">
        <v>254</v>
      </c>
      <c r="B42" s="337">
        <v>4.9406564584124654E-324</v>
      </c>
      <c r="C42" s="337">
        <v>10.96</v>
      </c>
      <c r="D42" s="338">
        <v>10.96</v>
      </c>
      <c r="E42" s="347" t="s">
        <v>221</v>
      </c>
      <c r="F42" s="337">
        <v>0</v>
      </c>
      <c r="G42" s="338">
        <v>0</v>
      </c>
      <c r="H42" s="340">
        <v>4.9406564584124654E-324</v>
      </c>
      <c r="I42" s="337">
        <v>9.8813129168249309E-324</v>
      </c>
      <c r="J42" s="338">
        <v>9.8813129168249309E-324</v>
      </c>
      <c r="K42" s="348" t="s">
        <v>215</v>
      </c>
    </row>
    <row r="43" spans="1:11" ht="14.4" customHeight="1" thickBot="1" x14ac:dyDescent="0.35">
      <c r="A43" s="359" t="s">
        <v>255</v>
      </c>
      <c r="B43" s="337">
        <v>15.64653795105</v>
      </c>
      <c r="C43" s="337">
        <v>11.402229999999999</v>
      </c>
      <c r="D43" s="338">
        <v>-4.2443079510499997</v>
      </c>
      <c r="E43" s="339">
        <v>0.72873820621899998</v>
      </c>
      <c r="F43" s="337">
        <v>0</v>
      </c>
      <c r="G43" s="338">
        <v>0</v>
      </c>
      <c r="H43" s="340">
        <v>4.9406564584124654E-324</v>
      </c>
      <c r="I43" s="337">
        <v>9.8813129168249309E-324</v>
      </c>
      <c r="J43" s="338">
        <v>9.8813129168249309E-324</v>
      </c>
      <c r="K43" s="348" t="s">
        <v>215</v>
      </c>
    </row>
    <row r="44" spans="1:11" ht="14.4" customHeight="1" thickBot="1" x14ac:dyDescent="0.35">
      <c r="A44" s="359" t="s">
        <v>256</v>
      </c>
      <c r="B44" s="337">
        <v>4.9406564584124654E-324</v>
      </c>
      <c r="C44" s="337">
        <v>4.9406564584124654E-324</v>
      </c>
      <c r="D44" s="338">
        <v>0</v>
      </c>
      <c r="E44" s="339">
        <v>1</v>
      </c>
      <c r="F44" s="337">
        <v>7.0006733584010004</v>
      </c>
      <c r="G44" s="338">
        <v>1.1667788930659999</v>
      </c>
      <c r="H44" s="340">
        <v>0.16092000000000001</v>
      </c>
      <c r="I44" s="337">
        <v>1.4468399999999999</v>
      </c>
      <c r="J44" s="338">
        <v>0.28006110693300001</v>
      </c>
      <c r="K44" s="341">
        <v>0.20667154799599999</v>
      </c>
    </row>
    <row r="45" spans="1:11" ht="14.4" customHeight="1" thickBot="1" x14ac:dyDescent="0.35">
      <c r="A45" s="359" t="s">
        <v>257</v>
      </c>
      <c r="B45" s="337">
        <v>4.9406564584124654E-324</v>
      </c>
      <c r="C45" s="337">
        <v>4.9406564584124654E-324</v>
      </c>
      <c r="D45" s="338">
        <v>0</v>
      </c>
      <c r="E45" s="339">
        <v>1</v>
      </c>
      <c r="F45" s="337">
        <v>3.999456358642</v>
      </c>
      <c r="G45" s="338">
        <v>0.66657605977300005</v>
      </c>
      <c r="H45" s="340">
        <v>4.9406564584124654E-324</v>
      </c>
      <c r="I45" s="337">
        <v>9.8813129168249309E-324</v>
      </c>
      <c r="J45" s="338">
        <v>-0.66657605977300005</v>
      </c>
      <c r="K45" s="341">
        <v>4.9406564584124654E-324</v>
      </c>
    </row>
    <row r="46" spans="1:11" ht="14.4" customHeight="1" thickBot="1" x14ac:dyDescent="0.35">
      <c r="A46" s="358" t="s">
        <v>258</v>
      </c>
      <c r="B46" s="342">
        <v>4.9406564584124654E-324</v>
      </c>
      <c r="C46" s="342">
        <v>6.3849999999989997</v>
      </c>
      <c r="D46" s="343">
        <v>6.3849999999989997</v>
      </c>
      <c r="E46" s="344" t="s">
        <v>221</v>
      </c>
      <c r="F46" s="342">
        <v>0</v>
      </c>
      <c r="G46" s="343">
        <v>0</v>
      </c>
      <c r="H46" s="345">
        <v>10.76295</v>
      </c>
      <c r="I46" s="342">
        <v>11.42895</v>
      </c>
      <c r="J46" s="343">
        <v>11.42895</v>
      </c>
      <c r="K46" s="346" t="s">
        <v>215</v>
      </c>
    </row>
    <row r="47" spans="1:11" ht="14.4" customHeight="1" thickBot="1" x14ac:dyDescent="0.35">
      <c r="A47" s="359" t="s">
        <v>259</v>
      </c>
      <c r="B47" s="337">
        <v>4.9406564584124654E-324</v>
      </c>
      <c r="C47" s="337">
        <v>4.9406564584124654E-324</v>
      </c>
      <c r="D47" s="338">
        <v>0</v>
      </c>
      <c r="E47" s="339">
        <v>1</v>
      </c>
      <c r="F47" s="337">
        <v>4.9406564584124654E-324</v>
      </c>
      <c r="G47" s="338">
        <v>0</v>
      </c>
      <c r="H47" s="340">
        <v>10.76295</v>
      </c>
      <c r="I47" s="337">
        <v>11.42895</v>
      </c>
      <c r="J47" s="338">
        <v>11.42895</v>
      </c>
      <c r="K47" s="348" t="s">
        <v>221</v>
      </c>
    </row>
    <row r="48" spans="1:11" ht="14.4" customHeight="1" thickBot="1" x14ac:dyDescent="0.35">
      <c r="A48" s="359" t="s">
        <v>260</v>
      </c>
      <c r="B48" s="337">
        <v>4.9406564584124654E-324</v>
      </c>
      <c r="C48" s="337">
        <v>6.3849999999989997</v>
      </c>
      <c r="D48" s="338">
        <v>6.3849999999989997</v>
      </c>
      <c r="E48" s="347" t="s">
        <v>221</v>
      </c>
      <c r="F48" s="337">
        <v>0</v>
      </c>
      <c r="G48" s="338">
        <v>0</v>
      </c>
      <c r="H48" s="340">
        <v>4.9406564584124654E-324</v>
      </c>
      <c r="I48" s="337">
        <v>9.8813129168249309E-324</v>
      </c>
      <c r="J48" s="338">
        <v>9.8813129168249309E-324</v>
      </c>
      <c r="K48" s="348" t="s">
        <v>215</v>
      </c>
    </row>
    <row r="49" spans="1:11" ht="14.4" customHeight="1" thickBot="1" x14ac:dyDescent="0.35">
      <c r="A49" s="360" t="s">
        <v>261</v>
      </c>
      <c r="B49" s="342">
        <v>356.83891659683701</v>
      </c>
      <c r="C49" s="342">
        <v>627.27164000000005</v>
      </c>
      <c r="D49" s="343">
        <v>270.43272340316298</v>
      </c>
      <c r="E49" s="349">
        <v>1.7578565868939999</v>
      </c>
      <c r="F49" s="342">
        <v>576.59639128680999</v>
      </c>
      <c r="G49" s="343">
        <v>96.099398547801002</v>
      </c>
      <c r="H49" s="345">
        <v>8.5533699999999993</v>
      </c>
      <c r="I49" s="342">
        <v>28.185680000000001</v>
      </c>
      <c r="J49" s="343">
        <v>-67.913718547800997</v>
      </c>
      <c r="K49" s="350">
        <v>4.8882858834000002E-2</v>
      </c>
    </row>
    <row r="50" spans="1:11" ht="14.4" customHeight="1" thickBot="1" x14ac:dyDescent="0.35">
      <c r="A50" s="357" t="s">
        <v>34</v>
      </c>
      <c r="B50" s="337">
        <v>93.319100301633995</v>
      </c>
      <c r="C50" s="337">
        <v>146.27715000000001</v>
      </c>
      <c r="D50" s="338">
        <v>52.958049698365997</v>
      </c>
      <c r="E50" s="339">
        <v>1.5674942163729999</v>
      </c>
      <c r="F50" s="337">
        <v>145.40613290015901</v>
      </c>
      <c r="G50" s="338">
        <v>24.234355483359</v>
      </c>
      <c r="H50" s="340">
        <v>4.9406564584124654E-324</v>
      </c>
      <c r="I50" s="337">
        <v>3.0489999999999999</v>
      </c>
      <c r="J50" s="338">
        <v>-21.185355483359</v>
      </c>
      <c r="K50" s="341">
        <v>2.0968854196E-2</v>
      </c>
    </row>
    <row r="51" spans="1:11" ht="14.4" customHeight="1" thickBot="1" x14ac:dyDescent="0.35">
      <c r="A51" s="361" t="s">
        <v>262</v>
      </c>
      <c r="B51" s="337">
        <v>93.319100301633995</v>
      </c>
      <c r="C51" s="337">
        <v>146.27715000000001</v>
      </c>
      <c r="D51" s="338">
        <v>52.958049698365997</v>
      </c>
      <c r="E51" s="339">
        <v>1.5674942163729999</v>
      </c>
      <c r="F51" s="337">
        <v>145.40613290015901</v>
      </c>
      <c r="G51" s="338">
        <v>24.234355483359</v>
      </c>
      <c r="H51" s="340">
        <v>4.9406564584124654E-324</v>
      </c>
      <c r="I51" s="337">
        <v>3.0489999999999999</v>
      </c>
      <c r="J51" s="338">
        <v>-21.185355483359</v>
      </c>
      <c r="K51" s="341">
        <v>2.0968854196E-2</v>
      </c>
    </row>
    <row r="52" spans="1:11" ht="14.4" customHeight="1" thickBot="1" x14ac:dyDescent="0.35">
      <c r="A52" s="359" t="s">
        <v>263</v>
      </c>
      <c r="B52" s="337">
        <v>36.598071418829001</v>
      </c>
      <c r="C52" s="337">
        <v>90.962209999999999</v>
      </c>
      <c r="D52" s="338">
        <v>54.364138581170003</v>
      </c>
      <c r="E52" s="339">
        <v>2.4854372504770001</v>
      </c>
      <c r="F52" s="337">
        <v>83.879879755079003</v>
      </c>
      <c r="G52" s="338">
        <v>13.979979959178999</v>
      </c>
      <c r="H52" s="340">
        <v>4.9406564584124654E-324</v>
      </c>
      <c r="I52" s="337">
        <v>3.0489999999999999</v>
      </c>
      <c r="J52" s="338">
        <v>-10.930979959179</v>
      </c>
      <c r="K52" s="341">
        <v>3.6349599080000003E-2</v>
      </c>
    </row>
    <row r="53" spans="1:11" ht="14.4" customHeight="1" thickBot="1" x14ac:dyDescent="0.35">
      <c r="A53" s="359" t="s">
        <v>264</v>
      </c>
      <c r="B53" s="337">
        <v>4.9406564584124654E-324</v>
      </c>
      <c r="C53" s="337">
        <v>0.48399999999999999</v>
      </c>
      <c r="D53" s="338">
        <v>0.48399999999999999</v>
      </c>
      <c r="E53" s="347" t="s">
        <v>221</v>
      </c>
      <c r="F53" s="337">
        <v>0</v>
      </c>
      <c r="G53" s="338">
        <v>0</v>
      </c>
      <c r="H53" s="340">
        <v>4.9406564584124654E-324</v>
      </c>
      <c r="I53" s="337">
        <v>9.8813129168249309E-324</v>
      </c>
      <c r="J53" s="338">
        <v>9.8813129168249309E-324</v>
      </c>
      <c r="K53" s="348" t="s">
        <v>215</v>
      </c>
    </row>
    <row r="54" spans="1:11" ht="14.4" customHeight="1" thickBot="1" x14ac:dyDescent="0.35">
      <c r="A54" s="359" t="s">
        <v>265</v>
      </c>
      <c r="B54" s="337">
        <v>50.721505847045997</v>
      </c>
      <c r="C54" s="337">
        <v>42.939900000000002</v>
      </c>
      <c r="D54" s="338">
        <v>-7.7816058470450002</v>
      </c>
      <c r="E54" s="339">
        <v>0.84658172668300002</v>
      </c>
      <c r="F54" s="337">
        <v>55.834531247377001</v>
      </c>
      <c r="G54" s="338">
        <v>9.3057552078960004</v>
      </c>
      <c r="H54" s="340">
        <v>4.9406564584124654E-324</v>
      </c>
      <c r="I54" s="337">
        <v>9.8813129168249309E-324</v>
      </c>
      <c r="J54" s="338">
        <v>-9.3057552078960004</v>
      </c>
      <c r="K54" s="341">
        <v>0</v>
      </c>
    </row>
    <row r="55" spans="1:11" ht="14.4" customHeight="1" thickBot="1" x14ac:dyDescent="0.35">
      <c r="A55" s="359" t="s">
        <v>266</v>
      </c>
      <c r="B55" s="337">
        <v>4.9995967953439999</v>
      </c>
      <c r="C55" s="337">
        <v>6.6791999999999998</v>
      </c>
      <c r="D55" s="338">
        <v>1.679603204655</v>
      </c>
      <c r="E55" s="339">
        <v>1.3359477320690001</v>
      </c>
      <c r="F55" s="337">
        <v>0</v>
      </c>
      <c r="G55" s="338">
        <v>0</v>
      </c>
      <c r="H55" s="340">
        <v>4.9406564584124654E-324</v>
      </c>
      <c r="I55" s="337">
        <v>9.8813129168249309E-324</v>
      </c>
      <c r="J55" s="338">
        <v>9.8813129168249309E-324</v>
      </c>
      <c r="K55" s="348" t="s">
        <v>215</v>
      </c>
    </row>
    <row r="56" spans="1:11" ht="14.4" customHeight="1" thickBot="1" x14ac:dyDescent="0.35">
      <c r="A56" s="359" t="s">
        <v>267</v>
      </c>
      <c r="B56" s="337">
        <v>0.99992624041400002</v>
      </c>
      <c r="C56" s="337">
        <v>5.2118399999999996</v>
      </c>
      <c r="D56" s="338">
        <v>4.2119137595850002</v>
      </c>
      <c r="E56" s="339">
        <v>5.2122244515169998</v>
      </c>
      <c r="F56" s="337">
        <v>5.6917218977020001</v>
      </c>
      <c r="G56" s="338">
        <v>0.94862031628300003</v>
      </c>
      <c r="H56" s="340">
        <v>4.9406564584124654E-324</v>
      </c>
      <c r="I56" s="337">
        <v>9.8813129168249309E-324</v>
      </c>
      <c r="J56" s="338">
        <v>-0.94862031628300003</v>
      </c>
      <c r="K56" s="341">
        <v>0</v>
      </c>
    </row>
    <row r="57" spans="1:11" ht="14.4" customHeight="1" thickBot="1" x14ac:dyDescent="0.35">
      <c r="A57" s="362" t="s">
        <v>35</v>
      </c>
      <c r="B57" s="342">
        <v>0</v>
      </c>
      <c r="C57" s="342">
        <v>31.824000000000002</v>
      </c>
      <c r="D57" s="343">
        <v>31.824000000000002</v>
      </c>
      <c r="E57" s="344" t="s">
        <v>215</v>
      </c>
      <c r="F57" s="342">
        <v>0</v>
      </c>
      <c r="G57" s="343">
        <v>0</v>
      </c>
      <c r="H57" s="345">
        <v>1.012</v>
      </c>
      <c r="I57" s="342">
        <v>1.012</v>
      </c>
      <c r="J57" s="343">
        <v>1.012</v>
      </c>
      <c r="K57" s="346" t="s">
        <v>215</v>
      </c>
    </row>
    <row r="58" spans="1:11" ht="14.4" customHeight="1" thickBot="1" x14ac:dyDescent="0.35">
      <c r="A58" s="358" t="s">
        <v>268</v>
      </c>
      <c r="B58" s="342">
        <v>0</v>
      </c>
      <c r="C58" s="342">
        <v>26.666</v>
      </c>
      <c r="D58" s="343">
        <v>26.666</v>
      </c>
      <c r="E58" s="344" t="s">
        <v>215</v>
      </c>
      <c r="F58" s="342">
        <v>0</v>
      </c>
      <c r="G58" s="343">
        <v>0</v>
      </c>
      <c r="H58" s="345">
        <v>1.012</v>
      </c>
      <c r="I58" s="342">
        <v>1.012</v>
      </c>
      <c r="J58" s="343">
        <v>1.012</v>
      </c>
      <c r="K58" s="346" t="s">
        <v>215</v>
      </c>
    </row>
    <row r="59" spans="1:11" ht="14.4" customHeight="1" thickBot="1" x14ac:dyDescent="0.35">
      <c r="A59" s="359" t="s">
        <v>269</v>
      </c>
      <c r="B59" s="337">
        <v>0</v>
      </c>
      <c r="C59" s="337">
        <v>17.986000000000001</v>
      </c>
      <c r="D59" s="338">
        <v>17.986000000000001</v>
      </c>
      <c r="E59" s="347" t="s">
        <v>215</v>
      </c>
      <c r="F59" s="337">
        <v>0</v>
      </c>
      <c r="G59" s="338">
        <v>0</v>
      </c>
      <c r="H59" s="340">
        <v>1.012</v>
      </c>
      <c r="I59" s="337">
        <v>1.012</v>
      </c>
      <c r="J59" s="338">
        <v>1.012</v>
      </c>
      <c r="K59" s="348" t="s">
        <v>215</v>
      </c>
    </row>
    <row r="60" spans="1:11" ht="14.4" customHeight="1" thickBot="1" x14ac:dyDescent="0.35">
      <c r="A60" s="359" t="s">
        <v>270</v>
      </c>
      <c r="B60" s="337">
        <v>0</v>
      </c>
      <c r="C60" s="337">
        <v>8.68</v>
      </c>
      <c r="D60" s="338">
        <v>8.68</v>
      </c>
      <c r="E60" s="347" t="s">
        <v>215</v>
      </c>
      <c r="F60" s="337">
        <v>0</v>
      </c>
      <c r="G60" s="338">
        <v>0</v>
      </c>
      <c r="H60" s="340">
        <v>4.9406564584124654E-324</v>
      </c>
      <c r="I60" s="337">
        <v>9.8813129168249309E-324</v>
      </c>
      <c r="J60" s="338">
        <v>9.8813129168249309E-324</v>
      </c>
      <c r="K60" s="348" t="s">
        <v>215</v>
      </c>
    </row>
    <row r="61" spans="1:11" ht="14.4" customHeight="1" thickBot="1" x14ac:dyDescent="0.35">
      <c r="A61" s="358" t="s">
        <v>271</v>
      </c>
      <c r="B61" s="342">
        <v>4.9406564584124654E-324</v>
      </c>
      <c r="C61" s="342">
        <v>5.1580000000000004</v>
      </c>
      <c r="D61" s="343">
        <v>5.1580000000000004</v>
      </c>
      <c r="E61" s="344" t="s">
        <v>221</v>
      </c>
      <c r="F61" s="342">
        <v>0</v>
      </c>
      <c r="G61" s="343">
        <v>0</v>
      </c>
      <c r="H61" s="345">
        <v>4.9406564584124654E-324</v>
      </c>
      <c r="I61" s="342">
        <v>9.8813129168249309E-324</v>
      </c>
      <c r="J61" s="343">
        <v>9.8813129168249309E-324</v>
      </c>
      <c r="K61" s="346" t="s">
        <v>215</v>
      </c>
    </row>
    <row r="62" spans="1:11" ht="14.4" customHeight="1" thickBot="1" x14ac:dyDescent="0.35">
      <c r="A62" s="359" t="s">
        <v>272</v>
      </c>
      <c r="B62" s="337">
        <v>4.9406564584124654E-324</v>
      </c>
      <c r="C62" s="337">
        <v>5.1580000000000004</v>
      </c>
      <c r="D62" s="338">
        <v>5.1580000000000004</v>
      </c>
      <c r="E62" s="347" t="s">
        <v>221</v>
      </c>
      <c r="F62" s="337">
        <v>0</v>
      </c>
      <c r="G62" s="338">
        <v>0</v>
      </c>
      <c r="H62" s="340">
        <v>4.9406564584124654E-324</v>
      </c>
      <c r="I62" s="337">
        <v>9.8813129168249309E-324</v>
      </c>
      <c r="J62" s="338">
        <v>9.8813129168249309E-324</v>
      </c>
      <c r="K62" s="348" t="s">
        <v>215</v>
      </c>
    </row>
    <row r="63" spans="1:11" ht="14.4" customHeight="1" thickBot="1" x14ac:dyDescent="0.35">
      <c r="A63" s="357" t="s">
        <v>36</v>
      </c>
      <c r="B63" s="337">
        <v>263.51981629520299</v>
      </c>
      <c r="C63" s="337">
        <v>449.17048999999997</v>
      </c>
      <c r="D63" s="338">
        <v>185.65067370479699</v>
      </c>
      <c r="E63" s="339">
        <v>1.7045036548470001</v>
      </c>
      <c r="F63" s="337">
        <v>431.19025838665101</v>
      </c>
      <c r="G63" s="338">
        <v>71.865043064440997</v>
      </c>
      <c r="H63" s="340">
        <v>7.5413699999999997</v>
      </c>
      <c r="I63" s="337">
        <v>24.124680000000001</v>
      </c>
      <c r="J63" s="338">
        <v>-47.740363064440999</v>
      </c>
      <c r="K63" s="341">
        <v>5.5949037648000001E-2</v>
      </c>
    </row>
    <row r="64" spans="1:11" ht="14.4" customHeight="1" thickBot="1" x14ac:dyDescent="0.35">
      <c r="A64" s="358" t="s">
        <v>273</v>
      </c>
      <c r="B64" s="342">
        <v>1.5496644510919999</v>
      </c>
      <c r="C64" s="342">
        <v>5.19937</v>
      </c>
      <c r="D64" s="343">
        <v>3.6497055489069998</v>
      </c>
      <c r="E64" s="349">
        <v>3.355158593419</v>
      </c>
      <c r="F64" s="342">
        <v>2.0781818738269999</v>
      </c>
      <c r="G64" s="343">
        <v>0.34636364563700001</v>
      </c>
      <c r="H64" s="345">
        <v>4.9406564584124654E-324</v>
      </c>
      <c r="I64" s="342">
        <v>9.8813129168249309E-324</v>
      </c>
      <c r="J64" s="343">
        <v>-0.34636364563700001</v>
      </c>
      <c r="K64" s="350">
        <v>4.9406564584124654E-324</v>
      </c>
    </row>
    <row r="65" spans="1:11" ht="14.4" customHeight="1" thickBot="1" x14ac:dyDescent="0.35">
      <c r="A65" s="359" t="s">
        <v>274</v>
      </c>
      <c r="B65" s="337">
        <v>1.5496644510919999</v>
      </c>
      <c r="C65" s="337">
        <v>5.19937</v>
      </c>
      <c r="D65" s="338">
        <v>3.6497055489069998</v>
      </c>
      <c r="E65" s="339">
        <v>3.355158593419</v>
      </c>
      <c r="F65" s="337">
        <v>2.0781818738269999</v>
      </c>
      <c r="G65" s="338">
        <v>0.34636364563700001</v>
      </c>
      <c r="H65" s="340">
        <v>4.9406564584124654E-324</v>
      </c>
      <c r="I65" s="337">
        <v>9.8813129168249309E-324</v>
      </c>
      <c r="J65" s="338">
        <v>-0.34636364563700001</v>
      </c>
      <c r="K65" s="341">
        <v>4.9406564584124654E-324</v>
      </c>
    </row>
    <row r="66" spans="1:11" ht="14.4" customHeight="1" thickBot="1" x14ac:dyDescent="0.35">
      <c r="A66" s="358" t="s">
        <v>275</v>
      </c>
      <c r="B66" s="342">
        <v>63.592415441878998</v>
      </c>
      <c r="C66" s="342">
        <v>41.702950000000001</v>
      </c>
      <c r="D66" s="343">
        <v>-21.889465441879</v>
      </c>
      <c r="E66" s="349">
        <v>0.65578496602400005</v>
      </c>
      <c r="F66" s="342">
        <v>44.350146169155003</v>
      </c>
      <c r="G66" s="343">
        <v>7.3916910281919996</v>
      </c>
      <c r="H66" s="345">
        <v>0.52325999999999995</v>
      </c>
      <c r="I66" s="342">
        <v>1.12741</v>
      </c>
      <c r="J66" s="343">
        <v>-6.2642810281920003</v>
      </c>
      <c r="K66" s="350">
        <v>2.5420660299E-2</v>
      </c>
    </row>
    <row r="67" spans="1:11" ht="14.4" customHeight="1" thickBot="1" x14ac:dyDescent="0.35">
      <c r="A67" s="359" t="s">
        <v>276</v>
      </c>
      <c r="B67" s="337">
        <v>6.5817198489000001E-2</v>
      </c>
      <c r="C67" s="337">
        <v>0.42999999999900002</v>
      </c>
      <c r="D67" s="338">
        <v>0.36418280150999999</v>
      </c>
      <c r="E67" s="339">
        <v>6.5332467784309998</v>
      </c>
      <c r="F67" s="337">
        <v>0.43988407792799999</v>
      </c>
      <c r="G67" s="338">
        <v>7.3314012987999999E-2</v>
      </c>
      <c r="H67" s="340">
        <v>4.9406564584124654E-324</v>
      </c>
      <c r="I67" s="337">
        <v>9.8813129168249309E-324</v>
      </c>
      <c r="J67" s="338">
        <v>-7.3314012987999999E-2</v>
      </c>
      <c r="K67" s="341">
        <v>2.4703282292062327E-323</v>
      </c>
    </row>
    <row r="68" spans="1:11" ht="14.4" customHeight="1" thickBot="1" x14ac:dyDescent="0.35">
      <c r="A68" s="359" t="s">
        <v>277</v>
      </c>
      <c r="B68" s="337">
        <v>58.436364454646998</v>
      </c>
      <c r="C68" s="337">
        <v>37.097999999999999</v>
      </c>
      <c r="D68" s="338">
        <v>-21.338364454646001</v>
      </c>
      <c r="E68" s="339">
        <v>0.63484442172599997</v>
      </c>
      <c r="F68" s="337">
        <v>39.989183536014998</v>
      </c>
      <c r="G68" s="338">
        <v>6.6648639226690003</v>
      </c>
      <c r="H68" s="340">
        <v>4.9406564584124654E-324</v>
      </c>
      <c r="I68" s="337">
        <v>9.8813129168249309E-324</v>
      </c>
      <c r="J68" s="338">
        <v>-6.6648639226690003</v>
      </c>
      <c r="K68" s="341">
        <v>0</v>
      </c>
    </row>
    <row r="69" spans="1:11" ht="14.4" customHeight="1" thickBot="1" x14ac:dyDescent="0.35">
      <c r="A69" s="359" t="s">
        <v>278</v>
      </c>
      <c r="B69" s="337">
        <v>5.0902337887420002</v>
      </c>
      <c r="C69" s="337">
        <v>4.1749499999999999</v>
      </c>
      <c r="D69" s="338">
        <v>-0.915283788742</v>
      </c>
      <c r="E69" s="339">
        <v>0.82018826114300003</v>
      </c>
      <c r="F69" s="337">
        <v>3.921078555212</v>
      </c>
      <c r="G69" s="338">
        <v>0.65351309253500001</v>
      </c>
      <c r="H69" s="340">
        <v>0.52325999999999995</v>
      </c>
      <c r="I69" s="337">
        <v>1.12741</v>
      </c>
      <c r="J69" s="338">
        <v>0.47389690746399998</v>
      </c>
      <c r="K69" s="341">
        <v>0.28752548160500002</v>
      </c>
    </row>
    <row r="70" spans="1:11" ht="14.4" customHeight="1" thickBot="1" x14ac:dyDescent="0.35">
      <c r="A70" s="358" t="s">
        <v>279</v>
      </c>
      <c r="B70" s="342">
        <v>16.930613168490002</v>
      </c>
      <c r="C70" s="342">
        <v>14.470319999999999</v>
      </c>
      <c r="D70" s="343">
        <v>-2.4602931684899998</v>
      </c>
      <c r="E70" s="349">
        <v>0.85468375279700004</v>
      </c>
      <c r="F70" s="342">
        <v>13.441202956276999</v>
      </c>
      <c r="G70" s="343">
        <v>2.2402004927119998</v>
      </c>
      <c r="H70" s="345">
        <v>0.81311999999999995</v>
      </c>
      <c r="I70" s="342">
        <v>2.1280399999999999</v>
      </c>
      <c r="J70" s="343">
        <v>-0.112160492712</v>
      </c>
      <c r="K70" s="350">
        <v>0.158322138793</v>
      </c>
    </row>
    <row r="71" spans="1:11" ht="14.4" customHeight="1" thickBot="1" x14ac:dyDescent="0.35">
      <c r="A71" s="359" t="s">
        <v>280</v>
      </c>
      <c r="B71" s="337">
        <v>1.9994809029539999</v>
      </c>
      <c r="C71" s="337">
        <v>1.62</v>
      </c>
      <c r="D71" s="338">
        <v>-0.379480902954</v>
      </c>
      <c r="E71" s="339">
        <v>0.81021028888299995</v>
      </c>
      <c r="F71" s="337">
        <v>1.6780130766300001</v>
      </c>
      <c r="G71" s="338">
        <v>0.27966884610499998</v>
      </c>
      <c r="H71" s="340">
        <v>4.9406564584124654E-324</v>
      </c>
      <c r="I71" s="337">
        <v>0.40500000000000003</v>
      </c>
      <c r="J71" s="338">
        <v>0.12533115389400001</v>
      </c>
      <c r="K71" s="341">
        <v>0.241356879538</v>
      </c>
    </row>
    <row r="72" spans="1:11" ht="14.4" customHeight="1" thickBot="1" x14ac:dyDescent="0.35">
      <c r="A72" s="359" t="s">
        <v>281</v>
      </c>
      <c r="B72" s="337">
        <v>14.931132265536</v>
      </c>
      <c r="C72" s="337">
        <v>12.85032</v>
      </c>
      <c r="D72" s="338">
        <v>-2.0808122655360002</v>
      </c>
      <c r="E72" s="339">
        <v>0.86063935215800003</v>
      </c>
      <c r="F72" s="337">
        <v>11.763189879645999</v>
      </c>
      <c r="G72" s="338">
        <v>1.960531646607</v>
      </c>
      <c r="H72" s="340">
        <v>0.81311999999999995</v>
      </c>
      <c r="I72" s="337">
        <v>1.7230399999999999</v>
      </c>
      <c r="J72" s="338">
        <v>-0.23749164660700001</v>
      </c>
      <c r="K72" s="341">
        <v>0.146477275095</v>
      </c>
    </row>
    <row r="73" spans="1:11" ht="14.4" customHeight="1" thickBot="1" x14ac:dyDescent="0.35">
      <c r="A73" s="358" t="s">
        <v>282</v>
      </c>
      <c r="B73" s="342">
        <v>51.722303332476002</v>
      </c>
      <c r="C73" s="342">
        <v>53.87773</v>
      </c>
      <c r="D73" s="343">
        <v>2.1554266675229998</v>
      </c>
      <c r="E73" s="349">
        <v>1.041673060336</v>
      </c>
      <c r="F73" s="342">
        <v>55.319776613098</v>
      </c>
      <c r="G73" s="343">
        <v>9.2199627688489993</v>
      </c>
      <c r="H73" s="345">
        <v>3.4054899999999999</v>
      </c>
      <c r="I73" s="342">
        <v>7.1191300000000002</v>
      </c>
      <c r="J73" s="343">
        <v>-2.1008327688490001</v>
      </c>
      <c r="K73" s="350">
        <v>0.12869050520100001</v>
      </c>
    </row>
    <row r="74" spans="1:11" ht="14.4" customHeight="1" thickBot="1" x14ac:dyDescent="0.35">
      <c r="A74" s="359" t="s">
        <v>283</v>
      </c>
      <c r="B74" s="337">
        <v>10.000010154197</v>
      </c>
      <c r="C74" s="337">
        <v>11.056100000000001</v>
      </c>
      <c r="D74" s="338">
        <v>1.056089845802</v>
      </c>
      <c r="E74" s="339">
        <v>1.1056088773420001</v>
      </c>
      <c r="F74" s="337">
        <v>12.023745812851001</v>
      </c>
      <c r="G74" s="338">
        <v>2.0039576354749999</v>
      </c>
      <c r="H74" s="340">
        <v>4.9406564584124654E-324</v>
      </c>
      <c r="I74" s="337">
        <v>9.8813129168249309E-324</v>
      </c>
      <c r="J74" s="338">
        <v>-2.0039576354749999</v>
      </c>
      <c r="K74" s="341">
        <v>0</v>
      </c>
    </row>
    <row r="75" spans="1:11" ht="14.4" customHeight="1" thickBot="1" x14ac:dyDescent="0.35">
      <c r="A75" s="359" t="s">
        <v>284</v>
      </c>
      <c r="B75" s="337">
        <v>41.722293178278001</v>
      </c>
      <c r="C75" s="337">
        <v>42.821629999999999</v>
      </c>
      <c r="D75" s="338">
        <v>1.099336821721</v>
      </c>
      <c r="E75" s="339">
        <v>1.0263489069739999</v>
      </c>
      <c r="F75" s="337">
        <v>43.296030800247003</v>
      </c>
      <c r="G75" s="338">
        <v>7.2160051333739998</v>
      </c>
      <c r="H75" s="340">
        <v>3.4054899999999999</v>
      </c>
      <c r="I75" s="337">
        <v>7.1191300000000002</v>
      </c>
      <c r="J75" s="338">
        <v>-9.6875133374E-2</v>
      </c>
      <c r="K75" s="341">
        <v>0.164429160558</v>
      </c>
    </row>
    <row r="76" spans="1:11" ht="14.4" customHeight="1" thickBot="1" x14ac:dyDescent="0.35">
      <c r="A76" s="358" t="s">
        <v>285</v>
      </c>
      <c r="B76" s="342">
        <v>129.724819901264</v>
      </c>
      <c r="C76" s="342">
        <v>243.23299</v>
      </c>
      <c r="D76" s="343">
        <v>113.508170098736</v>
      </c>
      <c r="E76" s="349">
        <v>1.8749919266420001</v>
      </c>
      <c r="F76" s="342">
        <v>236.00095077429299</v>
      </c>
      <c r="G76" s="343">
        <v>39.333491795714998</v>
      </c>
      <c r="H76" s="345">
        <v>2.3595000000000002</v>
      </c>
      <c r="I76" s="342">
        <v>13.3101</v>
      </c>
      <c r="J76" s="343">
        <v>-26.023391795715</v>
      </c>
      <c r="K76" s="350">
        <v>5.6398501599999998E-2</v>
      </c>
    </row>
    <row r="77" spans="1:11" ht="14.4" customHeight="1" thickBot="1" x14ac:dyDescent="0.35">
      <c r="A77" s="359" t="s">
        <v>286</v>
      </c>
      <c r="B77" s="337">
        <v>129.28764329400801</v>
      </c>
      <c r="C77" s="337">
        <v>141.28826000000001</v>
      </c>
      <c r="D77" s="338">
        <v>12.000616705991</v>
      </c>
      <c r="E77" s="339">
        <v>1.092821064722</v>
      </c>
      <c r="F77" s="337">
        <v>139.686553552552</v>
      </c>
      <c r="G77" s="338">
        <v>23.281092258758001</v>
      </c>
      <c r="H77" s="340">
        <v>2.3595000000000002</v>
      </c>
      <c r="I77" s="337">
        <v>13.3101</v>
      </c>
      <c r="J77" s="338">
        <v>-9.9709922587580007</v>
      </c>
      <c r="K77" s="341">
        <v>9.5285477817000003E-2</v>
      </c>
    </row>
    <row r="78" spans="1:11" ht="14.4" customHeight="1" thickBot="1" x14ac:dyDescent="0.35">
      <c r="A78" s="359" t="s">
        <v>287</v>
      </c>
      <c r="B78" s="337">
        <v>0.43717660725500002</v>
      </c>
      <c r="C78" s="337">
        <v>101.94473000000001</v>
      </c>
      <c r="D78" s="338">
        <v>101.507553392744</v>
      </c>
      <c r="E78" s="339">
        <v>233.18889507819</v>
      </c>
      <c r="F78" s="337">
        <v>96.314397221739995</v>
      </c>
      <c r="G78" s="338">
        <v>16.052399536955999</v>
      </c>
      <c r="H78" s="340">
        <v>4.9406564584124654E-324</v>
      </c>
      <c r="I78" s="337">
        <v>9.8813129168249309E-324</v>
      </c>
      <c r="J78" s="338">
        <v>-16.052399536955999</v>
      </c>
      <c r="K78" s="341">
        <v>0</v>
      </c>
    </row>
    <row r="79" spans="1:11" ht="14.4" customHeight="1" thickBot="1" x14ac:dyDescent="0.35">
      <c r="A79" s="358" t="s">
        <v>288</v>
      </c>
      <c r="B79" s="342">
        <v>0</v>
      </c>
      <c r="C79" s="342">
        <v>89.356129999999993</v>
      </c>
      <c r="D79" s="343">
        <v>89.356129999999993</v>
      </c>
      <c r="E79" s="344" t="s">
        <v>215</v>
      </c>
      <c r="F79" s="342">
        <v>79.999999999997996</v>
      </c>
      <c r="G79" s="343">
        <v>13.333333333333</v>
      </c>
      <c r="H79" s="345">
        <v>0.44</v>
      </c>
      <c r="I79" s="342">
        <v>0.44</v>
      </c>
      <c r="J79" s="343">
        <v>-12.893333333333</v>
      </c>
      <c r="K79" s="350">
        <v>5.4999999999999997E-3</v>
      </c>
    </row>
    <row r="80" spans="1:11" ht="14.4" customHeight="1" thickBot="1" x14ac:dyDescent="0.35">
      <c r="A80" s="359" t="s">
        <v>289</v>
      </c>
      <c r="B80" s="337">
        <v>0</v>
      </c>
      <c r="C80" s="337">
        <v>36.854999999999997</v>
      </c>
      <c r="D80" s="338">
        <v>36.854999999999997</v>
      </c>
      <c r="E80" s="347" t="s">
        <v>215</v>
      </c>
      <c r="F80" s="337">
        <v>0</v>
      </c>
      <c r="G80" s="338">
        <v>0</v>
      </c>
      <c r="H80" s="340">
        <v>4.9406564584124654E-324</v>
      </c>
      <c r="I80" s="337">
        <v>9.8813129168249309E-324</v>
      </c>
      <c r="J80" s="338">
        <v>9.8813129168249309E-324</v>
      </c>
      <c r="K80" s="348" t="s">
        <v>215</v>
      </c>
    </row>
    <row r="81" spans="1:11" ht="14.4" customHeight="1" thickBot="1" x14ac:dyDescent="0.35">
      <c r="A81" s="359" t="s">
        <v>290</v>
      </c>
      <c r="B81" s="337">
        <v>0</v>
      </c>
      <c r="C81" s="337">
        <v>23.461130000000001</v>
      </c>
      <c r="D81" s="338">
        <v>23.461130000000001</v>
      </c>
      <c r="E81" s="347" t="s">
        <v>215</v>
      </c>
      <c r="F81" s="337">
        <v>29.999999999999002</v>
      </c>
      <c r="G81" s="338">
        <v>4.9999999999989999</v>
      </c>
      <c r="H81" s="340">
        <v>0.44</v>
      </c>
      <c r="I81" s="337">
        <v>0.44</v>
      </c>
      <c r="J81" s="338">
        <v>-4.5599999999990004</v>
      </c>
      <c r="K81" s="341">
        <v>1.4666666666E-2</v>
      </c>
    </row>
    <row r="82" spans="1:11" ht="14.4" customHeight="1" thickBot="1" x14ac:dyDescent="0.35">
      <c r="A82" s="359" t="s">
        <v>291</v>
      </c>
      <c r="B82" s="337">
        <v>4.9406564584124654E-324</v>
      </c>
      <c r="C82" s="337">
        <v>29.04</v>
      </c>
      <c r="D82" s="338">
        <v>29.04</v>
      </c>
      <c r="E82" s="347" t="s">
        <v>221</v>
      </c>
      <c r="F82" s="337">
        <v>49.999999999998998</v>
      </c>
      <c r="G82" s="338">
        <v>8.333333333333</v>
      </c>
      <c r="H82" s="340">
        <v>4.9406564584124654E-324</v>
      </c>
      <c r="I82" s="337">
        <v>9.8813129168249309E-324</v>
      </c>
      <c r="J82" s="338">
        <v>-8.333333333333</v>
      </c>
      <c r="K82" s="341">
        <v>0</v>
      </c>
    </row>
    <row r="83" spans="1:11" ht="14.4" customHeight="1" thickBot="1" x14ac:dyDescent="0.35">
      <c r="A83" s="358" t="s">
        <v>292</v>
      </c>
      <c r="B83" s="342">
        <v>4.9406564584124654E-324</v>
      </c>
      <c r="C83" s="342">
        <v>1.331</v>
      </c>
      <c r="D83" s="343">
        <v>1.331</v>
      </c>
      <c r="E83" s="344" t="s">
        <v>221</v>
      </c>
      <c r="F83" s="342">
        <v>0</v>
      </c>
      <c r="G83" s="343">
        <v>0</v>
      </c>
      <c r="H83" s="345">
        <v>4.9406564584124654E-324</v>
      </c>
      <c r="I83" s="342">
        <v>9.8813129168249309E-324</v>
      </c>
      <c r="J83" s="343">
        <v>9.8813129168249309E-324</v>
      </c>
      <c r="K83" s="346" t="s">
        <v>215</v>
      </c>
    </row>
    <row r="84" spans="1:11" ht="14.4" customHeight="1" thickBot="1" x14ac:dyDescent="0.35">
      <c r="A84" s="359" t="s">
        <v>293</v>
      </c>
      <c r="B84" s="337">
        <v>4.9406564584124654E-324</v>
      </c>
      <c r="C84" s="337">
        <v>1.331</v>
      </c>
      <c r="D84" s="338">
        <v>1.331</v>
      </c>
      <c r="E84" s="347" t="s">
        <v>221</v>
      </c>
      <c r="F84" s="337">
        <v>0</v>
      </c>
      <c r="G84" s="338">
        <v>0</v>
      </c>
      <c r="H84" s="340">
        <v>4.9406564584124654E-324</v>
      </c>
      <c r="I84" s="337">
        <v>9.8813129168249309E-324</v>
      </c>
      <c r="J84" s="338">
        <v>9.8813129168249309E-324</v>
      </c>
      <c r="K84" s="348" t="s">
        <v>215</v>
      </c>
    </row>
    <row r="85" spans="1:11" ht="14.4" customHeight="1" thickBot="1" x14ac:dyDescent="0.35">
      <c r="A85" s="356" t="s">
        <v>37</v>
      </c>
      <c r="B85" s="337">
        <v>14061.9965391118</v>
      </c>
      <c r="C85" s="337">
        <v>16336.68872</v>
      </c>
      <c r="D85" s="338">
        <v>2274.6921808882398</v>
      </c>
      <c r="E85" s="339">
        <v>1.1617616797550001</v>
      </c>
      <c r="F85" s="337">
        <v>17309.079657865099</v>
      </c>
      <c r="G85" s="338">
        <v>2884.8466096441798</v>
      </c>
      <c r="H85" s="340">
        <v>1334.69362</v>
      </c>
      <c r="I85" s="337">
        <v>2684.8030400000098</v>
      </c>
      <c r="J85" s="338">
        <v>-200.04356964416999</v>
      </c>
      <c r="K85" s="341">
        <v>0.15510952015099999</v>
      </c>
    </row>
    <row r="86" spans="1:11" ht="14.4" customHeight="1" thickBot="1" x14ac:dyDescent="0.35">
      <c r="A86" s="362" t="s">
        <v>294</v>
      </c>
      <c r="B86" s="342">
        <v>10742.9999999994</v>
      </c>
      <c r="C86" s="342">
        <v>12153.096</v>
      </c>
      <c r="D86" s="343">
        <v>1410.0960000006</v>
      </c>
      <c r="E86" s="349">
        <v>1.131257190728</v>
      </c>
      <c r="F86" s="342">
        <v>13142.9999999998</v>
      </c>
      <c r="G86" s="343">
        <v>2190.49999999996</v>
      </c>
      <c r="H86" s="345">
        <v>991.98</v>
      </c>
      <c r="I86" s="342">
        <v>1995.3209999999999</v>
      </c>
      <c r="J86" s="343">
        <v>-195.17899999995501</v>
      </c>
      <c r="K86" s="350">
        <v>0.151816251997</v>
      </c>
    </row>
    <row r="87" spans="1:11" ht="14.4" customHeight="1" thickBot="1" x14ac:dyDescent="0.35">
      <c r="A87" s="358" t="s">
        <v>295</v>
      </c>
      <c r="B87" s="342">
        <v>9482.9999999994798</v>
      </c>
      <c r="C87" s="342">
        <v>10867.558999999999</v>
      </c>
      <c r="D87" s="343">
        <v>1384.55900000053</v>
      </c>
      <c r="E87" s="349">
        <v>1.146004323526</v>
      </c>
      <c r="F87" s="342">
        <v>11903.9999999998</v>
      </c>
      <c r="G87" s="343">
        <v>1983.99999999996</v>
      </c>
      <c r="H87" s="345">
        <v>905.13</v>
      </c>
      <c r="I87" s="342">
        <v>1808.2809999999999</v>
      </c>
      <c r="J87" s="343">
        <v>-175.71899999995901</v>
      </c>
      <c r="K87" s="350">
        <v>0.15190532594</v>
      </c>
    </row>
    <row r="88" spans="1:11" ht="14.4" customHeight="1" thickBot="1" x14ac:dyDescent="0.35">
      <c r="A88" s="359" t="s">
        <v>296</v>
      </c>
      <c r="B88" s="337">
        <v>9482.9999999994798</v>
      </c>
      <c r="C88" s="337">
        <v>10867.558999999999</v>
      </c>
      <c r="D88" s="338">
        <v>1384.55900000053</v>
      </c>
      <c r="E88" s="339">
        <v>1.146004323526</v>
      </c>
      <c r="F88" s="337">
        <v>11903.9999999998</v>
      </c>
      <c r="G88" s="338">
        <v>1983.99999999996</v>
      </c>
      <c r="H88" s="340">
        <v>905.13</v>
      </c>
      <c r="I88" s="337">
        <v>1808.2809999999999</v>
      </c>
      <c r="J88" s="338">
        <v>-175.71899999995901</v>
      </c>
      <c r="K88" s="341">
        <v>0.15190532594</v>
      </c>
    </row>
    <row r="89" spans="1:11" ht="14.4" customHeight="1" thickBot="1" x14ac:dyDescent="0.35">
      <c r="A89" s="358" t="s">
        <v>297</v>
      </c>
      <c r="B89" s="342">
        <v>4.9406564584124654E-324</v>
      </c>
      <c r="C89" s="342">
        <v>0.57099999999999995</v>
      </c>
      <c r="D89" s="343">
        <v>0.57099999999999995</v>
      </c>
      <c r="E89" s="344" t="s">
        <v>221</v>
      </c>
      <c r="F89" s="342">
        <v>0</v>
      </c>
      <c r="G89" s="343">
        <v>0</v>
      </c>
      <c r="H89" s="345">
        <v>4.9406564584124654E-324</v>
      </c>
      <c r="I89" s="342">
        <v>9.8813129168249309E-324</v>
      </c>
      <c r="J89" s="343">
        <v>9.8813129168249309E-324</v>
      </c>
      <c r="K89" s="346" t="s">
        <v>215</v>
      </c>
    </row>
    <row r="90" spans="1:11" ht="14.4" customHeight="1" thickBot="1" x14ac:dyDescent="0.35">
      <c r="A90" s="359" t="s">
        <v>298</v>
      </c>
      <c r="B90" s="337">
        <v>4.9406564584124654E-324</v>
      </c>
      <c r="C90" s="337">
        <v>0.57099999999999995</v>
      </c>
      <c r="D90" s="338">
        <v>0.57099999999999995</v>
      </c>
      <c r="E90" s="347" t="s">
        <v>221</v>
      </c>
      <c r="F90" s="337">
        <v>0</v>
      </c>
      <c r="G90" s="338">
        <v>0</v>
      </c>
      <c r="H90" s="340">
        <v>4.9406564584124654E-324</v>
      </c>
      <c r="I90" s="337">
        <v>9.8813129168249309E-324</v>
      </c>
      <c r="J90" s="338">
        <v>9.8813129168249309E-324</v>
      </c>
      <c r="K90" s="348" t="s">
        <v>215</v>
      </c>
    </row>
    <row r="91" spans="1:11" ht="14.4" customHeight="1" thickBot="1" x14ac:dyDescent="0.35">
      <c r="A91" s="358" t="s">
        <v>299</v>
      </c>
      <c r="B91" s="342">
        <v>1259.99999999993</v>
      </c>
      <c r="C91" s="342">
        <v>1240.23</v>
      </c>
      <c r="D91" s="343">
        <v>-19.76999999993</v>
      </c>
      <c r="E91" s="349">
        <v>0.98430952380900005</v>
      </c>
      <c r="F91" s="342">
        <v>1201.99999999998</v>
      </c>
      <c r="G91" s="343">
        <v>200.33333333332999</v>
      </c>
      <c r="H91" s="345">
        <v>86.85</v>
      </c>
      <c r="I91" s="342">
        <v>187.04</v>
      </c>
      <c r="J91" s="343">
        <v>-13.293333333329</v>
      </c>
      <c r="K91" s="350">
        <v>0.15560732113100001</v>
      </c>
    </row>
    <row r="92" spans="1:11" ht="14.4" customHeight="1" thickBot="1" x14ac:dyDescent="0.35">
      <c r="A92" s="359" t="s">
        <v>300</v>
      </c>
      <c r="B92" s="337">
        <v>1259.99999999993</v>
      </c>
      <c r="C92" s="337">
        <v>1240.23</v>
      </c>
      <c r="D92" s="338">
        <v>-19.76999999993</v>
      </c>
      <c r="E92" s="339">
        <v>0.98430952380900005</v>
      </c>
      <c r="F92" s="337">
        <v>1201.99999999998</v>
      </c>
      <c r="G92" s="338">
        <v>200.33333333332999</v>
      </c>
      <c r="H92" s="340">
        <v>86.85</v>
      </c>
      <c r="I92" s="337">
        <v>187.04</v>
      </c>
      <c r="J92" s="338">
        <v>-13.293333333329</v>
      </c>
      <c r="K92" s="341">
        <v>0.15560732113100001</v>
      </c>
    </row>
    <row r="93" spans="1:11" ht="14.4" customHeight="1" thickBot="1" x14ac:dyDescent="0.35">
      <c r="A93" s="358" t="s">
        <v>301</v>
      </c>
      <c r="B93" s="342">
        <v>0</v>
      </c>
      <c r="C93" s="342">
        <v>44.735999999999997</v>
      </c>
      <c r="D93" s="343">
        <v>44.735999999999997</v>
      </c>
      <c r="E93" s="344" t="s">
        <v>215</v>
      </c>
      <c r="F93" s="342">
        <v>36.999999999998998</v>
      </c>
      <c r="G93" s="343">
        <v>6.1666666666659999</v>
      </c>
      <c r="H93" s="345">
        <v>4.9406564584124654E-324</v>
      </c>
      <c r="I93" s="342">
        <v>9.8813129168249309E-324</v>
      </c>
      <c r="J93" s="343">
        <v>-6.1666666666659999</v>
      </c>
      <c r="K93" s="350">
        <v>0</v>
      </c>
    </row>
    <row r="94" spans="1:11" ht="14.4" customHeight="1" thickBot="1" x14ac:dyDescent="0.35">
      <c r="A94" s="359" t="s">
        <v>302</v>
      </c>
      <c r="B94" s="337">
        <v>0</v>
      </c>
      <c r="C94" s="337">
        <v>44.735999999999997</v>
      </c>
      <c r="D94" s="338">
        <v>44.735999999999997</v>
      </c>
      <c r="E94" s="347" t="s">
        <v>215</v>
      </c>
      <c r="F94" s="337">
        <v>36.999999999998998</v>
      </c>
      <c r="G94" s="338">
        <v>6.1666666666659999</v>
      </c>
      <c r="H94" s="340">
        <v>4.9406564584124654E-324</v>
      </c>
      <c r="I94" s="337">
        <v>9.8813129168249309E-324</v>
      </c>
      <c r="J94" s="338">
        <v>-6.1666666666659999</v>
      </c>
      <c r="K94" s="341">
        <v>0</v>
      </c>
    </row>
    <row r="95" spans="1:11" ht="14.4" customHeight="1" thickBot="1" x14ac:dyDescent="0.35">
      <c r="A95" s="357" t="s">
        <v>303</v>
      </c>
      <c r="B95" s="337">
        <v>3223.9965391123601</v>
      </c>
      <c r="C95" s="337">
        <v>4074.4700800000001</v>
      </c>
      <c r="D95" s="338">
        <v>850.473540887642</v>
      </c>
      <c r="E95" s="339">
        <v>1.2637948057849999</v>
      </c>
      <c r="F95" s="337">
        <v>4047.0796578652999</v>
      </c>
      <c r="G95" s="338">
        <v>674.51327631088304</v>
      </c>
      <c r="H95" s="340">
        <v>333.66201999999998</v>
      </c>
      <c r="I95" s="337">
        <v>671.399110000002</v>
      </c>
      <c r="J95" s="338">
        <v>-3.114166310881</v>
      </c>
      <c r="K95" s="341">
        <v>0.16589718185899999</v>
      </c>
    </row>
    <row r="96" spans="1:11" ht="14.4" customHeight="1" thickBot="1" x14ac:dyDescent="0.35">
      <c r="A96" s="358" t="s">
        <v>304</v>
      </c>
      <c r="B96" s="342">
        <v>852.99999343452998</v>
      </c>
      <c r="C96" s="342">
        <v>1078.8129899999999</v>
      </c>
      <c r="D96" s="343">
        <v>225.812996565471</v>
      </c>
      <c r="E96" s="349">
        <v>1.264728016768</v>
      </c>
      <c r="F96" s="342">
        <v>1071.0796578653601</v>
      </c>
      <c r="G96" s="343">
        <v>178.51327631089299</v>
      </c>
      <c r="H96" s="345">
        <v>88.167019999999994</v>
      </c>
      <c r="I96" s="342">
        <v>177.56885</v>
      </c>
      <c r="J96" s="343">
        <v>-0.94442631089200002</v>
      </c>
      <c r="K96" s="350">
        <v>0.165784914965</v>
      </c>
    </row>
    <row r="97" spans="1:11" ht="14.4" customHeight="1" thickBot="1" x14ac:dyDescent="0.35">
      <c r="A97" s="359" t="s">
        <v>305</v>
      </c>
      <c r="B97" s="337">
        <v>852.99999343452998</v>
      </c>
      <c r="C97" s="337">
        <v>1078.8129899999999</v>
      </c>
      <c r="D97" s="338">
        <v>225.812996565471</v>
      </c>
      <c r="E97" s="339">
        <v>1.264728016768</v>
      </c>
      <c r="F97" s="337">
        <v>1071.0796578653601</v>
      </c>
      <c r="G97" s="338">
        <v>178.51327631089299</v>
      </c>
      <c r="H97" s="340">
        <v>88.167019999999994</v>
      </c>
      <c r="I97" s="337">
        <v>177.56885</v>
      </c>
      <c r="J97" s="338">
        <v>-0.94442631089200002</v>
      </c>
      <c r="K97" s="341">
        <v>0.165784914965</v>
      </c>
    </row>
    <row r="98" spans="1:11" ht="14.4" customHeight="1" thickBot="1" x14ac:dyDescent="0.35">
      <c r="A98" s="358" t="s">
        <v>306</v>
      </c>
      <c r="B98" s="342">
        <v>2370.99654567783</v>
      </c>
      <c r="C98" s="342">
        <v>2995.6570900000002</v>
      </c>
      <c r="D98" s="343">
        <v>624.66054432217197</v>
      </c>
      <c r="E98" s="349">
        <v>1.2634590697570001</v>
      </c>
      <c r="F98" s="342">
        <v>2975.99999999994</v>
      </c>
      <c r="G98" s="343">
        <v>495.99999999999</v>
      </c>
      <c r="H98" s="345">
        <v>245.495</v>
      </c>
      <c r="I98" s="342">
        <v>493.83026000000098</v>
      </c>
      <c r="J98" s="343">
        <v>-2.1697399999879998</v>
      </c>
      <c r="K98" s="350">
        <v>0.165937587365</v>
      </c>
    </row>
    <row r="99" spans="1:11" ht="14.4" customHeight="1" thickBot="1" x14ac:dyDescent="0.35">
      <c r="A99" s="359" t="s">
        <v>307</v>
      </c>
      <c r="B99" s="337">
        <v>2370.99654567783</v>
      </c>
      <c r="C99" s="337">
        <v>2995.6570900000002</v>
      </c>
      <c r="D99" s="338">
        <v>624.66054432217197</v>
      </c>
      <c r="E99" s="339">
        <v>1.2634590697570001</v>
      </c>
      <c r="F99" s="337">
        <v>2975.99999999994</v>
      </c>
      <c r="G99" s="338">
        <v>495.99999999999</v>
      </c>
      <c r="H99" s="340">
        <v>245.495</v>
      </c>
      <c r="I99" s="337">
        <v>493.83026000000098</v>
      </c>
      <c r="J99" s="338">
        <v>-2.1697399999879998</v>
      </c>
      <c r="K99" s="341">
        <v>0.165937587365</v>
      </c>
    </row>
    <row r="100" spans="1:11" ht="14.4" customHeight="1" thickBot="1" x14ac:dyDescent="0.35">
      <c r="A100" s="357" t="s">
        <v>308</v>
      </c>
      <c r="B100" s="337">
        <v>94.999999999994003</v>
      </c>
      <c r="C100" s="337">
        <v>109.12264</v>
      </c>
      <c r="D100" s="338">
        <v>14.122640000004999</v>
      </c>
      <c r="E100" s="339">
        <v>1.148659368421</v>
      </c>
      <c r="F100" s="337">
        <v>118.999999999998</v>
      </c>
      <c r="G100" s="338">
        <v>19.833333333332</v>
      </c>
      <c r="H100" s="340">
        <v>9.0516000000000005</v>
      </c>
      <c r="I100" s="337">
        <v>18.082930000000001</v>
      </c>
      <c r="J100" s="338">
        <v>-1.7504033333319999</v>
      </c>
      <c r="K100" s="341">
        <v>0.151957394957</v>
      </c>
    </row>
    <row r="101" spans="1:11" ht="14.4" customHeight="1" thickBot="1" x14ac:dyDescent="0.35">
      <c r="A101" s="358" t="s">
        <v>309</v>
      </c>
      <c r="B101" s="342">
        <v>94.999999999994003</v>
      </c>
      <c r="C101" s="342">
        <v>109.12264</v>
      </c>
      <c r="D101" s="343">
        <v>14.122640000004999</v>
      </c>
      <c r="E101" s="349">
        <v>1.148659368421</v>
      </c>
      <c r="F101" s="342">
        <v>118.999999999998</v>
      </c>
      <c r="G101" s="343">
        <v>19.833333333332</v>
      </c>
      <c r="H101" s="345">
        <v>9.0516000000000005</v>
      </c>
      <c r="I101" s="342">
        <v>18.082930000000001</v>
      </c>
      <c r="J101" s="343">
        <v>-1.7504033333319999</v>
      </c>
      <c r="K101" s="350">
        <v>0.151957394957</v>
      </c>
    </row>
    <row r="102" spans="1:11" ht="14.4" customHeight="1" thickBot="1" x14ac:dyDescent="0.35">
      <c r="A102" s="359" t="s">
        <v>310</v>
      </c>
      <c r="B102" s="337">
        <v>94.999999999994003</v>
      </c>
      <c r="C102" s="337">
        <v>109.12264</v>
      </c>
      <c r="D102" s="338">
        <v>14.122640000004999</v>
      </c>
      <c r="E102" s="339">
        <v>1.148659368421</v>
      </c>
      <c r="F102" s="337">
        <v>118.999999999998</v>
      </c>
      <c r="G102" s="338">
        <v>19.833333333332</v>
      </c>
      <c r="H102" s="340">
        <v>9.0516000000000005</v>
      </c>
      <c r="I102" s="337">
        <v>18.082930000000001</v>
      </c>
      <c r="J102" s="338">
        <v>-1.7504033333319999</v>
      </c>
      <c r="K102" s="341">
        <v>0.151957394957</v>
      </c>
    </row>
    <row r="103" spans="1:11" ht="14.4" customHeight="1" thickBot="1" x14ac:dyDescent="0.35">
      <c r="A103" s="356" t="s">
        <v>311</v>
      </c>
      <c r="B103" s="337">
        <v>47.999999999997002</v>
      </c>
      <c r="C103" s="337">
        <v>124.376</v>
      </c>
      <c r="D103" s="338">
        <v>76.376000000001994</v>
      </c>
      <c r="E103" s="339">
        <v>2.591166666666</v>
      </c>
      <c r="F103" s="337">
        <v>34.876325088338</v>
      </c>
      <c r="G103" s="338">
        <v>5.8127208480560002</v>
      </c>
      <c r="H103" s="340">
        <v>11.41</v>
      </c>
      <c r="I103" s="337">
        <v>16.21</v>
      </c>
      <c r="J103" s="338">
        <v>10.397279151943</v>
      </c>
      <c r="K103" s="341">
        <v>0.46478520769999998</v>
      </c>
    </row>
    <row r="104" spans="1:11" ht="14.4" customHeight="1" thickBot="1" x14ac:dyDescent="0.35">
      <c r="A104" s="357" t="s">
        <v>312</v>
      </c>
      <c r="B104" s="337">
        <v>47.999999999997002</v>
      </c>
      <c r="C104" s="337">
        <v>124.376</v>
      </c>
      <c r="D104" s="338">
        <v>76.376000000001994</v>
      </c>
      <c r="E104" s="339">
        <v>2.591166666666</v>
      </c>
      <c r="F104" s="337">
        <v>34.876325088338</v>
      </c>
      <c r="G104" s="338">
        <v>5.8127208480560002</v>
      </c>
      <c r="H104" s="340">
        <v>11.41</v>
      </c>
      <c r="I104" s="337">
        <v>16.21</v>
      </c>
      <c r="J104" s="338">
        <v>10.397279151943</v>
      </c>
      <c r="K104" s="341">
        <v>0.46478520769999998</v>
      </c>
    </row>
    <row r="105" spans="1:11" ht="14.4" customHeight="1" thickBot="1" x14ac:dyDescent="0.35">
      <c r="A105" s="358" t="s">
        <v>313</v>
      </c>
      <c r="B105" s="342">
        <v>0</v>
      </c>
      <c r="C105" s="342">
        <v>43.265999999999998</v>
      </c>
      <c r="D105" s="343">
        <v>43.265999999999998</v>
      </c>
      <c r="E105" s="344" t="s">
        <v>215</v>
      </c>
      <c r="F105" s="342">
        <v>0</v>
      </c>
      <c r="G105" s="343">
        <v>0</v>
      </c>
      <c r="H105" s="345">
        <v>8.2100000000000009</v>
      </c>
      <c r="I105" s="342">
        <v>8.2100000000000009</v>
      </c>
      <c r="J105" s="343">
        <v>8.2100000000000009</v>
      </c>
      <c r="K105" s="346" t="s">
        <v>215</v>
      </c>
    </row>
    <row r="106" spans="1:11" ht="14.4" customHeight="1" thickBot="1" x14ac:dyDescent="0.35">
      <c r="A106" s="359" t="s">
        <v>314</v>
      </c>
      <c r="B106" s="337">
        <v>0</v>
      </c>
      <c r="C106" s="337">
        <v>43.066000000000003</v>
      </c>
      <c r="D106" s="338">
        <v>43.066000000000003</v>
      </c>
      <c r="E106" s="347" t="s">
        <v>215</v>
      </c>
      <c r="F106" s="337">
        <v>0</v>
      </c>
      <c r="G106" s="338">
        <v>0</v>
      </c>
      <c r="H106" s="340">
        <v>7</v>
      </c>
      <c r="I106" s="337">
        <v>7</v>
      </c>
      <c r="J106" s="338">
        <v>7</v>
      </c>
      <c r="K106" s="348" t="s">
        <v>215</v>
      </c>
    </row>
    <row r="107" spans="1:11" ht="14.4" customHeight="1" thickBot="1" x14ac:dyDescent="0.35">
      <c r="A107" s="359" t="s">
        <v>315</v>
      </c>
      <c r="B107" s="337">
        <v>0</v>
      </c>
      <c r="C107" s="337">
        <v>0.2</v>
      </c>
      <c r="D107" s="338">
        <v>0.2</v>
      </c>
      <c r="E107" s="347" t="s">
        <v>215</v>
      </c>
      <c r="F107" s="337">
        <v>0</v>
      </c>
      <c r="G107" s="338">
        <v>0</v>
      </c>
      <c r="H107" s="340">
        <v>1.21</v>
      </c>
      <c r="I107" s="337">
        <v>1.21</v>
      </c>
      <c r="J107" s="338">
        <v>1.21</v>
      </c>
      <c r="K107" s="348" t="s">
        <v>215</v>
      </c>
    </row>
    <row r="108" spans="1:11" ht="14.4" customHeight="1" thickBot="1" x14ac:dyDescent="0.35">
      <c r="A108" s="358" t="s">
        <v>316</v>
      </c>
      <c r="B108" s="342">
        <v>47.999999999997002</v>
      </c>
      <c r="C108" s="342">
        <v>34.799999999999997</v>
      </c>
      <c r="D108" s="343">
        <v>-13.199999999997001</v>
      </c>
      <c r="E108" s="349">
        <v>0.72499999999999998</v>
      </c>
      <c r="F108" s="342">
        <v>34.876325088338</v>
      </c>
      <c r="G108" s="343">
        <v>5.8127208480560002</v>
      </c>
      <c r="H108" s="345">
        <v>3.2</v>
      </c>
      <c r="I108" s="342">
        <v>8</v>
      </c>
      <c r="J108" s="343">
        <v>2.1872791519430002</v>
      </c>
      <c r="K108" s="350">
        <v>0.22938196555199999</v>
      </c>
    </row>
    <row r="109" spans="1:11" ht="14.4" customHeight="1" thickBot="1" x14ac:dyDescent="0.35">
      <c r="A109" s="359" t="s">
        <v>317</v>
      </c>
      <c r="B109" s="337">
        <v>47.999999999997002</v>
      </c>
      <c r="C109" s="337">
        <v>34.799999999999997</v>
      </c>
      <c r="D109" s="338">
        <v>-13.199999999997001</v>
      </c>
      <c r="E109" s="339">
        <v>0.72499999999999998</v>
      </c>
      <c r="F109" s="337">
        <v>34.876325088338</v>
      </c>
      <c r="G109" s="338">
        <v>5.8127208480560002</v>
      </c>
      <c r="H109" s="340">
        <v>3.2</v>
      </c>
      <c r="I109" s="337">
        <v>8</v>
      </c>
      <c r="J109" s="338">
        <v>2.1872791519430002</v>
      </c>
      <c r="K109" s="341">
        <v>0.22938196555199999</v>
      </c>
    </row>
    <row r="110" spans="1:11" ht="14.4" customHeight="1" thickBot="1" x14ac:dyDescent="0.35">
      <c r="A110" s="358" t="s">
        <v>318</v>
      </c>
      <c r="B110" s="342">
        <v>4.9406564584124654E-324</v>
      </c>
      <c r="C110" s="342">
        <v>5.44</v>
      </c>
      <c r="D110" s="343">
        <v>5.44</v>
      </c>
      <c r="E110" s="344" t="s">
        <v>221</v>
      </c>
      <c r="F110" s="342">
        <v>0</v>
      </c>
      <c r="G110" s="343">
        <v>0</v>
      </c>
      <c r="H110" s="345">
        <v>4.9406564584124654E-324</v>
      </c>
      <c r="I110" s="342">
        <v>9.8813129168249309E-324</v>
      </c>
      <c r="J110" s="343">
        <v>9.8813129168249309E-324</v>
      </c>
      <c r="K110" s="346" t="s">
        <v>215</v>
      </c>
    </row>
    <row r="111" spans="1:11" ht="14.4" customHeight="1" thickBot="1" x14ac:dyDescent="0.35">
      <c r="A111" s="359" t="s">
        <v>319</v>
      </c>
      <c r="B111" s="337">
        <v>4.9406564584124654E-324</v>
      </c>
      <c r="C111" s="337">
        <v>5.44</v>
      </c>
      <c r="D111" s="338">
        <v>5.44</v>
      </c>
      <c r="E111" s="347" t="s">
        <v>221</v>
      </c>
      <c r="F111" s="337">
        <v>0</v>
      </c>
      <c r="G111" s="338">
        <v>0</v>
      </c>
      <c r="H111" s="340">
        <v>4.9406564584124654E-324</v>
      </c>
      <c r="I111" s="337">
        <v>9.8813129168249309E-324</v>
      </c>
      <c r="J111" s="338">
        <v>9.8813129168249309E-324</v>
      </c>
      <c r="K111" s="348" t="s">
        <v>215</v>
      </c>
    </row>
    <row r="112" spans="1:11" ht="14.4" customHeight="1" thickBot="1" x14ac:dyDescent="0.35">
      <c r="A112" s="361" t="s">
        <v>320</v>
      </c>
      <c r="B112" s="337">
        <v>4.9406564584124654E-324</v>
      </c>
      <c r="C112" s="337">
        <v>32.369999999999997</v>
      </c>
      <c r="D112" s="338">
        <v>32.369999999999997</v>
      </c>
      <c r="E112" s="347" t="s">
        <v>221</v>
      </c>
      <c r="F112" s="337">
        <v>0</v>
      </c>
      <c r="G112" s="338">
        <v>0</v>
      </c>
      <c r="H112" s="340">
        <v>4.9406564584124654E-324</v>
      </c>
      <c r="I112" s="337">
        <v>9.8813129168249309E-324</v>
      </c>
      <c r="J112" s="338">
        <v>9.8813129168249309E-324</v>
      </c>
      <c r="K112" s="348" t="s">
        <v>215</v>
      </c>
    </row>
    <row r="113" spans="1:11" ht="14.4" customHeight="1" thickBot="1" x14ac:dyDescent="0.35">
      <c r="A113" s="359" t="s">
        <v>321</v>
      </c>
      <c r="B113" s="337">
        <v>4.9406564584124654E-324</v>
      </c>
      <c r="C113" s="337">
        <v>32.369999999999997</v>
      </c>
      <c r="D113" s="338">
        <v>32.369999999999997</v>
      </c>
      <c r="E113" s="347" t="s">
        <v>221</v>
      </c>
      <c r="F113" s="337">
        <v>0</v>
      </c>
      <c r="G113" s="338">
        <v>0</v>
      </c>
      <c r="H113" s="340">
        <v>4.9406564584124654E-324</v>
      </c>
      <c r="I113" s="337">
        <v>9.8813129168249309E-324</v>
      </c>
      <c r="J113" s="338">
        <v>9.8813129168249309E-324</v>
      </c>
      <c r="K113" s="348" t="s">
        <v>215</v>
      </c>
    </row>
    <row r="114" spans="1:11" ht="14.4" customHeight="1" thickBot="1" x14ac:dyDescent="0.35">
      <c r="A114" s="361" t="s">
        <v>322</v>
      </c>
      <c r="B114" s="337">
        <v>4.9406564584124654E-324</v>
      </c>
      <c r="C114" s="337">
        <v>3</v>
      </c>
      <c r="D114" s="338">
        <v>3</v>
      </c>
      <c r="E114" s="347" t="s">
        <v>221</v>
      </c>
      <c r="F114" s="337">
        <v>0</v>
      </c>
      <c r="G114" s="338">
        <v>0</v>
      </c>
      <c r="H114" s="340">
        <v>4.9406564584124654E-324</v>
      </c>
      <c r="I114" s="337">
        <v>9.8813129168249309E-324</v>
      </c>
      <c r="J114" s="338">
        <v>9.8813129168249309E-324</v>
      </c>
      <c r="K114" s="348" t="s">
        <v>215</v>
      </c>
    </row>
    <row r="115" spans="1:11" ht="14.4" customHeight="1" thickBot="1" x14ac:dyDescent="0.35">
      <c r="A115" s="359" t="s">
        <v>323</v>
      </c>
      <c r="B115" s="337">
        <v>4.9406564584124654E-324</v>
      </c>
      <c r="C115" s="337">
        <v>3</v>
      </c>
      <c r="D115" s="338">
        <v>3</v>
      </c>
      <c r="E115" s="347" t="s">
        <v>221</v>
      </c>
      <c r="F115" s="337">
        <v>0</v>
      </c>
      <c r="G115" s="338">
        <v>0</v>
      </c>
      <c r="H115" s="340">
        <v>4.9406564584124654E-324</v>
      </c>
      <c r="I115" s="337">
        <v>9.8813129168249309E-324</v>
      </c>
      <c r="J115" s="338">
        <v>9.8813129168249309E-324</v>
      </c>
      <c r="K115" s="348" t="s">
        <v>215</v>
      </c>
    </row>
    <row r="116" spans="1:11" ht="14.4" customHeight="1" thickBot="1" x14ac:dyDescent="0.35">
      <c r="A116" s="361" t="s">
        <v>324</v>
      </c>
      <c r="B116" s="337">
        <v>4.9406564584124654E-324</v>
      </c>
      <c r="C116" s="337">
        <v>2</v>
      </c>
      <c r="D116" s="338">
        <v>2</v>
      </c>
      <c r="E116" s="347" t="s">
        <v>221</v>
      </c>
      <c r="F116" s="337">
        <v>0</v>
      </c>
      <c r="G116" s="338">
        <v>0</v>
      </c>
      <c r="H116" s="340">
        <v>4.9406564584124654E-324</v>
      </c>
      <c r="I116" s="337">
        <v>9.8813129168249309E-324</v>
      </c>
      <c r="J116" s="338">
        <v>9.8813129168249309E-324</v>
      </c>
      <c r="K116" s="348" t="s">
        <v>215</v>
      </c>
    </row>
    <row r="117" spans="1:11" ht="14.4" customHeight="1" thickBot="1" x14ac:dyDescent="0.35">
      <c r="A117" s="359" t="s">
        <v>325</v>
      </c>
      <c r="B117" s="337">
        <v>4.9406564584124654E-324</v>
      </c>
      <c r="C117" s="337">
        <v>2</v>
      </c>
      <c r="D117" s="338">
        <v>2</v>
      </c>
      <c r="E117" s="347" t="s">
        <v>221</v>
      </c>
      <c r="F117" s="337">
        <v>0</v>
      </c>
      <c r="G117" s="338">
        <v>0</v>
      </c>
      <c r="H117" s="340">
        <v>4.9406564584124654E-324</v>
      </c>
      <c r="I117" s="337">
        <v>9.8813129168249309E-324</v>
      </c>
      <c r="J117" s="338">
        <v>9.8813129168249309E-324</v>
      </c>
      <c r="K117" s="348" t="s">
        <v>215</v>
      </c>
    </row>
    <row r="118" spans="1:11" ht="14.4" customHeight="1" thickBot="1" x14ac:dyDescent="0.35">
      <c r="A118" s="358" t="s">
        <v>326</v>
      </c>
      <c r="B118" s="342">
        <v>4.9406564584124654E-324</v>
      </c>
      <c r="C118" s="342">
        <v>3.5</v>
      </c>
      <c r="D118" s="343">
        <v>3.5</v>
      </c>
      <c r="E118" s="344" t="s">
        <v>221</v>
      </c>
      <c r="F118" s="342">
        <v>0</v>
      </c>
      <c r="G118" s="343">
        <v>0</v>
      </c>
      <c r="H118" s="345">
        <v>4.9406564584124654E-324</v>
      </c>
      <c r="I118" s="342">
        <v>9.8813129168249309E-324</v>
      </c>
      <c r="J118" s="343">
        <v>9.8813129168249309E-324</v>
      </c>
      <c r="K118" s="346" t="s">
        <v>215</v>
      </c>
    </row>
    <row r="119" spans="1:11" ht="14.4" customHeight="1" thickBot="1" x14ac:dyDescent="0.35">
      <c r="A119" s="359" t="s">
        <v>327</v>
      </c>
      <c r="B119" s="337">
        <v>4.9406564584124654E-324</v>
      </c>
      <c r="C119" s="337">
        <v>3.5</v>
      </c>
      <c r="D119" s="338">
        <v>3.5</v>
      </c>
      <c r="E119" s="347" t="s">
        <v>221</v>
      </c>
      <c r="F119" s="337">
        <v>0</v>
      </c>
      <c r="G119" s="338">
        <v>0</v>
      </c>
      <c r="H119" s="340">
        <v>4.9406564584124654E-324</v>
      </c>
      <c r="I119" s="337">
        <v>9.8813129168249309E-324</v>
      </c>
      <c r="J119" s="338">
        <v>9.8813129168249309E-324</v>
      </c>
      <c r="K119" s="348" t="s">
        <v>215</v>
      </c>
    </row>
    <row r="120" spans="1:11" ht="14.4" customHeight="1" thickBot="1" x14ac:dyDescent="0.35">
      <c r="A120" s="356" t="s">
        <v>328</v>
      </c>
      <c r="B120" s="337">
        <v>1230.99999999993</v>
      </c>
      <c r="C120" s="337">
        <v>730.70616000000098</v>
      </c>
      <c r="D120" s="338">
        <v>-500.29383999993098</v>
      </c>
      <c r="E120" s="339">
        <v>0.59358745735100005</v>
      </c>
      <c r="F120" s="337">
        <v>1663.9999205404099</v>
      </c>
      <c r="G120" s="338">
        <v>277.33332009006898</v>
      </c>
      <c r="H120" s="340">
        <v>154.56895</v>
      </c>
      <c r="I120" s="337">
        <v>298.63895000000099</v>
      </c>
      <c r="J120" s="338">
        <v>21.305629909932001</v>
      </c>
      <c r="K120" s="341">
        <v>0.179470531406</v>
      </c>
    </row>
    <row r="121" spans="1:11" ht="14.4" customHeight="1" thickBot="1" x14ac:dyDescent="0.35">
      <c r="A121" s="357" t="s">
        <v>329</v>
      </c>
      <c r="B121" s="337">
        <v>1230.99999999993</v>
      </c>
      <c r="C121" s="337">
        <v>610.06700000000103</v>
      </c>
      <c r="D121" s="338">
        <v>-620.93299999993201</v>
      </c>
      <c r="E121" s="339">
        <v>0.495586515028</v>
      </c>
      <c r="F121" s="337">
        <v>1663.9999205404099</v>
      </c>
      <c r="G121" s="338">
        <v>277.33332009006898</v>
      </c>
      <c r="H121" s="340">
        <v>145.55199999999999</v>
      </c>
      <c r="I121" s="337">
        <v>289.62200000000098</v>
      </c>
      <c r="J121" s="338">
        <v>12.288679909931</v>
      </c>
      <c r="K121" s="341">
        <v>0.174051691003</v>
      </c>
    </row>
    <row r="122" spans="1:11" ht="14.4" customHeight="1" thickBot="1" x14ac:dyDescent="0.35">
      <c r="A122" s="358" t="s">
        <v>330</v>
      </c>
      <c r="B122" s="342">
        <v>1230.99999999993</v>
      </c>
      <c r="C122" s="342">
        <v>558.36900000000105</v>
      </c>
      <c r="D122" s="343">
        <v>-672.63099999993199</v>
      </c>
      <c r="E122" s="349">
        <v>0.45358976441900001</v>
      </c>
      <c r="F122" s="342">
        <v>1663.9999205404099</v>
      </c>
      <c r="G122" s="343">
        <v>277.33332009006898</v>
      </c>
      <c r="H122" s="345">
        <v>145.55199999999999</v>
      </c>
      <c r="I122" s="342">
        <v>289.62200000000098</v>
      </c>
      <c r="J122" s="343">
        <v>12.288679909931</v>
      </c>
      <c r="K122" s="350">
        <v>0.174051691003</v>
      </c>
    </row>
    <row r="123" spans="1:11" ht="14.4" customHeight="1" thickBot="1" x14ac:dyDescent="0.35">
      <c r="A123" s="359" t="s">
        <v>331</v>
      </c>
      <c r="B123" s="337">
        <v>2.9999999999989999</v>
      </c>
      <c r="C123" s="337">
        <v>1.99</v>
      </c>
      <c r="D123" s="338">
        <v>-1.0099999999989999</v>
      </c>
      <c r="E123" s="339">
        <v>0.66333333333300004</v>
      </c>
      <c r="F123" s="337">
        <v>1.999920540443</v>
      </c>
      <c r="G123" s="338">
        <v>0.33332009007300001</v>
      </c>
      <c r="H123" s="340">
        <v>0.14399999999999999</v>
      </c>
      <c r="I123" s="337">
        <v>0.28799999999999998</v>
      </c>
      <c r="J123" s="338">
        <v>-4.5320090073000002E-2</v>
      </c>
      <c r="K123" s="341">
        <v>0.144005721315</v>
      </c>
    </row>
    <row r="124" spans="1:11" ht="14.4" customHeight="1" thickBot="1" x14ac:dyDescent="0.35">
      <c r="A124" s="359" t="s">
        <v>332</v>
      </c>
      <c r="B124" s="337">
        <v>405.99999999997698</v>
      </c>
      <c r="C124" s="337">
        <v>551.66900000000101</v>
      </c>
      <c r="D124" s="338">
        <v>145.669000000023</v>
      </c>
      <c r="E124" s="339">
        <v>1.358790640394</v>
      </c>
      <c r="F124" s="337">
        <v>1661.99999999997</v>
      </c>
      <c r="G124" s="338">
        <v>276.999999999995</v>
      </c>
      <c r="H124" s="340">
        <v>145.38200000000001</v>
      </c>
      <c r="I124" s="337">
        <v>289.28200000000101</v>
      </c>
      <c r="J124" s="338">
        <v>12.282000000005</v>
      </c>
      <c r="K124" s="341">
        <v>0.17405655836299999</v>
      </c>
    </row>
    <row r="125" spans="1:11" ht="14.4" customHeight="1" thickBot="1" x14ac:dyDescent="0.35">
      <c r="A125" s="359" t="s">
        <v>333</v>
      </c>
      <c r="B125" s="337">
        <v>4.9999999999989999</v>
      </c>
      <c r="C125" s="337">
        <v>4.3460000000000001</v>
      </c>
      <c r="D125" s="338">
        <v>-0.65399999999900005</v>
      </c>
      <c r="E125" s="339">
        <v>0.86919999999999997</v>
      </c>
      <c r="F125" s="337">
        <v>0</v>
      </c>
      <c r="G125" s="338">
        <v>0</v>
      </c>
      <c r="H125" s="340">
        <v>4.9406564584124654E-324</v>
      </c>
      <c r="I125" s="337">
        <v>9.8813129168249309E-324</v>
      </c>
      <c r="J125" s="338">
        <v>9.8813129168249309E-324</v>
      </c>
      <c r="K125" s="348" t="s">
        <v>215</v>
      </c>
    </row>
    <row r="126" spans="1:11" ht="14.4" customHeight="1" thickBot="1" x14ac:dyDescent="0.35">
      <c r="A126" s="359" t="s">
        <v>334</v>
      </c>
      <c r="B126" s="337">
        <v>0</v>
      </c>
      <c r="C126" s="337">
        <v>0.36399999999999999</v>
      </c>
      <c r="D126" s="338">
        <v>0.36399999999999999</v>
      </c>
      <c r="E126" s="347" t="s">
        <v>215</v>
      </c>
      <c r="F126" s="337">
        <v>0</v>
      </c>
      <c r="G126" s="338">
        <v>0</v>
      </c>
      <c r="H126" s="340">
        <v>2.5999999999999999E-2</v>
      </c>
      <c r="I126" s="337">
        <v>5.1999999999999998E-2</v>
      </c>
      <c r="J126" s="338">
        <v>5.1999999999999998E-2</v>
      </c>
      <c r="K126" s="348" t="s">
        <v>215</v>
      </c>
    </row>
    <row r="127" spans="1:11" ht="14.4" customHeight="1" thickBot="1" x14ac:dyDescent="0.35">
      <c r="A127" s="358" t="s">
        <v>335</v>
      </c>
      <c r="B127" s="342">
        <v>4.9406564584124654E-324</v>
      </c>
      <c r="C127" s="342">
        <v>51.698</v>
      </c>
      <c r="D127" s="343">
        <v>51.698</v>
      </c>
      <c r="E127" s="344" t="s">
        <v>221</v>
      </c>
      <c r="F127" s="342">
        <v>0</v>
      </c>
      <c r="G127" s="343">
        <v>0</v>
      </c>
      <c r="H127" s="345">
        <v>4.9406564584124654E-324</v>
      </c>
      <c r="I127" s="342">
        <v>9.8813129168249309E-324</v>
      </c>
      <c r="J127" s="343">
        <v>9.8813129168249309E-324</v>
      </c>
      <c r="K127" s="346" t="s">
        <v>215</v>
      </c>
    </row>
    <row r="128" spans="1:11" ht="14.4" customHeight="1" thickBot="1" x14ac:dyDescent="0.35">
      <c r="A128" s="359" t="s">
        <v>336</v>
      </c>
      <c r="B128" s="337">
        <v>4.9406564584124654E-324</v>
      </c>
      <c r="C128" s="337">
        <v>28.719000000000001</v>
      </c>
      <c r="D128" s="338">
        <v>28.719000000000001</v>
      </c>
      <c r="E128" s="347" t="s">
        <v>221</v>
      </c>
      <c r="F128" s="337">
        <v>0</v>
      </c>
      <c r="G128" s="338">
        <v>0</v>
      </c>
      <c r="H128" s="340">
        <v>4.9406564584124654E-324</v>
      </c>
      <c r="I128" s="337">
        <v>9.8813129168249309E-324</v>
      </c>
      <c r="J128" s="338">
        <v>9.8813129168249309E-324</v>
      </c>
      <c r="K128" s="348" t="s">
        <v>215</v>
      </c>
    </row>
    <row r="129" spans="1:11" ht="14.4" customHeight="1" thickBot="1" x14ac:dyDescent="0.35">
      <c r="A129" s="359" t="s">
        <v>337</v>
      </c>
      <c r="B129" s="337">
        <v>4.9406564584124654E-324</v>
      </c>
      <c r="C129" s="337">
        <v>22.978999999999999</v>
      </c>
      <c r="D129" s="338">
        <v>22.978999999999999</v>
      </c>
      <c r="E129" s="347" t="s">
        <v>221</v>
      </c>
      <c r="F129" s="337">
        <v>0</v>
      </c>
      <c r="G129" s="338">
        <v>0</v>
      </c>
      <c r="H129" s="340">
        <v>4.9406564584124654E-324</v>
      </c>
      <c r="I129" s="337">
        <v>9.8813129168249309E-324</v>
      </c>
      <c r="J129" s="338">
        <v>9.8813129168249309E-324</v>
      </c>
      <c r="K129" s="348" t="s">
        <v>215</v>
      </c>
    </row>
    <row r="130" spans="1:11" ht="14.4" customHeight="1" thickBot="1" x14ac:dyDescent="0.35">
      <c r="A130" s="357" t="s">
        <v>338</v>
      </c>
      <c r="B130" s="337">
        <v>4.9406564584124654E-324</v>
      </c>
      <c r="C130" s="337">
        <v>60.686999999999998</v>
      </c>
      <c r="D130" s="338">
        <v>60.686999999999998</v>
      </c>
      <c r="E130" s="347" t="s">
        <v>221</v>
      </c>
      <c r="F130" s="337">
        <v>0</v>
      </c>
      <c r="G130" s="338">
        <v>0</v>
      </c>
      <c r="H130" s="340">
        <v>4.9406564584124654E-324</v>
      </c>
      <c r="I130" s="337">
        <v>9.8813129168249309E-324</v>
      </c>
      <c r="J130" s="338">
        <v>9.8813129168249309E-324</v>
      </c>
      <c r="K130" s="348" t="s">
        <v>215</v>
      </c>
    </row>
    <row r="131" spans="1:11" ht="14.4" customHeight="1" thickBot="1" x14ac:dyDescent="0.35">
      <c r="A131" s="358" t="s">
        <v>339</v>
      </c>
      <c r="B131" s="342">
        <v>4.9406564584124654E-324</v>
      </c>
      <c r="C131" s="342">
        <v>60.686999999999998</v>
      </c>
      <c r="D131" s="343">
        <v>60.686999999999998</v>
      </c>
      <c r="E131" s="344" t="s">
        <v>221</v>
      </c>
      <c r="F131" s="342">
        <v>0</v>
      </c>
      <c r="G131" s="343">
        <v>0</v>
      </c>
      <c r="H131" s="345">
        <v>4.9406564584124654E-324</v>
      </c>
      <c r="I131" s="342">
        <v>9.8813129168249309E-324</v>
      </c>
      <c r="J131" s="343">
        <v>9.8813129168249309E-324</v>
      </c>
      <c r="K131" s="346" t="s">
        <v>215</v>
      </c>
    </row>
    <row r="132" spans="1:11" ht="14.4" customHeight="1" thickBot="1" x14ac:dyDescent="0.35">
      <c r="A132" s="359" t="s">
        <v>340</v>
      </c>
      <c r="B132" s="337">
        <v>4.9406564584124654E-324</v>
      </c>
      <c r="C132" s="337">
        <v>60.686999999999998</v>
      </c>
      <c r="D132" s="338">
        <v>60.686999999999998</v>
      </c>
      <c r="E132" s="347" t="s">
        <v>221</v>
      </c>
      <c r="F132" s="337">
        <v>0</v>
      </c>
      <c r="G132" s="338">
        <v>0</v>
      </c>
      <c r="H132" s="340">
        <v>4.9406564584124654E-324</v>
      </c>
      <c r="I132" s="337">
        <v>9.8813129168249309E-324</v>
      </c>
      <c r="J132" s="338">
        <v>9.8813129168249309E-324</v>
      </c>
      <c r="K132" s="348" t="s">
        <v>215</v>
      </c>
    </row>
    <row r="133" spans="1:11" ht="14.4" customHeight="1" thickBot="1" x14ac:dyDescent="0.35">
      <c r="A133" s="357" t="s">
        <v>341</v>
      </c>
      <c r="B133" s="337">
        <v>0</v>
      </c>
      <c r="C133" s="337">
        <v>59.952159999999999</v>
      </c>
      <c r="D133" s="338">
        <v>59.952159999999999</v>
      </c>
      <c r="E133" s="347" t="s">
        <v>215</v>
      </c>
      <c r="F133" s="337">
        <v>0</v>
      </c>
      <c r="G133" s="338">
        <v>0</v>
      </c>
      <c r="H133" s="340">
        <v>9.0169499999999996</v>
      </c>
      <c r="I133" s="337">
        <v>9.0169499999999996</v>
      </c>
      <c r="J133" s="338">
        <v>9.0169499999999996</v>
      </c>
      <c r="K133" s="348" t="s">
        <v>215</v>
      </c>
    </row>
    <row r="134" spans="1:11" ht="14.4" customHeight="1" thickBot="1" x14ac:dyDescent="0.35">
      <c r="A134" s="358" t="s">
        <v>342</v>
      </c>
      <c r="B134" s="342">
        <v>4.9406564584124654E-324</v>
      </c>
      <c r="C134" s="342">
        <v>46.174160000000001</v>
      </c>
      <c r="D134" s="343">
        <v>46.174160000000001</v>
      </c>
      <c r="E134" s="344" t="s">
        <v>221</v>
      </c>
      <c r="F134" s="342">
        <v>0</v>
      </c>
      <c r="G134" s="343">
        <v>0</v>
      </c>
      <c r="H134" s="345">
        <v>4.9406564584124654E-324</v>
      </c>
      <c r="I134" s="342">
        <v>9.8813129168249309E-324</v>
      </c>
      <c r="J134" s="343">
        <v>9.8813129168249309E-324</v>
      </c>
      <c r="K134" s="346" t="s">
        <v>215</v>
      </c>
    </row>
    <row r="135" spans="1:11" ht="14.4" customHeight="1" thickBot="1" x14ac:dyDescent="0.35">
      <c r="A135" s="359" t="s">
        <v>343</v>
      </c>
      <c r="B135" s="337">
        <v>4.9406564584124654E-324</v>
      </c>
      <c r="C135" s="337">
        <v>46.174160000000001</v>
      </c>
      <c r="D135" s="338">
        <v>46.174160000000001</v>
      </c>
      <c r="E135" s="347" t="s">
        <v>221</v>
      </c>
      <c r="F135" s="337">
        <v>0</v>
      </c>
      <c r="G135" s="338">
        <v>0</v>
      </c>
      <c r="H135" s="340">
        <v>4.9406564584124654E-324</v>
      </c>
      <c r="I135" s="337">
        <v>9.8813129168249309E-324</v>
      </c>
      <c r="J135" s="338">
        <v>9.8813129168249309E-324</v>
      </c>
      <c r="K135" s="348" t="s">
        <v>215</v>
      </c>
    </row>
    <row r="136" spans="1:11" ht="14.4" customHeight="1" thickBot="1" x14ac:dyDescent="0.35">
      <c r="A136" s="358" t="s">
        <v>344</v>
      </c>
      <c r="B136" s="342">
        <v>0</v>
      </c>
      <c r="C136" s="342">
        <v>13.778</v>
      </c>
      <c r="D136" s="343">
        <v>13.778</v>
      </c>
      <c r="E136" s="344" t="s">
        <v>215</v>
      </c>
      <c r="F136" s="342">
        <v>0</v>
      </c>
      <c r="G136" s="343">
        <v>0</v>
      </c>
      <c r="H136" s="345">
        <v>4.9406564584124654E-324</v>
      </c>
      <c r="I136" s="342">
        <v>9.8813129168249309E-324</v>
      </c>
      <c r="J136" s="343">
        <v>9.8813129168249309E-324</v>
      </c>
      <c r="K136" s="346" t="s">
        <v>215</v>
      </c>
    </row>
    <row r="137" spans="1:11" ht="14.4" customHeight="1" thickBot="1" x14ac:dyDescent="0.35">
      <c r="A137" s="359" t="s">
        <v>345</v>
      </c>
      <c r="B137" s="337">
        <v>0</v>
      </c>
      <c r="C137" s="337">
        <v>13.778</v>
      </c>
      <c r="D137" s="338">
        <v>13.778</v>
      </c>
      <c r="E137" s="347" t="s">
        <v>215</v>
      </c>
      <c r="F137" s="337">
        <v>0</v>
      </c>
      <c r="G137" s="338">
        <v>0</v>
      </c>
      <c r="H137" s="340">
        <v>4.9406564584124654E-324</v>
      </c>
      <c r="I137" s="337">
        <v>9.8813129168249309E-324</v>
      </c>
      <c r="J137" s="338">
        <v>9.8813129168249309E-324</v>
      </c>
      <c r="K137" s="348" t="s">
        <v>215</v>
      </c>
    </row>
    <row r="138" spans="1:11" ht="14.4" customHeight="1" thickBot="1" x14ac:dyDescent="0.35">
      <c r="A138" s="358" t="s">
        <v>346</v>
      </c>
      <c r="B138" s="342">
        <v>0</v>
      </c>
      <c r="C138" s="342">
        <v>4.9406564584124654E-324</v>
      </c>
      <c r="D138" s="343">
        <v>4.9406564584124654E-324</v>
      </c>
      <c r="E138" s="344" t="s">
        <v>215</v>
      </c>
      <c r="F138" s="342">
        <v>4.9406564584124654E-324</v>
      </c>
      <c r="G138" s="343">
        <v>0</v>
      </c>
      <c r="H138" s="345">
        <v>9.0169499999999996</v>
      </c>
      <c r="I138" s="342">
        <v>9.0169499999999996</v>
      </c>
      <c r="J138" s="343">
        <v>9.0169499999999996</v>
      </c>
      <c r="K138" s="346" t="s">
        <v>221</v>
      </c>
    </row>
    <row r="139" spans="1:11" ht="14.4" customHeight="1" thickBot="1" x14ac:dyDescent="0.35">
      <c r="A139" s="359" t="s">
        <v>347</v>
      </c>
      <c r="B139" s="337">
        <v>0</v>
      </c>
      <c r="C139" s="337">
        <v>4.9406564584124654E-324</v>
      </c>
      <c r="D139" s="338">
        <v>4.9406564584124654E-324</v>
      </c>
      <c r="E139" s="347" t="s">
        <v>215</v>
      </c>
      <c r="F139" s="337">
        <v>4.9406564584124654E-324</v>
      </c>
      <c r="G139" s="338">
        <v>0</v>
      </c>
      <c r="H139" s="340">
        <v>9.0169499999999996</v>
      </c>
      <c r="I139" s="337">
        <v>9.0169499999999996</v>
      </c>
      <c r="J139" s="338">
        <v>9.0169499999999996</v>
      </c>
      <c r="K139" s="348" t="s">
        <v>221</v>
      </c>
    </row>
    <row r="140" spans="1:11" ht="14.4" customHeight="1" thickBot="1" x14ac:dyDescent="0.35">
      <c r="A140" s="356" t="s">
        <v>348</v>
      </c>
      <c r="B140" s="337">
        <v>0</v>
      </c>
      <c r="C140" s="337">
        <v>0.22774</v>
      </c>
      <c r="D140" s="338">
        <v>0.22774</v>
      </c>
      <c r="E140" s="347" t="s">
        <v>215</v>
      </c>
      <c r="F140" s="337">
        <v>0</v>
      </c>
      <c r="G140" s="338">
        <v>0</v>
      </c>
      <c r="H140" s="340">
        <v>4.9406564584124654E-324</v>
      </c>
      <c r="I140" s="337">
        <v>9.8813129168249309E-324</v>
      </c>
      <c r="J140" s="338">
        <v>9.8813129168249309E-324</v>
      </c>
      <c r="K140" s="348" t="s">
        <v>215</v>
      </c>
    </row>
    <row r="141" spans="1:11" ht="14.4" customHeight="1" thickBot="1" x14ac:dyDescent="0.35">
      <c r="A141" s="357" t="s">
        <v>349</v>
      </c>
      <c r="B141" s="337">
        <v>0</v>
      </c>
      <c r="C141" s="337">
        <v>0.22774</v>
      </c>
      <c r="D141" s="338">
        <v>0.22774</v>
      </c>
      <c r="E141" s="347" t="s">
        <v>215</v>
      </c>
      <c r="F141" s="337">
        <v>0</v>
      </c>
      <c r="G141" s="338">
        <v>0</v>
      </c>
      <c r="H141" s="340">
        <v>4.9406564584124654E-324</v>
      </c>
      <c r="I141" s="337">
        <v>9.8813129168249309E-324</v>
      </c>
      <c r="J141" s="338">
        <v>9.8813129168249309E-324</v>
      </c>
      <c r="K141" s="348" t="s">
        <v>215</v>
      </c>
    </row>
    <row r="142" spans="1:11" ht="14.4" customHeight="1" thickBot="1" x14ac:dyDescent="0.35">
      <c r="A142" s="358" t="s">
        <v>350</v>
      </c>
      <c r="B142" s="342">
        <v>0</v>
      </c>
      <c r="C142" s="342">
        <v>0.22774</v>
      </c>
      <c r="D142" s="343">
        <v>0.22774</v>
      </c>
      <c r="E142" s="344" t="s">
        <v>215</v>
      </c>
      <c r="F142" s="342">
        <v>0</v>
      </c>
      <c r="G142" s="343">
        <v>0</v>
      </c>
      <c r="H142" s="345">
        <v>4.9406564584124654E-324</v>
      </c>
      <c r="I142" s="342">
        <v>9.8813129168249309E-324</v>
      </c>
      <c r="J142" s="343">
        <v>9.8813129168249309E-324</v>
      </c>
      <c r="K142" s="346" t="s">
        <v>215</v>
      </c>
    </row>
    <row r="143" spans="1:11" ht="14.4" customHeight="1" thickBot="1" x14ac:dyDescent="0.35">
      <c r="A143" s="359" t="s">
        <v>351</v>
      </c>
      <c r="B143" s="337">
        <v>0</v>
      </c>
      <c r="C143" s="337">
        <v>0.22774</v>
      </c>
      <c r="D143" s="338">
        <v>0.22774</v>
      </c>
      <c r="E143" s="347" t="s">
        <v>215</v>
      </c>
      <c r="F143" s="337">
        <v>0</v>
      </c>
      <c r="G143" s="338">
        <v>0</v>
      </c>
      <c r="H143" s="340">
        <v>4.9406564584124654E-324</v>
      </c>
      <c r="I143" s="337">
        <v>9.8813129168249309E-324</v>
      </c>
      <c r="J143" s="338">
        <v>9.8813129168249309E-324</v>
      </c>
      <c r="K143" s="348" t="s">
        <v>215</v>
      </c>
    </row>
    <row r="144" spans="1:11" ht="14.4" customHeight="1" thickBot="1" x14ac:dyDescent="0.35">
      <c r="A144" s="355" t="s">
        <v>352</v>
      </c>
      <c r="B144" s="337">
        <v>18788.0338845925</v>
      </c>
      <c r="C144" s="337">
        <v>22829.654350000001</v>
      </c>
      <c r="D144" s="338">
        <v>4041.62046540748</v>
      </c>
      <c r="E144" s="339">
        <v>1.2151167328220001</v>
      </c>
      <c r="F144" s="337">
        <v>21713.570643185602</v>
      </c>
      <c r="G144" s="338">
        <v>3618.9284405309299</v>
      </c>
      <c r="H144" s="340">
        <v>1652.5261</v>
      </c>
      <c r="I144" s="337">
        <v>3678.7848199999999</v>
      </c>
      <c r="J144" s="338">
        <v>59.856379469065999</v>
      </c>
      <c r="K144" s="341">
        <v>0.169423301236</v>
      </c>
    </row>
    <row r="145" spans="1:11" ht="14.4" customHeight="1" thickBot="1" x14ac:dyDescent="0.35">
      <c r="A145" s="356" t="s">
        <v>353</v>
      </c>
      <c r="B145" s="337">
        <v>18602.633950398002</v>
      </c>
      <c r="C145" s="337">
        <v>22539.103289999999</v>
      </c>
      <c r="D145" s="338">
        <v>3936.4693396020298</v>
      </c>
      <c r="E145" s="339">
        <v>1.2116081706540001</v>
      </c>
      <c r="F145" s="337">
        <v>21608.098796025901</v>
      </c>
      <c r="G145" s="338">
        <v>3601.34979933765</v>
      </c>
      <c r="H145" s="340">
        <v>1641.60556</v>
      </c>
      <c r="I145" s="337">
        <v>3667.01208</v>
      </c>
      <c r="J145" s="338">
        <v>65.662280662346006</v>
      </c>
      <c r="K145" s="341">
        <v>0.16970544769400001</v>
      </c>
    </row>
    <row r="146" spans="1:11" ht="14.4" customHeight="1" thickBot="1" x14ac:dyDescent="0.35">
      <c r="A146" s="357" t="s">
        <v>354</v>
      </c>
      <c r="B146" s="337">
        <v>17193.633950398002</v>
      </c>
      <c r="C146" s="337">
        <v>21218.101190000001</v>
      </c>
      <c r="D146" s="338">
        <v>4024.4672396020201</v>
      </c>
      <c r="E146" s="339">
        <v>1.234067286253</v>
      </c>
      <c r="F146" s="337">
        <v>20103.0239707742</v>
      </c>
      <c r="G146" s="338">
        <v>3350.50399512903</v>
      </c>
      <c r="H146" s="340">
        <v>1543.12022</v>
      </c>
      <c r="I146" s="337">
        <v>3401.4650999999999</v>
      </c>
      <c r="J146" s="338">
        <v>50.961104870968001</v>
      </c>
      <c r="K146" s="341">
        <v>0.16920166363700001</v>
      </c>
    </row>
    <row r="147" spans="1:11" ht="14.4" customHeight="1" thickBot="1" x14ac:dyDescent="0.35">
      <c r="A147" s="358" t="s">
        <v>355</v>
      </c>
      <c r="B147" s="342">
        <v>1192.63384835897</v>
      </c>
      <c r="C147" s="342">
        <v>1000.36308</v>
      </c>
      <c r="D147" s="343">
        <v>-192.270768358966</v>
      </c>
      <c r="E147" s="349">
        <v>0.83878474636300004</v>
      </c>
      <c r="F147" s="342">
        <v>1007.04727849767</v>
      </c>
      <c r="G147" s="343">
        <v>167.84121308294601</v>
      </c>
      <c r="H147" s="345">
        <v>61.408799999999999</v>
      </c>
      <c r="I147" s="342">
        <v>126.27585999999999</v>
      </c>
      <c r="J147" s="343">
        <v>-41.565353082945002</v>
      </c>
      <c r="K147" s="350">
        <v>0.12539218634099999</v>
      </c>
    </row>
    <row r="148" spans="1:11" ht="14.4" customHeight="1" thickBot="1" x14ac:dyDescent="0.35">
      <c r="A148" s="359" t="s">
        <v>356</v>
      </c>
      <c r="B148" s="337">
        <v>129.31944206542099</v>
      </c>
      <c r="C148" s="337">
        <v>134.83009999999999</v>
      </c>
      <c r="D148" s="338">
        <v>5.5106579345790001</v>
      </c>
      <c r="E148" s="339">
        <v>1.0426127568020001</v>
      </c>
      <c r="F148" s="337">
        <v>149.59395146692299</v>
      </c>
      <c r="G148" s="338">
        <v>24.932325244487</v>
      </c>
      <c r="H148" s="340">
        <v>0.23139999999999999</v>
      </c>
      <c r="I148" s="337">
        <v>0.46279999999999999</v>
      </c>
      <c r="J148" s="338">
        <v>-24.469525244486999</v>
      </c>
      <c r="K148" s="341">
        <v>3.0937079699999998E-3</v>
      </c>
    </row>
    <row r="149" spans="1:11" ht="14.4" customHeight="1" thickBot="1" x14ac:dyDescent="0.35">
      <c r="A149" s="359" t="s">
        <v>357</v>
      </c>
      <c r="B149" s="337">
        <v>548.16324474406099</v>
      </c>
      <c r="C149" s="337">
        <v>240.4228</v>
      </c>
      <c r="D149" s="338">
        <v>-307.74044474406099</v>
      </c>
      <c r="E149" s="339">
        <v>0.43859708272100001</v>
      </c>
      <c r="F149" s="337">
        <v>243.49522280917</v>
      </c>
      <c r="G149" s="338">
        <v>40.582537134860999</v>
      </c>
      <c r="H149" s="340">
        <v>18.754480000000001</v>
      </c>
      <c r="I149" s="337">
        <v>41.013919999999999</v>
      </c>
      <c r="J149" s="338">
        <v>0.431382865138</v>
      </c>
      <c r="K149" s="341">
        <v>0.16843829429900001</v>
      </c>
    </row>
    <row r="150" spans="1:11" ht="14.4" customHeight="1" thickBot="1" x14ac:dyDescent="0.35">
      <c r="A150" s="359" t="s">
        <v>358</v>
      </c>
      <c r="B150" s="337">
        <v>4.9406564584124654E-324</v>
      </c>
      <c r="C150" s="337">
        <v>4.3043399999999998</v>
      </c>
      <c r="D150" s="338">
        <v>4.3043399999999998</v>
      </c>
      <c r="E150" s="347" t="s">
        <v>221</v>
      </c>
      <c r="F150" s="337">
        <v>5.1874686730680004</v>
      </c>
      <c r="G150" s="338">
        <v>0.86457811217799996</v>
      </c>
      <c r="H150" s="340">
        <v>4.9406564584124654E-324</v>
      </c>
      <c r="I150" s="337">
        <v>9.8813129168249309E-324</v>
      </c>
      <c r="J150" s="338">
        <v>-0.86457811217799996</v>
      </c>
      <c r="K150" s="341">
        <v>0</v>
      </c>
    </row>
    <row r="151" spans="1:11" ht="14.4" customHeight="1" thickBot="1" x14ac:dyDescent="0.35">
      <c r="A151" s="359" t="s">
        <v>359</v>
      </c>
      <c r="B151" s="337">
        <v>48.409138486638</v>
      </c>
      <c r="C151" s="337">
        <v>56.934199999999997</v>
      </c>
      <c r="D151" s="338">
        <v>8.5250615133610008</v>
      </c>
      <c r="E151" s="339">
        <v>1.176104384004</v>
      </c>
      <c r="F151" s="337">
        <v>34.753447247171003</v>
      </c>
      <c r="G151" s="338">
        <v>5.7922412078610002</v>
      </c>
      <c r="H151" s="340">
        <v>4.9406564584124654E-324</v>
      </c>
      <c r="I151" s="337">
        <v>9.8813129168249309E-324</v>
      </c>
      <c r="J151" s="338">
        <v>-5.7922412078610002</v>
      </c>
      <c r="K151" s="341">
        <v>0</v>
      </c>
    </row>
    <row r="152" spans="1:11" ht="14.4" customHeight="1" thickBot="1" x14ac:dyDescent="0.35">
      <c r="A152" s="359" t="s">
        <v>360</v>
      </c>
      <c r="B152" s="337">
        <v>459.80059122808598</v>
      </c>
      <c r="C152" s="337">
        <v>563.87163999999996</v>
      </c>
      <c r="D152" s="338">
        <v>104.07104877191399</v>
      </c>
      <c r="E152" s="339">
        <v>1.2263395279539999</v>
      </c>
      <c r="F152" s="337">
        <v>574.017188301342</v>
      </c>
      <c r="G152" s="338">
        <v>95.669531383557</v>
      </c>
      <c r="H152" s="340">
        <v>42.422919999999998</v>
      </c>
      <c r="I152" s="337">
        <v>84.799139999999994</v>
      </c>
      <c r="J152" s="338">
        <v>-10.870391383556999</v>
      </c>
      <c r="K152" s="341">
        <v>0.14772926965899999</v>
      </c>
    </row>
    <row r="153" spans="1:11" ht="14.4" customHeight="1" thickBot="1" x14ac:dyDescent="0.35">
      <c r="A153" s="358" t="s">
        <v>361</v>
      </c>
      <c r="B153" s="342">
        <v>11.000153428955</v>
      </c>
      <c r="C153" s="342">
        <v>20.354810000000001</v>
      </c>
      <c r="D153" s="343">
        <v>9.3546565710439999</v>
      </c>
      <c r="E153" s="349">
        <v>1.8504114630270001</v>
      </c>
      <c r="F153" s="342">
        <v>0</v>
      </c>
      <c r="G153" s="343">
        <v>0</v>
      </c>
      <c r="H153" s="345">
        <v>10.4499</v>
      </c>
      <c r="I153" s="342">
        <v>10.4499</v>
      </c>
      <c r="J153" s="343">
        <v>10.4499</v>
      </c>
      <c r="K153" s="346" t="s">
        <v>215</v>
      </c>
    </row>
    <row r="154" spans="1:11" ht="14.4" customHeight="1" thickBot="1" x14ac:dyDescent="0.35">
      <c r="A154" s="359" t="s">
        <v>362</v>
      </c>
      <c r="B154" s="337">
        <v>11.000153428955</v>
      </c>
      <c r="C154" s="337">
        <v>20.354810000000001</v>
      </c>
      <c r="D154" s="338">
        <v>9.3546565710439999</v>
      </c>
      <c r="E154" s="339">
        <v>1.8504114630270001</v>
      </c>
      <c r="F154" s="337">
        <v>0</v>
      </c>
      <c r="G154" s="338">
        <v>0</v>
      </c>
      <c r="H154" s="340">
        <v>10.4499</v>
      </c>
      <c r="I154" s="337">
        <v>10.4499</v>
      </c>
      <c r="J154" s="338">
        <v>10.4499</v>
      </c>
      <c r="K154" s="348" t="s">
        <v>215</v>
      </c>
    </row>
    <row r="155" spans="1:11" ht="14.4" customHeight="1" thickBot="1" x14ac:dyDescent="0.35">
      <c r="A155" s="358" t="s">
        <v>363</v>
      </c>
      <c r="B155" s="342">
        <v>0</v>
      </c>
      <c r="C155" s="342">
        <v>1227.58105</v>
      </c>
      <c r="D155" s="343">
        <v>1227.58105</v>
      </c>
      <c r="E155" s="344" t="s">
        <v>215</v>
      </c>
      <c r="F155" s="342">
        <v>3489.9766922765102</v>
      </c>
      <c r="G155" s="343">
        <v>581.66278204608398</v>
      </c>
      <c r="H155" s="345">
        <v>74.426000000000002</v>
      </c>
      <c r="I155" s="342">
        <v>122.1035</v>
      </c>
      <c r="J155" s="343">
        <v>-459.55928204608398</v>
      </c>
      <c r="K155" s="350">
        <v>3.4986909875E-2</v>
      </c>
    </row>
    <row r="156" spans="1:11" ht="14.4" customHeight="1" thickBot="1" x14ac:dyDescent="0.35">
      <c r="A156" s="359" t="s">
        <v>364</v>
      </c>
      <c r="B156" s="337">
        <v>0</v>
      </c>
      <c r="C156" s="337">
        <v>1217.0834500000001</v>
      </c>
      <c r="D156" s="338">
        <v>1217.0834500000001</v>
      </c>
      <c r="E156" s="347" t="s">
        <v>215</v>
      </c>
      <c r="F156" s="337">
        <v>3489.9766922765102</v>
      </c>
      <c r="G156" s="338">
        <v>581.66278204608398</v>
      </c>
      <c r="H156" s="340">
        <v>74.426000000000002</v>
      </c>
      <c r="I156" s="337">
        <v>122.1035</v>
      </c>
      <c r="J156" s="338">
        <v>-459.55928204608398</v>
      </c>
      <c r="K156" s="341">
        <v>3.4986909875E-2</v>
      </c>
    </row>
    <row r="157" spans="1:11" ht="14.4" customHeight="1" thickBot="1" x14ac:dyDescent="0.35">
      <c r="A157" s="359" t="s">
        <v>365</v>
      </c>
      <c r="B157" s="337">
        <v>4.9406564584124654E-324</v>
      </c>
      <c r="C157" s="337">
        <v>10.4976</v>
      </c>
      <c r="D157" s="338">
        <v>10.4976</v>
      </c>
      <c r="E157" s="347" t="s">
        <v>221</v>
      </c>
      <c r="F157" s="337">
        <v>0</v>
      </c>
      <c r="G157" s="338">
        <v>0</v>
      </c>
      <c r="H157" s="340">
        <v>4.9406564584124654E-324</v>
      </c>
      <c r="I157" s="337">
        <v>9.8813129168249309E-324</v>
      </c>
      <c r="J157" s="338">
        <v>9.8813129168249309E-324</v>
      </c>
      <c r="K157" s="348" t="s">
        <v>215</v>
      </c>
    </row>
    <row r="158" spans="1:11" ht="14.4" customHeight="1" thickBot="1" x14ac:dyDescent="0.35">
      <c r="A158" s="358" t="s">
        <v>366</v>
      </c>
      <c r="B158" s="342">
        <v>4.9406564584124654E-324</v>
      </c>
      <c r="C158" s="342">
        <v>14.246090000000001</v>
      </c>
      <c r="D158" s="343">
        <v>14.246090000000001</v>
      </c>
      <c r="E158" s="344" t="s">
        <v>221</v>
      </c>
      <c r="F158" s="342">
        <v>0</v>
      </c>
      <c r="G158" s="343">
        <v>0</v>
      </c>
      <c r="H158" s="345">
        <v>4.9406564584124654E-324</v>
      </c>
      <c r="I158" s="342">
        <v>9.8813129168249309E-324</v>
      </c>
      <c r="J158" s="343">
        <v>9.8813129168249309E-324</v>
      </c>
      <c r="K158" s="346" t="s">
        <v>215</v>
      </c>
    </row>
    <row r="159" spans="1:11" ht="14.4" customHeight="1" thickBot="1" x14ac:dyDescent="0.35">
      <c r="A159" s="359" t="s">
        <v>367</v>
      </c>
      <c r="B159" s="337">
        <v>4.9406564584124654E-324</v>
      </c>
      <c r="C159" s="337">
        <v>14.246090000000001</v>
      </c>
      <c r="D159" s="338">
        <v>14.246090000000001</v>
      </c>
      <c r="E159" s="347" t="s">
        <v>221</v>
      </c>
      <c r="F159" s="337">
        <v>0</v>
      </c>
      <c r="G159" s="338">
        <v>0</v>
      </c>
      <c r="H159" s="340">
        <v>4.9406564584124654E-324</v>
      </c>
      <c r="I159" s="337">
        <v>9.8813129168249309E-324</v>
      </c>
      <c r="J159" s="338">
        <v>9.8813129168249309E-324</v>
      </c>
      <c r="K159" s="348" t="s">
        <v>215</v>
      </c>
    </row>
    <row r="160" spans="1:11" ht="14.4" customHeight="1" thickBot="1" x14ac:dyDescent="0.35">
      <c r="A160" s="358" t="s">
        <v>368</v>
      </c>
      <c r="B160" s="342">
        <v>4.9406564584124654E-324</v>
      </c>
      <c r="C160" s="342">
        <v>-0.17196</v>
      </c>
      <c r="D160" s="343">
        <v>-0.17196</v>
      </c>
      <c r="E160" s="344" t="s">
        <v>221</v>
      </c>
      <c r="F160" s="342">
        <v>0</v>
      </c>
      <c r="G160" s="343">
        <v>0</v>
      </c>
      <c r="H160" s="345">
        <v>4.9406564584124654E-324</v>
      </c>
      <c r="I160" s="342">
        <v>9.8813129168249309E-324</v>
      </c>
      <c r="J160" s="343">
        <v>9.8813129168249309E-324</v>
      </c>
      <c r="K160" s="346" t="s">
        <v>215</v>
      </c>
    </row>
    <row r="161" spans="1:11" ht="14.4" customHeight="1" thickBot="1" x14ac:dyDescent="0.35">
      <c r="A161" s="359" t="s">
        <v>369</v>
      </c>
      <c r="B161" s="337">
        <v>4.9406564584124654E-324</v>
      </c>
      <c r="C161" s="337">
        <v>-0.17196</v>
      </c>
      <c r="D161" s="338">
        <v>-0.17196</v>
      </c>
      <c r="E161" s="347" t="s">
        <v>221</v>
      </c>
      <c r="F161" s="337">
        <v>0</v>
      </c>
      <c r="G161" s="338">
        <v>0</v>
      </c>
      <c r="H161" s="340">
        <v>4.9406564584124654E-324</v>
      </c>
      <c r="I161" s="337">
        <v>9.8813129168249309E-324</v>
      </c>
      <c r="J161" s="338">
        <v>9.8813129168249309E-324</v>
      </c>
      <c r="K161" s="348" t="s">
        <v>215</v>
      </c>
    </row>
    <row r="162" spans="1:11" ht="14.4" customHeight="1" thickBot="1" x14ac:dyDescent="0.35">
      <c r="A162" s="358" t="s">
        <v>370</v>
      </c>
      <c r="B162" s="342">
        <v>15989.999948610101</v>
      </c>
      <c r="C162" s="342">
        <v>17630.178500000002</v>
      </c>
      <c r="D162" s="343">
        <v>1640.1785513899399</v>
      </c>
      <c r="E162" s="349">
        <v>1.1025752693340001</v>
      </c>
      <c r="F162" s="342">
        <v>15606</v>
      </c>
      <c r="G162" s="343">
        <v>2601</v>
      </c>
      <c r="H162" s="345">
        <v>1352.7605599999999</v>
      </c>
      <c r="I162" s="342">
        <v>3030.5363900000002</v>
      </c>
      <c r="J162" s="343">
        <v>429.53638999999902</v>
      </c>
      <c r="K162" s="350">
        <v>0.19419046456399999</v>
      </c>
    </row>
    <row r="163" spans="1:11" ht="14.4" customHeight="1" thickBot="1" x14ac:dyDescent="0.35">
      <c r="A163" s="359" t="s">
        <v>371</v>
      </c>
      <c r="B163" s="337">
        <v>10753.999967579301</v>
      </c>
      <c r="C163" s="337">
        <v>10327.911050000001</v>
      </c>
      <c r="D163" s="338">
        <v>-426.08891757934703</v>
      </c>
      <c r="E163" s="339">
        <v>0.96037856436000002</v>
      </c>
      <c r="F163" s="337">
        <v>11965</v>
      </c>
      <c r="G163" s="338">
        <v>1994.1666666666699</v>
      </c>
      <c r="H163" s="340">
        <v>784.34005999999999</v>
      </c>
      <c r="I163" s="337">
        <v>1799.55089</v>
      </c>
      <c r="J163" s="338">
        <v>-194.61577666666801</v>
      </c>
      <c r="K163" s="341">
        <v>0.15040124446299999</v>
      </c>
    </row>
    <row r="164" spans="1:11" ht="14.4" customHeight="1" thickBot="1" x14ac:dyDescent="0.35">
      <c r="A164" s="359" t="s">
        <v>372</v>
      </c>
      <c r="B164" s="337">
        <v>5235.9999810307099</v>
      </c>
      <c r="C164" s="337">
        <v>7302.2674500000003</v>
      </c>
      <c r="D164" s="338">
        <v>2066.2674689692899</v>
      </c>
      <c r="E164" s="339">
        <v>1.3946270963430001</v>
      </c>
      <c r="F164" s="337">
        <v>3641</v>
      </c>
      <c r="G164" s="338">
        <v>606.83333333333303</v>
      </c>
      <c r="H164" s="340">
        <v>568.42049999999995</v>
      </c>
      <c r="I164" s="337">
        <v>1230.9855</v>
      </c>
      <c r="J164" s="338">
        <v>624.15216666666697</v>
      </c>
      <c r="K164" s="341">
        <v>0.33808994781599999</v>
      </c>
    </row>
    <row r="165" spans="1:11" ht="14.4" customHeight="1" thickBot="1" x14ac:dyDescent="0.35">
      <c r="A165" s="358" t="s">
        <v>373</v>
      </c>
      <c r="B165" s="342">
        <v>0</v>
      </c>
      <c r="C165" s="342">
        <v>1325.54962</v>
      </c>
      <c r="D165" s="343">
        <v>1325.54962</v>
      </c>
      <c r="E165" s="344" t="s">
        <v>215</v>
      </c>
      <c r="F165" s="342">
        <v>0</v>
      </c>
      <c r="G165" s="343">
        <v>0</v>
      </c>
      <c r="H165" s="345">
        <v>44.074959999999997</v>
      </c>
      <c r="I165" s="342">
        <v>112.09945</v>
      </c>
      <c r="J165" s="343">
        <v>112.09945</v>
      </c>
      <c r="K165" s="346" t="s">
        <v>215</v>
      </c>
    </row>
    <row r="166" spans="1:11" ht="14.4" customHeight="1" thickBot="1" x14ac:dyDescent="0.35">
      <c r="A166" s="359" t="s">
        <v>374</v>
      </c>
      <c r="B166" s="337">
        <v>4.9406564584124654E-324</v>
      </c>
      <c r="C166" s="337">
        <v>1084.6579999999999</v>
      </c>
      <c r="D166" s="338">
        <v>1084.6579999999999</v>
      </c>
      <c r="E166" s="347" t="s">
        <v>221</v>
      </c>
      <c r="F166" s="337">
        <v>0</v>
      </c>
      <c r="G166" s="338">
        <v>0</v>
      </c>
      <c r="H166" s="340">
        <v>4.9406564584124654E-324</v>
      </c>
      <c r="I166" s="337">
        <v>68.02449</v>
      </c>
      <c r="J166" s="338">
        <v>68.02449</v>
      </c>
      <c r="K166" s="348" t="s">
        <v>215</v>
      </c>
    </row>
    <row r="167" spans="1:11" ht="14.4" customHeight="1" thickBot="1" x14ac:dyDescent="0.35">
      <c r="A167" s="359" t="s">
        <v>375</v>
      </c>
      <c r="B167" s="337">
        <v>0</v>
      </c>
      <c r="C167" s="337">
        <v>240.89161999999999</v>
      </c>
      <c r="D167" s="338">
        <v>240.89161999999999</v>
      </c>
      <c r="E167" s="347" t="s">
        <v>215</v>
      </c>
      <c r="F167" s="337">
        <v>0</v>
      </c>
      <c r="G167" s="338">
        <v>0</v>
      </c>
      <c r="H167" s="340">
        <v>44.074959999999997</v>
      </c>
      <c r="I167" s="337">
        <v>44.074959999999997</v>
      </c>
      <c r="J167" s="338">
        <v>44.074959999999997</v>
      </c>
      <c r="K167" s="348" t="s">
        <v>215</v>
      </c>
    </row>
    <row r="168" spans="1:11" ht="14.4" customHeight="1" thickBot="1" x14ac:dyDescent="0.35">
      <c r="A168" s="362" t="s">
        <v>376</v>
      </c>
      <c r="B168" s="342">
        <v>1408.99999999999</v>
      </c>
      <c r="C168" s="342">
        <v>1321.0020999999999</v>
      </c>
      <c r="D168" s="343">
        <v>-87.997899999986998</v>
      </c>
      <c r="E168" s="349">
        <v>0.93754584811899999</v>
      </c>
      <c r="F168" s="342">
        <v>1505.0748252517301</v>
      </c>
      <c r="G168" s="343">
        <v>250.84580420862201</v>
      </c>
      <c r="H168" s="345">
        <v>98.485339999999994</v>
      </c>
      <c r="I168" s="342">
        <v>265.54698000000002</v>
      </c>
      <c r="J168" s="343">
        <v>14.701175791377</v>
      </c>
      <c r="K168" s="350">
        <v>0.17643440415299999</v>
      </c>
    </row>
    <row r="169" spans="1:11" ht="14.4" customHeight="1" thickBot="1" x14ac:dyDescent="0.35">
      <c r="A169" s="358" t="s">
        <v>377</v>
      </c>
      <c r="B169" s="342">
        <v>1408.99999999999</v>
      </c>
      <c r="C169" s="342">
        <v>1321.0020999999999</v>
      </c>
      <c r="D169" s="343">
        <v>-87.997899999986998</v>
      </c>
      <c r="E169" s="349">
        <v>0.93754584811899999</v>
      </c>
      <c r="F169" s="342">
        <v>1505.0748252517301</v>
      </c>
      <c r="G169" s="343">
        <v>250.84580420862201</v>
      </c>
      <c r="H169" s="345">
        <v>98.485339999999994</v>
      </c>
      <c r="I169" s="342">
        <v>265.54698000000002</v>
      </c>
      <c r="J169" s="343">
        <v>14.701175791377</v>
      </c>
      <c r="K169" s="350">
        <v>0.17643440415299999</v>
      </c>
    </row>
    <row r="170" spans="1:11" ht="14.4" customHeight="1" thickBot="1" x14ac:dyDescent="0.35">
      <c r="A170" s="359" t="s">
        <v>378</v>
      </c>
      <c r="B170" s="337">
        <v>1408.99999999999</v>
      </c>
      <c r="C170" s="337">
        <v>1321.0020999999999</v>
      </c>
      <c r="D170" s="338">
        <v>-87.997899999986998</v>
      </c>
      <c r="E170" s="339">
        <v>0.93754584811899999</v>
      </c>
      <c r="F170" s="337">
        <v>1505.0748252517301</v>
      </c>
      <c r="G170" s="338">
        <v>250.84580420862201</v>
      </c>
      <c r="H170" s="340">
        <v>98.485339999999994</v>
      </c>
      <c r="I170" s="337">
        <v>265.54698000000002</v>
      </c>
      <c r="J170" s="338">
        <v>14.701175791377</v>
      </c>
      <c r="K170" s="341">
        <v>0.17643440415299999</v>
      </c>
    </row>
    <row r="171" spans="1:11" ht="14.4" customHeight="1" thickBot="1" x14ac:dyDescent="0.35">
      <c r="A171" s="356" t="s">
        <v>379</v>
      </c>
      <c r="B171" s="337">
        <v>185.39993419455001</v>
      </c>
      <c r="C171" s="337">
        <v>290.55106000000001</v>
      </c>
      <c r="D171" s="338">
        <v>105.15112580544999</v>
      </c>
      <c r="E171" s="339">
        <v>1.567158377171</v>
      </c>
      <c r="F171" s="337">
        <v>105.47184715968601</v>
      </c>
      <c r="G171" s="338">
        <v>17.578641193281001</v>
      </c>
      <c r="H171" s="340">
        <v>10.920540000000001</v>
      </c>
      <c r="I171" s="337">
        <v>11.772740000000001</v>
      </c>
      <c r="J171" s="338">
        <v>-5.8059011932800004</v>
      </c>
      <c r="K171" s="341">
        <v>0.111619738508</v>
      </c>
    </row>
    <row r="172" spans="1:11" ht="14.4" customHeight="1" thickBot="1" x14ac:dyDescent="0.35">
      <c r="A172" s="357" t="s">
        <v>380</v>
      </c>
      <c r="B172" s="337">
        <v>93.322165388727001</v>
      </c>
      <c r="C172" s="337">
        <v>145.50815</v>
      </c>
      <c r="D172" s="338">
        <v>52.185984611271998</v>
      </c>
      <c r="E172" s="339">
        <v>1.559202461643</v>
      </c>
      <c r="F172" s="337">
        <v>0</v>
      </c>
      <c r="G172" s="338">
        <v>0</v>
      </c>
      <c r="H172" s="340">
        <v>10.76295</v>
      </c>
      <c r="I172" s="337">
        <v>11.42895</v>
      </c>
      <c r="J172" s="338">
        <v>11.42895</v>
      </c>
      <c r="K172" s="348" t="s">
        <v>215</v>
      </c>
    </row>
    <row r="173" spans="1:11" ht="14.4" customHeight="1" thickBot="1" x14ac:dyDescent="0.35">
      <c r="A173" s="358" t="s">
        <v>381</v>
      </c>
      <c r="B173" s="342">
        <v>0</v>
      </c>
      <c r="C173" s="342">
        <v>1.331</v>
      </c>
      <c r="D173" s="343">
        <v>1.331</v>
      </c>
      <c r="E173" s="344" t="s">
        <v>215</v>
      </c>
      <c r="F173" s="342">
        <v>4.9406564584124654E-324</v>
      </c>
      <c r="G173" s="343">
        <v>0</v>
      </c>
      <c r="H173" s="345">
        <v>10.76295</v>
      </c>
      <c r="I173" s="342">
        <v>11.42895</v>
      </c>
      <c r="J173" s="343">
        <v>11.42895</v>
      </c>
      <c r="K173" s="346" t="s">
        <v>221</v>
      </c>
    </row>
    <row r="174" spans="1:11" ht="14.4" customHeight="1" thickBot="1" x14ac:dyDescent="0.35">
      <c r="A174" s="359" t="s">
        <v>382</v>
      </c>
      <c r="B174" s="337">
        <v>0</v>
      </c>
      <c r="C174" s="337">
        <v>1.331</v>
      </c>
      <c r="D174" s="338">
        <v>1.331</v>
      </c>
      <c r="E174" s="347" t="s">
        <v>215</v>
      </c>
      <c r="F174" s="337">
        <v>4.9406564584124654E-324</v>
      </c>
      <c r="G174" s="338">
        <v>0</v>
      </c>
      <c r="H174" s="340">
        <v>10.76295</v>
      </c>
      <c r="I174" s="337">
        <v>11.42895</v>
      </c>
      <c r="J174" s="338">
        <v>11.42895</v>
      </c>
      <c r="K174" s="348" t="s">
        <v>221</v>
      </c>
    </row>
    <row r="175" spans="1:11" ht="14.4" customHeight="1" thickBot="1" x14ac:dyDescent="0.35">
      <c r="A175" s="358" t="s">
        <v>383</v>
      </c>
      <c r="B175" s="342">
        <v>93.322165388727001</v>
      </c>
      <c r="C175" s="342">
        <v>144.17715000000001</v>
      </c>
      <c r="D175" s="343">
        <v>50.854984611272002</v>
      </c>
      <c r="E175" s="349">
        <v>1.544940040765</v>
      </c>
      <c r="F175" s="342">
        <v>0</v>
      </c>
      <c r="G175" s="343">
        <v>0</v>
      </c>
      <c r="H175" s="345">
        <v>4.9406564584124654E-324</v>
      </c>
      <c r="I175" s="342">
        <v>9.8813129168249309E-324</v>
      </c>
      <c r="J175" s="343">
        <v>9.8813129168249309E-324</v>
      </c>
      <c r="K175" s="346" t="s">
        <v>215</v>
      </c>
    </row>
    <row r="176" spans="1:11" ht="14.4" customHeight="1" thickBot="1" x14ac:dyDescent="0.35">
      <c r="A176" s="359" t="s">
        <v>384</v>
      </c>
      <c r="B176" s="337">
        <v>0</v>
      </c>
      <c r="C176" s="337">
        <v>90.962209999999999</v>
      </c>
      <c r="D176" s="338">
        <v>90.962209999999999</v>
      </c>
      <c r="E176" s="347" t="s">
        <v>215</v>
      </c>
      <c r="F176" s="337">
        <v>0</v>
      </c>
      <c r="G176" s="338">
        <v>0</v>
      </c>
      <c r="H176" s="340">
        <v>4.9406564584124654E-324</v>
      </c>
      <c r="I176" s="337">
        <v>9.8813129168249309E-324</v>
      </c>
      <c r="J176" s="338">
        <v>9.8813129168249309E-324</v>
      </c>
      <c r="K176" s="348" t="s">
        <v>215</v>
      </c>
    </row>
    <row r="177" spans="1:11" ht="14.4" customHeight="1" thickBot="1" x14ac:dyDescent="0.35">
      <c r="A177" s="359" t="s">
        <v>385</v>
      </c>
      <c r="B177" s="337">
        <v>4.9406564584124654E-324</v>
      </c>
      <c r="C177" s="337">
        <v>0.48399999999999999</v>
      </c>
      <c r="D177" s="338">
        <v>0.48399999999999999</v>
      </c>
      <c r="E177" s="347" t="s">
        <v>221</v>
      </c>
      <c r="F177" s="337">
        <v>0</v>
      </c>
      <c r="G177" s="338">
        <v>0</v>
      </c>
      <c r="H177" s="340">
        <v>4.9406564584124654E-324</v>
      </c>
      <c r="I177" s="337">
        <v>9.8813129168249309E-324</v>
      </c>
      <c r="J177" s="338">
        <v>9.8813129168249309E-324</v>
      </c>
      <c r="K177" s="348" t="s">
        <v>215</v>
      </c>
    </row>
    <row r="178" spans="1:11" ht="14.4" customHeight="1" thickBot="1" x14ac:dyDescent="0.35">
      <c r="A178" s="359" t="s">
        <v>386</v>
      </c>
      <c r="B178" s="337">
        <v>0</v>
      </c>
      <c r="C178" s="337">
        <v>40.8399</v>
      </c>
      <c r="D178" s="338">
        <v>40.8399</v>
      </c>
      <c r="E178" s="347" t="s">
        <v>215</v>
      </c>
      <c r="F178" s="337">
        <v>0</v>
      </c>
      <c r="G178" s="338">
        <v>0</v>
      </c>
      <c r="H178" s="340">
        <v>4.9406564584124654E-324</v>
      </c>
      <c r="I178" s="337">
        <v>9.8813129168249309E-324</v>
      </c>
      <c r="J178" s="338">
        <v>9.8813129168249309E-324</v>
      </c>
      <c r="K178" s="348" t="s">
        <v>215</v>
      </c>
    </row>
    <row r="179" spans="1:11" ht="14.4" customHeight="1" thickBot="1" x14ac:dyDescent="0.35">
      <c r="A179" s="359" t="s">
        <v>387</v>
      </c>
      <c r="B179" s="337">
        <v>0</v>
      </c>
      <c r="C179" s="337">
        <v>6.6791999999999998</v>
      </c>
      <c r="D179" s="338">
        <v>6.6791999999999998</v>
      </c>
      <c r="E179" s="347" t="s">
        <v>215</v>
      </c>
      <c r="F179" s="337">
        <v>0</v>
      </c>
      <c r="G179" s="338">
        <v>0</v>
      </c>
      <c r="H179" s="340">
        <v>4.9406564584124654E-324</v>
      </c>
      <c r="I179" s="337">
        <v>9.8813129168249309E-324</v>
      </c>
      <c r="J179" s="338">
        <v>9.8813129168249309E-324</v>
      </c>
      <c r="K179" s="348" t="s">
        <v>215</v>
      </c>
    </row>
    <row r="180" spans="1:11" ht="14.4" customHeight="1" thickBot="1" x14ac:dyDescent="0.35">
      <c r="A180" s="359" t="s">
        <v>388</v>
      </c>
      <c r="B180" s="337">
        <v>0</v>
      </c>
      <c r="C180" s="337">
        <v>5.2118399999999996</v>
      </c>
      <c r="D180" s="338">
        <v>5.2118399999999996</v>
      </c>
      <c r="E180" s="347" t="s">
        <v>215</v>
      </c>
      <c r="F180" s="337">
        <v>0</v>
      </c>
      <c r="G180" s="338">
        <v>0</v>
      </c>
      <c r="H180" s="340">
        <v>4.9406564584124654E-324</v>
      </c>
      <c r="I180" s="337">
        <v>9.8813129168249309E-324</v>
      </c>
      <c r="J180" s="338">
        <v>9.8813129168249309E-324</v>
      </c>
      <c r="K180" s="348" t="s">
        <v>215</v>
      </c>
    </row>
    <row r="181" spans="1:11" ht="14.4" customHeight="1" thickBot="1" x14ac:dyDescent="0.35">
      <c r="A181" s="362" t="s">
        <v>389</v>
      </c>
      <c r="B181" s="342">
        <v>92.077768805822004</v>
      </c>
      <c r="C181" s="342">
        <v>145.04291000000001</v>
      </c>
      <c r="D181" s="343">
        <v>52.965141194177001</v>
      </c>
      <c r="E181" s="349">
        <v>1.575221813919</v>
      </c>
      <c r="F181" s="342">
        <v>105.47184715968601</v>
      </c>
      <c r="G181" s="343">
        <v>17.578641193281001</v>
      </c>
      <c r="H181" s="345">
        <v>0.15759000000000001</v>
      </c>
      <c r="I181" s="342">
        <v>0.34378999999999998</v>
      </c>
      <c r="J181" s="343">
        <v>-17.234851193280999</v>
      </c>
      <c r="K181" s="350">
        <v>3.2595427990000001E-3</v>
      </c>
    </row>
    <row r="182" spans="1:11" ht="14.4" customHeight="1" thickBot="1" x14ac:dyDescent="0.35">
      <c r="A182" s="358" t="s">
        <v>390</v>
      </c>
      <c r="B182" s="342">
        <v>0</v>
      </c>
      <c r="C182" s="342">
        <v>37.631959999999999</v>
      </c>
      <c r="D182" s="343">
        <v>37.631959999999999</v>
      </c>
      <c r="E182" s="344" t="s">
        <v>215</v>
      </c>
      <c r="F182" s="342">
        <v>0</v>
      </c>
      <c r="G182" s="343">
        <v>0</v>
      </c>
      <c r="H182" s="345">
        <v>1.259E-2</v>
      </c>
      <c r="I182" s="342">
        <v>2.479E-2</v>
      </c>
      <c r="J182" s="343">
        <v>2.479E-2</v>
      </c>
      <c r="K182" s="346" t="s">
        <v>215</v>
      </c>
    </row>
    <row r="183" spans="1:11" ht="14.4" customHeight="1" thickBot="1" x14ac:dyDescent="0.35">
      <c r="A183" s="359" t="s">
        <v>391</v>
      </c>
      <c r="B183" s="337">
        <v>0</v>
      </c>
      <c r="C183" s="337">
        <v>-0.17804</v>
      </c>
      <c r="D183" s="338">
        <v>-0.17804</v>
      </c>
      <c r="E183" s="347" t="s">
        <v>215</v>
      </c>
      <c r="F183" s="337">
        <v>0</v>
      </c>
      <c r="G183" s="338">
        <v>0</v>
      </c>
      <c r="H183" s="340">
        <v>1.259E-2</v>
      </c>
      <c r="I183" s="337">
        <v>2.479E-2</v>
      </c>
      <c r="J183" s="338">
        <v>2.479E-2</v>
      </c>
      <c r="K183" s="348" t="s">
        <v>215</v>
      </c>
    </row>
    <row r="184" spans="1:11" ht="14.4" customHeight="1" thickBot="1" x14ac:dyDescent="0.35">
      <c r="A184" s="359" t="s">
        <v>392</v>
      </c>
      <c r="B184" s="337">
        <v>4.9406564584124654E-324</v>
      </c>
      <c r="C184" s="337">
        <v>37.81</v>
      </c>
      <c r="D184" s="338">
        <v>37.81</v>
      </c>
      <c r="E184" s="347" t="s">
        <v>221</v>
      </c>
      <c r="F184" s="337">
        <v>0</v>
      </c>
      <c r="G184" s="338">
        <v>0</v>
      </c>
      <c r="H184" s="340">
        <v>4.9406564584124654E-324</v>
      </c>
      <c r="I184" s="337">
        <v>9.8813129168249309E-324</v>
      </c>
      <c r="J184" s="338">
        <v>9.8813129168249309E-324</v>
      </c>
      <c r="K184" s="348" t="s">
        <v>215</v>
      </c>
    </row>
    <row r="185" spans="1:11" ht="14.4" customHeight="1" thickBot="1" x14ac:dyDescent="0.35">
      <c r="A185" s="358" t="s">
        <v>393</v>
      </c>
      <c r="B185" s="342">
        <v>92.077768805822004</v>
      </c>
      <c r="C185" s="342">
        <v>101.02594999999999</v>
      </c>
      <c r="D185" s="343">
        <v>8.9481811941769998</v>
      </c>
      <c r="E185" s="349">
        <v>1.0971806909549999</v>
      </c>
      <c r="F185" s="342">
        <v>105.47184715968601</v>
      </c>
      <c r="G185" s="343">
        <v>17.578641193281001</v>
      </c>
      <c r="H185" s="345">
        <v>0.14499999999999999</v>
      </c>
      <c r="I185" s="342">
        <v>0.31900000000000001</v>
      </c>
      <c r="J185" s="343">
        <v>-17.259641193280999</v>
      </c>
      <c r="K185" s="350">
        <v>3.0245037759999999E-3</v>
      </c>
    </row>
    <row r="186" spans="1:11" ht="14.4" customHeight="1" thickBot="1" x14ac:dyDescent="0.35">
      <c r="A186" s="359" t="s">
        <v>394</v>
      </c>
      <c r="B186" s="337">
        <v>0</v>
      </c>
      <c r="C186" s="337">
        <v>6.5000000000000002E-2</v>
      </c>
      <c r="D186" s="338">
        <v>6.5000000000000002E-2</v>
      </c>
      <c r="E186" s="347" t="s">
        <v>215</v>
      </c>
      <c r="F186" s="337">
        <v>0</v>
      </c>
      <c r="G186" s="338">
        <v>0</v>
      </c>
      <c r="H186" s="340">
        <v>4.9406564584124654E-324</v>
      </c>
      <c r="I186" s="337">
        <v>9.8813129168249309E-324</v>
      </c>
      <c r="J186" s="338">
        <v>9.8813129168249309E-324</v>
      </c>
      <c r="K186" s="348" t="s">
        <v>215</v>
      </c>
    </row>
    <row r="187" spans="1:11" ht="14.4" customHeight="1" thickBot="1" x14ac:dyDescent="0.35">
      <c r="A187" s="359" t="s">
        <v>395</v>
      </c>
      <c r="B187" s="337">
        <v>67.371120854959003</v>
      </c>
      <c r="C187" s="337">
        <v>68.112719999999996</v>
      </c>
      <c r="D187" s="338">
        <v>0.74159914504000002</v>
      </c>
      <c r="E187" s="339">
        <v>1.0110076711739999</v>
      </c>
      <c r="F187" s="337">
        <v>80.845345025952</v>
      </c>
      <c r="G187" s="338">
        <v>13.474224170992001</v>
      </c>
      <c r="H187" s="340">
        <v>4.9406564584124654E-324</v>
      </c>
      <c r="I187" s="337">
        <v>9.8813129168249309E-324</v>
      </c>
      <c r="J187" s="338">
        <v>-13.474224170992001</v>
      </c>
      <c r="K187" s="341">
        <v>0</v>
      </c>
    </row>
    <row r="188" spans="1:11" ht="14.4" customHeight="1" thickBot="1" x14ac:dyDescent="0.35">
      <c r="A188" s="359" t="s">
        <v>396</v>
      </c>
      <c r="B188" s="337">
        <v>18.274048688451</v>
      </c>
      <c r="C188" s="337">
        <v>10.7</v>
      </c>
      <c r="D188" s="338">
        <v>-7.5740486884509997</v>
      </c>
      <c r="E188" s="339">
        <v>0.58552979596400001</v>
      </c>
      <c r="F188" s="337">
        <v>18.193902871321999</v>
      </c>
      <c r="G188" s="338">
        <v>3.03231714522</v>
      </c>
      <c r="H188" s="340">
        <v>0.14499999999999999</v>
      </c>
      <c r="I188" s="337">
        <v>0.31900000000000001</v>
      </c>
      <c r="J188" s="338">
        <v>-2.71331714522</v>
      </c>
      <c r="K188" s="341">
        <v>1.7533346322000001E-2</v>
      </c>
    </row>
    <row r="189" spans="1:11" ht="14.4" customHeight="1" thickBot="1" x14ac:dyDescent="0.35">
      <c r="A189" s="359" t="s">
        <v>397</v>
      </c>
      <c r="B189" s="337">
        <v>6.4325992624110002</v>
      </c>
      <c r="C189" s="337">
        <v>22.148230000000002</v>
      </c>
      <c r="D189" s="338">
        <v>15.715630737588</v>
      </c>
      <c r="E189" s="339">
        <v>3.443122926904</v>
      </c>
      <c r="F189" s="337">
        <v>6.4325992624110002</v>
      </c>
      <c r="G189" s="338">
        <v>1.0720998770679999</v>
      </c>
      <c r="H189" s="340">
        <v>4.9406564584124654E-324</v>
      </c>
      <c r="I189" s="337">
        <v>9.8813129168249309E-324</v>
      </c>
      <c r="J189" s="338">
        <v>-1.0720998770679999</v>
      </c>
      <c r="K189" s="341">
        <v>0</v>
      </c>
    </row>
    <row r="190" spans="1:11" ht="14.4" customHeight="1" thickBot="1" x14ac:dyDescent="0.35">
      <c r="A190" s="358" t="s">
        <v>398</v>
      </c>
      <c r="B190" s="342">
        <v>4.9406564584124654E-324</v>
      </c>
      <c r="C190" s="342">
        <v>6.3849999999999998</v>
      </c>
      <c r="D190" s="343">
        <v>6.3849999999999998</v>
      </c>
      <c r="E190" s="344" t="s">
        <v>221</v>
      </c>
      <c r="F190" s="342">
        <v>0</v>
      </c>
      <c r="G190" s="343">
        <v>0</v>
      </c>
      <c r="H190" s="345">
        <v>4.9406564584124654E-324</v>
      </c>
      <c r="I190" s="342">
        <v>9.8813129168249309E-324</v>
      </c>
      <c r="J190" s="343">
        <v>9.8813129168249309E-324</v>
      </c>
      <c r="K190" s="346" t="s">
        <v>215</v>
      </c>
    </row>
    <row r="191" spans="1:11" ht="14.4" customHeight="1" thickBot="1" x14ac:dyDescent="0.35">
      <c r="A191" s="359" t="s">
        <v>399</v>
      </c>
      <c r="B191" s="337">
        <v>4.9406564584124654E-324</v>
      </c>
      <c r="C191" s="337">
        <v>6.3849999999999998</v>
      </c>
      <c r="D191" s="338">
        <v>6.3849999999999998</v>
      </c>
      <c r="E191" s="347" t="s">
        <v>221</v>
      </c>
      <c r="F191" s="337">
        <v>0</v>
      </c>
      <c r="G191" s="338">
        <v>0</v>
      </c>
      <c r="H191" s="340">
        <v>4.9406564584124654E-324</v>
      </c>
      <c r="I191" s="337">
        <v>9.8813129168249309E-324</v>
      </c>
      <c r="J191" s="338">
        <v>9.8813129168249309E-324</v>
      </c>
      <c r="K191" s="348" t="s">
        <v>215</v>
      </c>
    </row>
    <row r="192" spans="1:11" ht="14.4" customHeight="1" thickBot="1" x14ac:dyDescent="0.35">
      <c r="A192" s="355" t="s">
        <v>400</v>
      </c>
      <c r="B192" s="337">
        <v>2324.3839632859199</v>
      </c>
      <c r="C192" s="337">
        <v>2265.68975</v>
      </c>
      <c r="D192" s="338">
        <v>-58.694213285924</v>
      </c>
      <c r="E192" s="339">
        <v>0.97474848638900002</v>
      </c>
      <c r="F192" s="337">
        <v>2523.0019846895402</v>
      </c>
      <c r="G192" s="338">
        <v>420.50033078158998</v>
      </c>
      <c r="H192" s="340">
        <v>187.95821000000001</v>
      </c>
      <c r="I192" s="337">
        <v>390.67318999999998</v>
      </c>
      <c r="J192" s="338">
        <v>-29.827140781589002</v>
      </c>
      <c r="K192" s="341">
        <v>0.15484458290899999</v>
      </c>
    </row>
    <row r="193" spans="1:11" ht="14.4" customHeight="1" thickBot="1" x14ac:dyDescent="0.35">
      <c r="A193" s="360" t="s">
        <v>401</v>
      </c>
      <c r="B193" s="342">
        <v>2324.3839632859199</v>
      </c>
      <c r="C193" s="342">
        <v>2265.68975</v>
      </c>
      <c r="D193" s="343">
        <v>-58.694213285924</v>
      </c>
      <c r="E193" s="349">
        <v>0.97474848638900002</v>
      </c>
      <c r="F193" s="342">
        <v>2523.0019846895402</v>
      </c>
      <c r="G193" s="343">
        <v>420.50033078158998</v>
      </c>
      <c r="H193" s="345">
        <v>187.95821000000001</v>
      </c>
      <c r="I193" s="342">
        <v>390.67318999999998</v>
      </c>
      <c r="J193" s="343">
        <v>-29.827140781589002</v>
      </c>
      <c r="K193" s="350">
        <v>0.15484458290899999</v>
      </c>
    </row>
    <row r="194" spans="1:11" ht="14.4" customHeight="1" thickBot="1" x14ac:dyDescent="0.35">
      <c r="A194" s="362" t="s">
        <v>43</v>
      </c>
      <c r="B194" s="342">
        <v>2324.3839632859199</v>
      </c>
      <c r="C194" s="342">
        <v>2265.68975</v>
      </c>
      <c r="D194" s="343">
        <v>-58.694213285924</v>
      </c>
      <c r="E194" s="349">
        <v>0.97474848638900002</v>
      </c>
      <c r="F194" s="342">
        <v>2523.0019846895402</v>
      </c>
      <c r="G194" s="343">
        <v>420.50033078158998</v>
      </c>
      <c r="H194" s="345">
        <v>187.95821000000001</v>
      </c>
      <c r="I194" s="342">
        <v>390.67318999999998</v>
      </c>
      <c r="J194" s="343">
        <v>-29.827140781589002</v>
      </c>
      <c r="K194" s="350">
        <v>0.15484458290899999</v>
      </c>
    </row>
    <row r="195" spans="1:11" ht="14.4" customHeight="1" thickBot="1" x14ac:dyDescent="0.35">
      <c r="A195" s="358" t="s">
        <v>402</v>
      </c>
      <c r="B195" s="342">
        <v>12.491705339519999</v>
      </c>
      <c r="C195" s="342">
        <v>13.324999999999999</v>
      </c>
      <c r="D195" s="343">
        <v>0.83329466047900003</v>
      </c>
      <c r="E195" s="349">
        <v>1.0667078383469999</v>
      </c>
      <c r="F195" s="342">
        <v>14.001984689537</v>
      </c>
      <c r="G195" s="343">
        <v>2.3336641149220001</v>
      </c>
      <c r="H195" s="345">
        <v>0.4</v>
      </c>
      <c r="I195" s="342">
        <v>0.69299999999999995</v>
      </c>
      <c r="J195" s="343">
        <v>-1.640664114922</v>
      </c>
      <c r="K195" s="350">
        <v>4.9492983699000001E-2</v>
      </c>
    </row>
    <row r="196" spans="1:11" ht="14.4" customHeight="1" thickBot="1" x14ac:dyDescent="0.35">
      <c r="A196" s="359" t="s">
        <v>403</v>
      </c>
      <c r="B196" s="337">
        <v>12.491705339519999</v>
      </c>
      <c r="C196" s="337">
        <v>13.324999999999999</v>
      </c>
      <c r="D196" s="338">
        <v>0.83329466047900003</v>
      </c>
      <c r="E196" s="339">
        <v>1.0667078383469999</v>
      </c>
      <c r="F196" s="337">
        <v>14.001984689537</v>
      </c>
      <c r="G196" s="338">
        <v>2.3336641149220001</v>
      </c>
      <c r="H196" s="340">
        <v>0.4</v>
      </c>
      <c r="I196" s="337">
        <v>0.69299999999999995</v>
      </c>
      <c r="J196" s="338">
        <v>-1.640664114922</v>
      </c>
      <c r="K196" s="341">
        <v>4.9492983699000001E-2</v>
      </c>
    </row>
    <row r="197" spans="1:11" ht="14.4" customHeight="1" thickBot="1" x14ac:dyDescent="0.35">
      <c r="A197" s="358" t="s">
        <v>404</v>
      </c>
      <c r="B197" s="342">
        <v>108.89225794643301</v>
      </c>
      <c r="C197" s="342">
        <v>105.1422</v>
      </c>
      <c r="D197" s="343">
        <v>-3.7500579464319999</v>
      </c>
      <c r="E197" s="349">
        <v>0.965561757859</v>
      </c>
      <c r="F197" s="342">
        <v>118</v>
      </c>
      <c r="G197" s="343">
        <v>19.666666666666</v>
      </c>
      <c r="H197" s="345">
        <v>5.1703999999999999</v>
      </c>
      <c r="I197" s="342">
        <v>11.711</v>
      </c>
      <c r="J197" s="343">
        <v>-7.9556666666659996</v>
      </c>
      <c r="K197" s="350">
        <v>9.9245762710999996E-2</v>
      </c>
    </row>
    <row r="198" spans="1:11" ht="14.4" customHeight="1" thickBot="1" x14ac:dyDescent="0.35">
      <c r="A198" s="359" t="s">
        <v>405</v>
      </c>
      <c r="B198" s="337">
        <v>108.89225794643301</v>
      </c>
      <c r="C198" s="337">
        <v>105.1422</v>
      </c>
      <c r="D198" s="338">
        <v>-3.7500579464319999</v>
      </c>
      <c r="E198" s="339">
        <v>0.965561757859</v>
      </c>
      <c r="F198" s="337">
        <v>118</v>
      </c>
      <c r="G198" s="338">
        <v>19.666666666666</v>
      </c>
      <c r="H198" s="340">
        <v>5.1703999999999999</v>
      </c>
      <c r="I198" s="337">
        <v>11.711</v>
      </c>
      <c r="J198" s="338">
        <v>-7.9556666666659996</v>
      </c>
      <c r="K198" s="341">
        <v>9.9245762710999996E-2</v>
      </c>
    </row>
    <row r="199" spans="1:11" ht="14.4" customHeight="1" thickBot="1" x14ac:dyDescent="0.35">
      <c r="A199" s="358" t="s">
        <v>406</v>
      </c>
      <c r="B199" s="342">
        <v>4.9406564584124654E-324</v>
      </c>
      <c r="C199" s="342">
        <v>2.0699999999999998</v>
      </c>
      <c r="D199" s="343">
        <v>2.0699999999999998</v>
      </c>
      <c r="E199" s="344" t="s">
        <v>221</v>
      </c>
      <c r="F199" s="342">
        <v>4.9406564584124654E-324</v>
      </c>
      <c r="G199" s="343">
        <v>0</v>
      </c>
      <c r="H199" s="345">
        <v>0.42</v>
      </c>
      <c r="I199" s="342">
        <v>0.92</v>
      </c>
      <c r="J199" s="343">
        <v>0.92</v>
      </c>
      <c r="K199" s="346" t="s">
        <v>221</v>
      </c>
    </row>
    <row r="200" spans="1:11" ht="14.4" customHeight="1" thickBot="1" x14ac:dyDescent="0.35">
      <c r="A200" s="359" t="s">
        <v>407</v>
      </c>
      <c r="B200" s="337">
        <v>4.9406564584124654E-324</v>
      </c>
      <c r="C200" s="337">
        <v>2.0699999999999998</v>
      </c>
      <c r="D200" s="338">
        <v>2.0699999999999998</v>
      </c>
      <c r="E200" s="347" t="s">
        <v>221</v>
      </c>
      <c r="F200" s="337">
        <v>4.9406564584124654E-324</v>
      </c>
      <c r="G200" s="338">
        <v>0</v>
      </c>
      <c r="H200" s="340">
        <v>0.42</v>
      </c>
      <c r="I200" s="337">
        <v>0.92</v>
      </c>
      <c r="J200" s="338">
        <v>0.92</v>
      </c>
      <c r="K200" s="348" t="s">
        <v>221</v>
      </c>
    </row>
    <row r="201" spans="1:11" ht="14.4" customHeight="1" thickBot="1" x14ac:dyDescent="0.35">
      <c r="A201" s="358" t="s">
        <v>408</v>
      </c>
      <c r="B201" s="342">
        <v>461.99999999999397</v>
      </c>
      <c r="C201" s="342">
        <v>409.71510999999998</v>
      </c>
      <c r="D201" s="343">
        <v>-52.284889999992998</v>
      </c>
      <c r="E201" s="349">
        <v>0.88682924242399996</v>
      </c>
      <c r="F201" s="342">
        <v>569</v>
      </c>
      <c r="G201" s="343">
        <v>94.833333333333002</v>
      </c>
      <c r="H201" s="345">
        <v>24.930959999999999</v>
      </c>
      <c r="I201" s="342">
        <v>57.846629999999998</v>
      </c>
      <c r="J201" s="343">
        <v>-36.986703333332997</v>
      </c>
      <c r="K201" s="350">
        <v>0.10166367311000001</v>
      </c>
    </row>
    <row r="202" spans="1:11" ht="14.4" customHeight="1" thickBot="1" x14ac:dyDescent="0.35">
      <c r="A202" s="359" t="s">
        <v>409</v>
      </c>
      <c r="B202" s="337">
        <v>461.99999999999397</v>
      </c>
      <c r="C202" s="337">
        <v>409.71510999999998</v>
      </c>
      <c r="D202" s="338">
        <v>-52.284889999992998</v>
      </c>
      <c r="E202" s="339">
        <v>0.88682924242399996</v>
      </c>
      <c r="F202" s="337">
        <v>569</v>
      </c>
      <c r="G202" s="338">
        <v>94.833333333333002</v>
      </c>
      <c r="H202" s="340">
        <v>24.930959999999999</v>
      </c>
      <c r="I202" s="337">
        <v>57.846629999999998</v>
      </c>
      <c r="J202" s="338">
        <v>-36.986703333332997</v>
      </c>
      <c r="K202" s="341">
        <v>0.10166367311000001</v>
      </c>
    </row>
    <row r="203" spans="1:11" ht="14.4" customHeight="1" thickBot="1" x14ac:dyDescent="0.35">
      <c r="A203" s="358" t="s">
        <v>410</v>
      </c>
      <c r="B203" s="342">
        <v>0</v>
      </c>
      <c r="C203" s="342">
        <v>7.9850000000000003</v>
      </c>
      <c r="D203" s="343">
        <v>7.9850000000000003</v>
      </c>
      <c r="E203" s="344" t="s">
        <v>215</v>
      </c>
      <c r="F203" s="342">
        <v>4.9406564584124654E-324</v>
      </c>
      <c r="G203" s="343">
        <v>0</v>
      </c>
      <c r="H203" s="345">
        <v>4.9406564584124654E-324</v>
      </c>
      <c r="I203" s="342">
        <v>9.8813129168249309E-324</v>
      </c>
      <c r="J203" s="343">
        <v>9.8813129168249309E-324</v>
      </c>
      <c r="K203" s="350">
        <v>2</v>
      </c>
    </row>
    <row r="204" spans="1:11" ht="14.4" customHeight="1" thickBot="1" x14ac:dyDescent="0.35">
      <c r="A204" s="359" t="s">
        <v>411</v>
      </c>
      <c r="B204" s="337">
        <v>0</v>
      </c>
      <c r="C204" s="337">
        <v>7.9850000000000003</v>
      </c>
      <c r="D204" s="338">
        <v>7.9850000000000003</v>
      </c>
      <c r="E204" s="347" t="s">
        <v>215</v>
      </c>
      <c r="F204" s="337">
        <v>4.9406564584124654E-324</v>
      </c>
      <c r="G204" s="338">
        <v>0</v>
      </c>
      <c r="H204" s="340">
        <v>4.9406564584124654E-324</v>
      </c>
      <c r="I204" s="337">
        <v>9.8813129168249309E-324</v>
      </c>
      <c r="J204" s="338">
        <v>9.8813129168249309E-324</v>
      </c>
      <c r="K204" s="341">
        <v>2</v>
      </c>
    </row>
    <row r="205" spans="1:11" ht="14.4" customHeight="1" thickBot="1" x14ac:dyDescent="0.35">
      <c r="A205" s="358" t="s">
        <v>412</v>
      </c>
      <c r="B205" s="342">
        <v>1740.99999999998</v>
      </c>
      <c r="C205" s="342">
        <v>1727.45244</v>
      </c>
      <c r="D205" s="343">
        <v>-13.547559999977</v>
      </c>
      <c r="E205" s="349">
        <v>0.99221851809299999</v>
      </c>
      <c r="F205" s="342">
        <v>1822</v>
      </c>
      <c r="G205" s="343">
        <v>303.66666666666703</v>
      </c>
      <c r="H205" s="345">
        <v>157.03684999999999</v>
      </c>
      <c r="I205" s="342">
        <v>319.50256000000002</v>
      </c>
      <c r="J205" s="343">
        <v>15.835893333333001</v>
      </c>
      <c r="K205" s="350">
        <v>0.17535815587199999</v>
      </c>
    </row>
    <row r="206" spans="1:11" ht="14.4" customHeight="1" thickBot="1" x14ac:dyDescent="0.35">
      <c r="A206" s="359" t="s">
        <v>413</v>
      </c>
      <c r="B206" s="337">
        <v>1740.99999999998</v>
      </c>
      <c r="C206" s="337">
        <v>1727.45244</v>
      </c>
      <c r="D206" s="338">
        <v>-13.547559999977</v>
      </c>
      <c r="E206" s="339">
        <v>0.99221851809299999</v>
      </c>
      <c r="F206" s="337">
        <v>1822</v>
      </c>
      <c r="G206" s="338">
        <v>303.66666666666703</v>
      </c>
      <c r="H206" s="340">
        <v>157.03684999999999</v>
      </c>
      <c r="I206" s="337">
        <v>319.50256000000002</v>
      </c>
      <c r="J206" s="338">
        <v>15.835893333333001</v>
      </c>
      <c r="K206" s="341">
        <v>0.17535815587199999</v>
      </c>
    </row>
    <row r="207" spans="1:11" ht="14.4" customHeight="1" thickBot="1" x14ac:dyDescent="0.35">
      <c r="A207" s="363" t="s">
        <v>414</v>
      </c>
      <c r="B207" s="342">
        <v>0</v>
      </c>
      <c r="C207" s="342">
        <v>4.9756</v>
      </c>
      <c r="D207" s="343">
        <v>4.9756</v>
      </c>
      <c r="E207" s="344" t="s">
        <v>215</v>
      </c>
      <c r="F207" s="342">
        <v>4.9406564584124654E-324</v>
      </c>
      <c r="G207" s="343">
        <v>0</v>
      </c>
      <c r="H207" s="345">
        <v>4.9406564584124654E-324</v>
      </c>
      <c r="I207" s="342">
        <v>9.8813129168249309E-324</v>
      </c>
      <c r="J207" s="343">
        <v>9.8813129168249309E-324</v>
      </c>
      <c r="K207" s="350">
        <v>2</v>
      </c>
    </row>
    <row r="208" spans="1:11" ht="14.4" customHeight="1" thickBot="1" x14ac:dyDescent="0.35">
      <c r="A208" s="360" t="s">
        <v>415</v>
      </c>
      <c r="B208" s="342">
        <v>0</v>
      </c>
      <c r="C208" s="342">
        <v>4.9756</v>
      </c>
      <c r="D208" s="343">
        <v>4.9756</v>
      </c>
      <c r="E208" s="344" t="s">
        <v>215</v>
      </c>
      <c r="F208" s="342">
        <v>4.9406564584124654E-324</v>
      </c>
      <c r="G208" s="343">
        <v>0</v>
      </c>
      <c r="H208" s="345">
        <v>4.9406564584124654E-324</v>
      </c>
      <c r="I208" s="342">
        <v>9.8813129168249309E-324</v>
      </c>
      <c r="J208" s="343">
        <v>9.8813129168249309E-324</v>
      </c>
      <c r="K208" s="350">
        <v>2</v>
      </c>
    </row>
    <row r="209" spans="1:11" ht="14.4" customHeight="1" thickBot="1" x14ac:dyDescent="0.35">
      <c r="A209" s="362" t="s">
        <v>416</v>
      </c>
      <c r="B209" s="342">
        <v>0</v>
      </c>
      <c r="C209" s="342">
        <v>4.9756</v>
      </c>
      <c r="D209" s="343">
        <v>4.9756</v>
      </c>
      <c r="E209" s="344" t="s">
        <v>215</v>
      </c>
      <c r="F209" s="342">
        <v>4.9406564584124654E-324</v>
      </c>
      <c r="G209" s="343">
        <v>0</v>
      </c>
      <c r="H209" s="345">
        <v>4.9406564584124654E-324</v>
      </c>
      <c r="I209" s="342">
        <v>9.8813129168249309E-324</v>
      </c>
      <c r="J209" s="343">
        <v>9.8813129168249309E-324</v>
      </c>
      <c r="K209" s="350">
        <v>2</v>
      </c>
    </row>
    <row r="210" spans="1:11" ht="14.4" customHeight="1" thickBot="1" x14ac:dyDescent="0.35">
      <c r="A210" s="358" t="s">
        <v>417</v>
      </c>
      <c r="B210" s="342">
        <v>4.9406564584124654E-324</v>
      </c>
      <c r="C210" s="342">
        <v>4.9756</v>
      </c>
      <c r="D210" s="343">
        <v>4.9756</v>
      </c>
      <c r="E210" s="344" t="s">
        <v>221</v>
      </c>
      <c r="F210" s="342">
        <v>4.9406564584124654E-324</v>
      </c>
      <c r="G210" s="343">
        <v>0</v>
      </c>
      <c r="H210" s="345">
        <v>4.9406564584124654E-324</v>
      </c>
      <c r="I210" s="342">
        <v>9.8813129168249309E-324</v>
      </c>
      <c r="J210" s="343">
        <v>9.8813129168249309E-324</v>
      </c>
      <c r="K210" s="350">
        <v>2</v>
      </c>
    </row>
    <row r="211" spans="1:11" ht="14.4" customHeight="1" thickBot="1" x14ac:dyDescent="0.35">
      <c r="A211" s="359" t="s">
        <v>418</v>
      </c>
      <c r="B211" s="337">
        <v>4.9406564584124654E-324</v>
      </c>
      <c r="C211" s="337">
        <v>4.9756</v>
      </c>
      <c r="D211" s="338">
        <v>4.9756</v>
      </c>
      <c r="E211" s="347" t="s">
        <v>221</v>
      </c>
      <c r="F211" s="337">
        <v>4.9406564584124654E-324</v>
      </c>
      <c r="G211" s="338">
        <v>0</v>
      </c>
      <c r="H211" s="340">
        <v>4.9406564584124654E-324</v>
      </c>
      <c r="I211" s="337">
        <v>9.8813129168249309E-324</v>
      </c>
      <c r="J211" s="338">
        <v>9.8813129168249309E-324</v>
      </c>
      <c r="K211" s="341">
        <v>2</v>
      </c>
    </row>
    <row r="212" spans="1:11" ht="14.4" customHeight="1" thickBot="1" x14ac:dyDescent="0.35">
      <c r="A212" s="364"/>
      <c r="B212" s="337">
        <v>-708.25292507869699</v>
      </c>
      <c r="C212" s="337">
        <v>1265.8933299999901</v>
      </c>
      <c r="D212" s="338">
        <v>1974.14625507869</v>
      </c>
      <c r="E212" s="339">
        <v>-1.7873464198669999</v>
      </c>
      <c r="F212" s="337">
        <v>-1848.92120222116</v>
      </c>
      <c r="G212" s="338">
        <v>-308.15353370352602</v>
      </c>
      <c r="H212" s="340">
        <v>-163.92552000000001</v>
      </c>
      <c r="I212" s="337">
        <v>-8.0630900000079997</v>
      </c>
      <c r="J212" s="338">
        <v>300.09044370351802</v>
      </c>
      <c r="K212" s="341">
        <v>4.3609700560000002E-3</v>
      </c>
    </row>
    <row r="213" spans="1:11" ht="14.4" customHeight="1" thickBot="1" x14ac:dyDescent="0.35">
      <c r="A213" s="365" t="s">
        <v>55</v>
      </c>
      <c r="B213" s="351">
        <v>-708.25292507871904</v>
      </c>
      <c r="C213" s="351">
        <v>1265.8933299999901</v>
      </c>
      <c r="D213" s="352">
        <v>1974.1462550787101</v>
      </c>
      <c r="E213" s="353" t="s">
        <v>215</v>
      </c>
      <c r="F213" s="351">
        <v>-1848.92120222116</v>
      </c>
      <c r="G213" s="352">
        <v>-308.15353370352602</v>
      </c>
      <c r="H213" s="351">
        <v>-163.92552000000001</v>
      </c>
      <c r="I213" s="351">
        <v>-8.0630900000079997</v>
      </c>
      <c r="J213" s="352">
        <v>300.09044370351802</v>
      </c>
      <c r="K213" s="354">
        <v>4.3609700560000002E-3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87" bestFit="1" customWidth="1"/>
    <col min="2" max="2" width="9.33203125" style="187" customWidth="1"/>
    <col min="3" max="3" width="28.88671875" style="110" bestFit="1" customWidth="1"/>
    <col min="4" max="4" width="12.77734375" style="188" bestFit="1" customWidth="1"/>
    <col min="5" max="5" width="11.109375" style="188" customWidth="1"/>
    <col min="6" max="6" width="6.6640625" style="189" customWidth="1"/>
    <col min="7" max="7" width="12.21875" style="186" bestFit="1" customWidth="1"/>
    <col min="8" max="8" width="0" style="110" hidden="1" customWidth="1"/>
    <col min="9" max="16384" width="8.88671875" style="110"/>
  </cols>
  <sheetData>
    <row r="1" spans="1:8" ht="18.600000000000001" customHeight="1" thickBot="1" x14ac:dyDescent="0.4">
      <c r="A1" s="307" t="s">
        <v>118</v>
      </c>
      <c r="B1" s="308"/>
      <c r="C1" s="308"/>
      <c r="D1" s="308"/>
      <c r="E1" s="308"/>
      <c r="F1" s="308"/>
      <c r="G1" s="284"/>
    </row>
    <row r="2" spans="1:8" ht="14.4" customHeight="1" thickBot="1" x14ac:dyDescent="0.35">
      <c r="A2" s="207" t="s">
        <v>214</v>
      </c>
      <c r="B2" s="185"/>
      <c r="C2" s="185"/>
      <c r="D2" s="185"/>
      <c r="E2" s="185"/>
      <c r="F2" s="185"/>
    </row>
    <row r="3" spans="1:8" ht="14.4" customHeight="1" thickBot="1" x14ac:dyDescent="0.35">
      <c r="A3" s="63" t="s">
        <v>0</v>
      </c>
      <c r="B3" s="64" t="s">
        <v>1</v>
      </c>
      <c r="C3" s="76" t="s">
        <v>2</v>
      </c>
      <c r="D3" s="77" t="s">
        <v>138</v>
      </c>
      <c r="E3" s="77" t="s">
        <v>4</v>
      </c>
      <c r="F3" s="77" t="s">
        <v>5</v>
      </c>
      <c r="G3" s="78" t="s">
        <v>122</v>
      </c>
    </row>
    <row r="4" spans="1:8" ht="14.4" customHeight="1" x14ac:dyDescent="0.3">
      <c r="A4" s="366" t="s">
        <v>419</v>
      </c>
      <c r="B4" s="367" t="s">
        <v>420</v>
      </c>
      <c r="C4" s="368" t="s">
        <v>421</v>
      </c>
      <c r="D4" s="368" t="s">
        <v>420</v>
      </c>
      <c r="E4" s="368" t="s">
        <v>420</v>
      </c>
      <c r="F4" s="369" t="s">
        <v>420</v>
      </c>
      <c r="G4" s="368" t="s">
        <v>420</v>
      </c>
      <c r="H4" s="368" t="s">
        <v>58</v>
      </c>
    </row>
    <row r="5" spans="1:8" ht="14.4" customHeight="1" x14ac:dyDescent="0.3">
      <c r="A5" s="366" t="s">
        <v>419</v>
      </c>
      <c r="B5" s="367" t="s">
        <v>422</v>
      </c>
      <c r="C5" s="368" t="s">
        <v>423</v>
      </c>
      <c r="D5" s="368">
        <v>6661.7290446283996</v>
      </c>
      <c r="E5" s="368">
        <v>3914.3095676182784</v>
      </c>
      <c r="F5" s="369">
        <v>0.58758162353879162</v>
      </c>
      <c r="G5" s="368">
        <v>-2747.4194770101212</v>
      </c>
      <c r="H5" s="368" t="s">
        <v>2</v>
      </c>
    </row>
    <row r="6" spans="1:8" ht="14.4" customHeight="1" x14ac:dyDescent="0.3">
      <c r="A6" s="366" t="s">
        <v>419</v>
      </c>
      <c r="B6" s="367" t="s">
        <v>6</v>
      </c>
      <c r="C6" s="368" t="s">
        <v>421</v>
      </c>
      <c r="D6" s="368">
        <v>6739.6877403982498</v>
      </c>
      <c r="E6" s="368">
        <v>3914.3095676182784</v>
      </c>
      <c r="F6" s="369">
        <v>0.58078500345877759</v>
      </c>
      <c r="G6" s="368">
        <v>-2825.3781727799715</v>
      </c>
      <c r="H6" s="368" t="s">
        <v>424</v>
      </c>
    </row>
    <row r="8" spans="1:8" ht="14.4" customHeight="1" x14ac:dyDescent="0.3">
      <c r="A8" s="366" t="s">
        <v>419</v>
      </c>
      <c r="B8" s="367" t="s">
        <v>420</v>
      </c>
      <c r="C8" s="368" t="s">
        <v>421</v>
      </c>
      <c r="D8" s="368" t="s">
        <v>420</v>
      </c>
      <c r="E8" s="368" t="s">
        <v>420</v>
      </c>
      <c r="F8" s="369" t="s">
        <v>420</v>
      </c>
      <c r="G8" s="368" t="s">
        <v>420</v>
      </c>
      <c r="H8" s="368" t="s">
        <v>58</v>
      </c>
    </row>
    <row r="9" spans="1:8" ht="14.4" customHeight="1" x14ac:dyDescent="0.3">
      <c r="A9" s="366" t="s">
        <v>425</v>
      </c>
      <c r="B9" s="367" t="s">
        <v>422</v>
      </c>
      <c r="C9" s="368" t="s">
        <v>423</v>
      </c>
      <c r="D9" s="368">
        <v>6661.7290446283996</v>
      </c>
      <c r="E9" s="368">
        <v>3914.3095676182784</v>
      </c>
      <c r="F9" s="369">
        <v>0.58758162353879162</v>
      </c>
      <c r="G9" s="368">
        <v>-2747.4194770101212</v>
      </c>
      <c r="H9" s="368" t="s">
        <v>2</v>
      </c>
    </row>
    <row r="10" spans="1:8" ht="14.4" customHeight="1" x14ac:dyDescent="0.3">
      <c r="A10" s="366" t="s">
        <v>425</v>
      </c>
      <c r="B10" s="367" t="s">
        <v>6</v>
      </c>
      <c r="C10" s="368" t="s">
        <v>426</v>
      </c>
      <c r="D10" s="368">
        <v>6739.6877403982498</v>
      </c>
      <c r="E10" s="368">
        <v>3914.3095676182784</v>
      </c>
      <c r="F10" s="369">
        <v>0.58078500345877759</v>
      </c>
      <c r="G10" s="368">
        <v>-2825.3781727799715</v>
      </c>
      <c r="H10" s="368" t="s">
        <v>427</v>
      </c>
    </row>
    <row r="11" spans="1:8" ht="14.4" customHeight="1" x14ac:dyDescent="0.3">
      <c r="A11" s="366" t="s">
        <v>420</v>
      </c>
      <c r="B11" s="367" t="s">
        <v>420</v>
      </c>
      <c r="C11" s="368" t="s">
        <v>420</v>
      </c>
      <c r="D11" s="368" t="s">
        <v>420</v>
      </c>
      <c r="E11" s="368" t="s">
        <v>420</v>
      </c>
      <c r="F11" s="369" t="s">
        <v>420</v>
      </c>
      <c r="G11" s="368" t="s">
        <v>420</v>
      </c>
      <c r="H11" s="368" t="s">
        <v>428</v>
      </c>
    </row>
    <row r="12" spans="1:8" ht="14.4" customHeight="1" x14ac:dyDescent="0.3">
      <c r="A12" s="366" t="s">
        <v>419</v>
      </c>
      <c r="B12" s="367" t="s">
        <v>6</v>
      </c>
      <c r="C12" s="368" t="s">
        <v>421</v>
      </c>
      <c r="D12" s="368">
        <v>6739.6877403982498</v>
      </c>
      <c r="E12" s="368">
        <v>3914.3095676182784</v>
      </c>
      <c r="F12" s="369">
        <v>0.58078500345877759</v>
      </c>
      <c r="G12" s="368">
        <v>-2825.3781727799715</v>
      </c>
      <c r="H12" s="368" t="s">
        <v>424</v>
      </c>
    </row>
  </sheetData>
  <autoFilter ref="A3:G3"/>
  <mergeCells count="1">
    <mergeCell ref="A1:G1"/>
  </mergeCells>
  <conditionalFormatting sqref="F7 F13:F65536">
    <cfRule type="cellIs" dxfId="30" priority="15" stopIfTrue="1" operator="greaterThan">
      <formula>1</formula>
    </cfRule>
  </conditionalFormatting>
  <conditionalFormatting sqref="B4:B6">
    <cfRule type="expression" dxfId="29" priority="12">
      <formula>AND(LEFT(H4,6)&lt;&gt;"mezera",H4&lt;&gt;"")</formula>
    </cfRule>
  </conditionalFormatting>
  <conditionalFormatting sqref="A4:A6">
    <cfRule type="expression" dxfId="28" priority="10">
      <formula>AND(H4&lt;&gt;"",H4&lt;&gt;"mezeraKL")</formula>
    </cfRule>
  </conditionalFormatting>
  <conditionalFormatting sqref="G4:G6">
    <cfRule type="cellIs" dxfId="27" priority="9" operator="greaterThan">
      <formula>0</formula>
    </cfRule>
  </conditionalFormatting>
  <conditionalFormatting sqref="F4:F6">
    <cfRule type="cellIs" dxfId="26" priority="8" operator="greaterThan">
      <formula>1</formula>
    </cfRule>
  </conditionalFormatting>
  <conditionalFormatting sqref="B4:G6">
    <cfRule type="expression" dxfId="25" priority="11">
      <formula>OR($H4="KL",$H4="SumaKL")</formula>
    </cfRule>
    <cfRule type="expression" dxfId="24" priority="13">
      <formula>$H4="SumaNS"</formula>
    </cfRule>
  </conditionalFormatting>
  <conditionalFormatting sqref="A4:G6">
    <cfRule type="expression" dxfId="23" priority="14">
      <formula>$H4&lt;&gt;""</formula>
    </cfRule>
  </conditionalFormatting>
  <conditionalFormatting sqref="F8:F12">
    <cfRule type="cellIs" dxfId="22" priority="3" operator="greaterThan">
      <formula>1</formula>
    </cfRule>
  </conditionalFormatting>
  <conditionalFormatting sqref="B8:B12">
    <cfRule type="expression" dxfId="21" priority="6">
      <formula>AND(LEFT(H8,6)&lt;&gt;"mezera",H8&lt;&gt;"")</formula>
    </cfRule>
  </conditionalFormatting>
  <conditionalFormatting sqref="A8:A12">
    <cfRule type="expression" dxfId="20" priority="4">
      <formula>AND(H8&lt;&gt;"",H8&lt;&gt;"mezeraKL")</formula>
    </cfRule>
  </conditionalFormatting>
  <conditionalFormatting sqref="G8:G12">
    <cfRule type="cellIs" dxfId="19" priority="2" operator="greaterThan">
      <formula>0</formula>
    </cfRule>
  </conditionalFormatting>
  <conditionalFormatting sqref="B8:G12">
    <cfRule type="expression" dxfId="18" priority="5">
      <formula>OR($H8="KL",$H8="SumaKL")</formula>
    </cfRule>
    <cfRule type="expression" dxfId="17" priority="7">
      <formula>$H8="SumaNS"</formula>
    </cfRule>
  </conditionalFormatting>
  <conditionalFormatting sqref="A8:G12">
    <cfRule type="expression" dxfId="16" priority="1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0" hidden="1" customWidth="1" outlineLevel="1"/>
    <col min="2" max="2" width="28.33203125" style="110" hidden="1" customWidth="1" outlineLevel="1"/>
    <col min="3" max="3" width="5.33203125" style="188" bestFit="1" customWidth="1" collapsed="1"/>
    <col min="4" max="4" width="18.77734375" style="192" customWidth="1"/>
    <col min="5" max="5" width="9" style="188" bestFit="1" customWidth="1"/>
    <col min="6" max="6" width="18.77734375" style="192" customWidth="1"/>
    <col min="7" max="7" width="5" style="188" customWidth="1"/>
    <col min="8" max="8" width="12.44140625" style="188" hidden="1" customWidth="1" outlineLevel="1"/>
    <col min="9" max="9" width="8.5546875" style="188" hidden="1" customWidth="1" outlineLevel="1"/>
    <col min="10" max="10" width="25.77734375" style="188" customWidth="1" collapsed="1"/>
    <col min="11" max="11" width="8.77734375" style="188" customWidth="1"/>
    <col min="12" max="13" width="7.77734375" style="186" customWidth="1"/>
    <col min="14" max="14" width="11.109375" style="186" customWidth="1"/>
    <col min="15" max="16384" width="8.88671875" style="110"/>
  </cols>
  <sheetData>
    <row r="1" spans="1:14" ht="18.600000000000001" customHeight="1" thickBot="1" x14ac:dyDescent="0.4">
      <c r="A1" s="313" t="s">
        <v>137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14.4" customHeight="1" thickBot="1" x14ac:dyDescent="0.35">
      <c r="A2" s="207" t="s">
        <v>214</v>
      </c>
      <c r="B2" s="57"/>
      <c r="C2" s="190"/>
      <c r="D2" s="190"/>
      <c r="E2" s="190"/>
      <c r="F2" s="190"/>
      <c r="G2" s="190"/>
      <c r="H2" s="190"/>
      <c r="I2" s="190"/>
      <c r="J2" s="190"/>
      <c r="K2" s="190"/>
      <c r="L2" s="191"/>
      <c r="M2" s="191"/>
      <c r="N2" s="191"/>
    </row>
    <row r="3" spans="1:14" ht="14.4" customHeight="1" thickBot="1" x14ac:dyDescent="0.35">
      <c r="A3" s="57"/>
      <c r="B3" s="57"/>
      <c r="C3" s="309"/>
      <c r="D3" s="310"/>
      <c r="E3" s="310"/>
      <c r="F3" s="310"/>
      <c r="G3" s="310"/>
      <c r="H3" s="310"/>
      <c r="I3" s="310"/>
      <c r="J3" s="311" t="s">
        <v>116</v>
      </c>
      <c r="K3" s="312"/>
      <c r="L3" s="79">
        <f>IF(M3&lt;&gt;0,N3/M3,0)</f>
        <v>649.13923177749223</v>
      </c>
      <c r="M3" s="79">
        <f>SUBTOTAL(9,M5:M1048576)</f>
        <v>6.03</v>
      </c>
      <c r="N3" s="80">
        <f>SUBTOTAL(9,N5:N1048576)</f>
        <v>3914.3095676182784</v>
      </c>
    </row>
    <row r="4" spans="1:14" s="187" customFormat="1" ht="14.4" customHeight="1" thickBot="1" x14ac:dyDescent="0.35">
      <c r="A4" s="370" t="s">
        <v>7</v>
      </c>
      <c r="B4" s="371" t="s">
        <v>8</v>
      </c>
      <c r="C4" s="371" t="s">
        <v>0</v>
      </c>
      <c r="D4" s="371" t="s">
        <v>9</v>
      </c>
      <c r="E4" s="371" t="s">
        <v>10</v>
      </c>
      <c r="F4" s="371" t="s">
        <v>2</v>
      </c>
      <c r="G4" s="371" t="s">
        <v>11</v>
      </c>
      <c r="H4" s="371" t="s">
        <v>12</v>
      </c>
      <c r="I4" s="371" t="s">
        <v>13</v>
      </c>
      <c r="J4" s="372" t="s">
        <v>14</v>
      </c>
      <c r="K4" s="372" t="s">
        <v>15</v>
      </c>
      <c r="L4" s="373" t="s">
        <v>123</v>
      </c>
      <c r="M4" s="373" t="s">
        <v>16</v>
      </c>
      <c r="N4" s="374" t="s">
        <v>131</v>
      </c>
    </row>
    <row r="5" spans="1:14" ht="14.4" customHeight="1" x14ac:dyDescent="0.3">
      <c r="A5" s="375" t="s">
        <v>419</v>
      </c>
      <c r="B5" s="376" t="s">
        <v>421</v>
      </c>
      <c r="C5" s="377" t="s">
        <v>425</v>
      </c>
      <c r="D5" s="378" t="s">
        <v>426</v>
      </c>
      <c r="E5" s="377" t="s">
        <v>422</v>
      </c>
      <c r="F5" s="378" t="s">
        <v>423</v>
      </c>
      <c r="G5" s="377" t="s">
        <v>429</v>
      </c>
      <c r="H5" s="377" t="s">
        <v>430</v>
      </c>
      <c r="I5" s="377" t="s">
        <v>162</v>
      </c>
      <c r="J5" s="377" t="s">
        <v>431</v>
      </c>
      <c r="K5" s="377"/>
      <c r="L5" s="379">
        <v>513.11390062047258</v>
      </c>
      <c r="M5" s="379">
        <v>4</v>
      </c>
      <c r="N5" s="380">
        <v>2052.4556024818903</v>
      </c>
    </row>
    <row r="6" spans="1:14" ht="14.4" customHeight="1" x14ac:dyDescent="0.3">
      <c r="A6" s="381" t="s">
        <v>419</v>
      </c>
      <c r="B6" s="382" t="s">
        <v>421</v>
      </c>
      <c r="C6" s="383" t="s">
        <v>425</v>
      </c>
      <c r="D6" s="384" t="s">
        <v>426</v>
      </c>
      <c r="E6" s="383" t="s">
        <v>422</v>
      </c>
      <c r="F6" s="384" t="s">
        <v>423</v>
      </c>
      <c r="G6" s="383" t="s">
        <v>429</v>
      </c>
      <c r="H6" s="383" t="s">
        <v>432</v>
      </c>
      <c r="I6" s="383" t="s">
        <v>433</v>
      </c>
      <c r="J6" s="383" t="s">
        <v>434</v>
      </c>
      <c r="K6" s="383" t="s">
        <v>435</v>
      </c>
      <c r="L6" s="385">
        <v>56336.89</v>
      </c>
      <c r="M6" s="385">
        <v>0.03</v>
      </c>
      <c r="N6" s="386">
        <v>1690.1066999999998</v>
      </c>
    </row>
    <row r="7" spans="1:14" ht="14.4" customHeight="1" thickBot="1" x14ac:dyDescent="0.35">
      <c r="A7" s="387" t="s">
        <v>419</v>
      </c>
      <c r="B7" s="388" t="s">
        <v>421</v>
      </c>
      <c r="C7" s="389" t="s">
        <v>425</v>
      </c>
      <c r="D7" s="390" t="s">
        <v>426</v>
      </c>
      <c r="E7" s="389" t="s">
        <v>422</v>
      </c>
      <c r="F7" s="390" t="s">
        <v>423</v>
      </c>
      <c r="G7" s="389" t="s">
        <v>429</v>
      </c>
      <c r="H7" s="389" t="s">
        <v>436</v>
      </c>
      <c r="I7" s="389" t="s">
        <v>162</v>
      </c>
      <c r="J7" s="389" t="s">
        <v>437</v>
      </c>
      <c r="K7" s="389" t="s">
        <v>438</v>
      </c>
      <c r="L7" s="391">
        <v>85.873632568194211</v>
      </c>
      <c r="M7" s="391">
        <v>2</v>
      </c>
      <c r="N7" s="392">
        <v>171.74726513638842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87" bestFit="1" customWidth="1"/>
    <col min="2" max="2" width="9.33203125" style="187" customWidth="1"/>
    <col min="3" max="3" width="28.88671875" style="110" bestFit="1" customWidth="1"/>
    <col min="4" max="5" width="11.109375" style="188" customWidth="1"/>
    <col min="6" max="6" width="6.6640625" style="189" customWidth="1"/>
    <col min="7" max="7" width="12.21875" style="186" bestFit="1" customWidth="1"/>
    <col min="8" max="8" width="0" style="110" hidden="1" customWidth="1"/>
    <col min="9" max="16384" width="8.88671875" style="110"/>
  </cols>
  <sheetData>
    <row r="1" spans="1:9" ht="18.600000000000001" customHeight="1" thickBot="1" x14ac:dyDescent="0.4">
      <c r="A1" s="307" t="s">
        <v>119</v>
      </c>
      <c r="B1" s="308"/>
      <c r="C1" s="308"/>
      <c r="D1" s="308"/>
      <c r="E1" s="308"/>
      <c r="F1" s="308"/>
      <c r="G1" s="284"/>
    </row>
    <row r="2" spans="1:9" ht="14.4" customHeight="1" thickBot="1" x14ac:dyDescent="0.35">
      <c r="A2" s="207" t="s">
        <v>214</v>
      </c>
      <c r="B2" s="185"/>
      <c r="C2" s="185"/>
      <c r="D2" s="185"/>
      <c r="E2" s="185"/>
      <c r="F2" s="185"/>
    </row>
    <row r="3" spans="1:9" ht="14.4" customHeight="1" thickBot="1" x14ac:dyDescent="0.35">
      <c r="A3" s="63" t="s">
        <v>0</v>
      </c>
      <c r="B3" s="64" t="s">
        <v>1</v>
      </c>
      <c r="C3" s="76" t="s">
        <v>2</v>
      </c>
      <c r="D3" s="77" t="s">
        <v>3</v>
      </c>
      <c r="E3" s="77" t="s">
        <v>4</v>
      </c>
      <c r="F3" s="77" t="s">
        <v>5</v>
      </c>
      <c r="G3" s="78" t="s">
        <v>122</v>
      </c>
    </row>
    <row r="4" spans="1:9" ht="14.4" customHeight="1" x14ac:dyDescent="0.3">
      <c r="A4" s="366" t="s">
        <v>419</v>
      </c>
      <c r="B4" s="367" t="s">
        <v>420</v>
      </c>
      <c r="C4" s="368" t="s">
        <v>421</v>
      </c>
      <c r="D4" s="368" t="s">
        <v>420</v>
      </c>
      <c r="E4" s="368" t="s">
        <v>420</v>
      </c>
      <c r="F4" s="369" t="s">
        <v>420</v>
      </c>
      <c r="G4" s="368" t="s">
        <v>420</v>
      </c>
      <c r="H4" s="368" t="s">
        <v>58</v>
      </c>
      <c r="I4"/>
    </row>
    <row r="5" spans="1:9" ht="14.4" customHeight="1" x14ac:dyDescent="0.3">
      <c r="A5" s="366" t="s">
        <v>419</v>
      </c>
      <c r="B5" s="367" t="s">
        <v>439</v>
      </c>
      <c r="C5" s="368" t="s">
        <v>440</v>
      </c>
      <c r="D5" s="368">
        <v>160962.59118266366</v>
      </c>
      <c r="E5" s="368">
        <v>181569.14999999997</v>
      </c>
      <c r="F5" s="369">
        <v>1.1280207945581067</v>
      </c>
      <c r="G5" s="368">
        <v>20606.558817336307</v>
      </c>
      <c r="H5" s="368" t="s">
        <v>2</v>
      </c>
      <c r="I5"/>
    </row>
    <row r="6" spans="1:9" ht="14.4" customHeight="1" x14ac:dyDescent="0.3">
      <c r="A6" s="366" t="s">
        <v>419</v>
      </c>
      <c r="B6" s="367" t="s">
        <v>441</v>
      </c>
      <c r="C6" s="368" t="s">
        <v>442</v>
      </c>
      <c r="D6" s="368">
        <v>5513.2523067601169</v>
      </c>
      <c r="E6" s="368">
        <v>5755.25</v>
      </c>
      <c r="F6" s="369">
        <v>1.0438938179816577</v>
      </c>
      <c r="G6" s="368">
        <v>241.99769323988312</v>
      </c>
      <c r="H6" s="368" t="s">
        <v>2</v>
      </c>
      <c r="I6"/>
    </row>
    <row r="7" spans="1:9" ht="14.4" customHeight="1" x14ac:dyDescent="0.3">
      <c r="A7" s="366" t="s">
        <v>419</v>
      </c>
      <c r="B7" s="367" t="s">
        <v>443</v>
      </c>
      <c r="C7" s="368" t="s">
        <v>444</v>
      </c>
      <c r="D7" s="368">
        <v>19301.236262792332</v>
      </c>
      <c r="E7" s="368">
        <v>18087.349999999995</v>
      </c>
      <c r="F7" s="369">
        <v>0.93710836724317037</v>
      </c>
      <c r="G7" s="368">
        <v>-1213.8862627923372</v>
      </c>
      <c r="H7" s="368" t="s">
        <v>2</v>
      </c>
      <c r="I7"/>
    </row>
    <row r="8" spans="1:9" ht="14.4" customHeight="1" x14ac:dyDescent="0.3">
      <c r="A8" s="366" t="s">
        <v>419</v>
      </c>
      <c r="B8" s="367" t="s">
        <v>445</v>
      </c>
      <c r="C8" s="368" t="s">
        <v>446</v>
      </c>
      <c r="D8" s="368">
        <v>5500.3477002223162</v>
      </c>
      <c r="E8" s="368">
        <v>3736.37</v>
      </c>
      <c r="F8" s="369">
        <v>0.67929705604774426</v>
      </c>
      <c r="G8" s="368">
        <v>-1763.9777002223163</v>
      </c>
      <c r="H8" s="368" t="s">
        <v>2</v>
      </c>
      <c r="I8"/>
    </row>
    <row r="9" spans="1:9" ht="14.4" customHeight="1" x14ac:dyDescent="0.3">
      <c r="A9" s="366" t="s">
        <v>419</v>
      </c>
      <c r="B9" s="367" t="s">
        <v>447</v>
      </c>
      <c r="C9" s="368" t="s">
        <v>448</v>
      </c>
      <c r="D9" s="368">
        <v>10.258157653943833</v>
      </c>
      <c r="E9" s="368">
        <v>413</v>
      </c>
      <c r="F9" s="369">
        <v>40.260640743927226</v>
      </c>
      <c r="G9" s="368">
        <v>402.74184234605616</v>
      </c>
      <c r="H9" s="368" t="s">
        <v>2</v>
      </c>
      <c r="I9"/>
    </row>
    <row r="10" spans="1:9" ht="14.4" customHeight="1" x14ac:dyDescent="0.3">
      <c r="A10" s="366" t="s">
        <v>419</v>
      </c>
      <c r="B10" s="367" t="s">
        <v>449</v>
      </c>
      <c r="C10" s="368" t="s">
        <v>450</v>
      </c>
      <c r="D10" s="368">
        <v>7123.0769043839673</v>
      </c>
      <c r="E10" s="368">
        <v>7691.3</v>
      </c>
      <c r="F10" s="369">
        <v>1.0797721410625674</v>
      </c>
      <c r="G10" s="368">
        <v>568.22309561603288</v>
      </c>
      <c r="H10" s="368" t="s">
        <v>2</v>
      </c>
      <c r="I10"/>
    </row>
    <row r="11" spans="1:9" ht="14.4" customHeight="1" x14ac:dyDescent="0.3">
      <c r="A11" s="366" t="s">
        <v>419</v>
      </c>
      <c r="B11" s="367" t="s">
        <v>6</v>
      </c>
      <c r="C11" s="368" t="s">
        <v>421</v>
      </c>
      <c r="D11" s="368">
        <v>198410.76251447632</v>
      </c>
      <c r="E11" s="368">
        <v>217252.41999999995</v>
      </c>
      <c r="F11" s="369">
        <v>1.0949628802729334</v>
      </c>
      <c r="G11" s="368">
        <v>18841.657485523639</v>
      </c>
      <c r="H11" s="368" t="s">
        <v>424</v>
      </c>
      <c r="I11"/>
    </row>
    <row r="13" spans="1:9" ht="14.4" customHeight="1" x14ac:dyDescent="0.3">
      <c r="A13" s="366" t="s">
        <v>419</v>
      </c>
      <c r="B13" s="367" t="s">
        <v>420</v>
      </c>
      <c r="C13" s="368" t="s">
        <v>421</v>
      </c>
      <c r="D13" s="368" t="s">
        <v>420</v>
      </c>
      <c r="E13" s="368" t="s">
        <v>420</v>
      </c>
      <c r="F13" s="369" t="s">
        <v>420</v>
      </c>
      <c r="G13" s="368" t="s">
        <v>420</v>
      </c>
      <c r="H13" s="368" t="s">
        <v>58</v>
      </c>
      <c r="I13"/>
    </row>
    <row r="14" spans="1:9" ht="14.4" customHeight="1" x14ac:dyDescent="0.3">
      <c r="A14" s="366" t="s">
        <v>425</v>
      </c>
      <c r="B14" s="367" t="s">
        <v>439</v>
      </c>
      <c r="C14" s="368" t="s">
        <v>440</v>
      </c>
      <c r="D14" s="368">
        <v>160962.59118266366</v>
      </c>
      <c r="E14" s="368">
        <v>181569.14999999997</v>
      </c>
      <c r="F14" s="369">
        <v>1.1280207945581067</v>
      </c>
      <c r="G14" s="368">
        <v>20606.558817336307</v>
      </c>
      <c r="H14" s="368" t="s">
        <v>2</v>
      </c>
      <c r="I14"/>
    </row>
    <row r="15" spans="1:9" ht="14.4" customHeight="1" x14ac:dyDescent="0.3">
      <c r="A15" s="366" t="s">
        <v>425</v>
      </c>
      <c r="B15" s="367" t="s">
        <v>441</v>
      </c>
      <c r="C15" s="368" t="s">
        <v>442</v>
      </c>
      <c r="D15" s="368">
        <v>5513.2523067601169</v>
      </c>
      <c r="E15" s="368">
        <v>5755.25</v>
      </c>
      <c r="F15" s="369">
        <v>1.0438938179816577</v>
      </c>
      <c r="G15" s="368">
        <v>241.99769323988312</v>
      </c>
      <c r="H15" s="368" t="s">
        <v>2</v>
      </c>
      <c r="I15"/>
    </row>
    <row r="16" spans="1:9" ht="14.4" customHeight="1" x14ac:dyDescent="0.3">
      <c r="A16" s="366" t="s">
        <v>425</v>
      </c>
      <c r="B16" s="367" t="s">
        <v>443</v>
      </c>
      <c r="C16" s="368" t="s">
        <v>444</v>
      </c>
      <c r="D16" s="368">
        <v>19301.236262792332</v>
      </c>
      <c r="E16" s="368">
        <v>18087.349999999995</v>
      </c>
      <c r="F16" s="369">
        <v>0.93710836724317037</v>
      </c>
      <c r="G16" s="368">
        <v>-1213.8862627923372</v>
      </c>
      <c r="H16" s="368" t="s">
        <v>2</v>
      </c>
      <c r="I16"/>
    </row>
    <row r="17" spans="1:9" ht="14.4" customHeight="1" x14ac:dyDescent="0.3">
      <c r="A17" s="366" t="s">
        <v>425</v>
      </c>
      <c r="B17" s="367" t="s">
        <v>445</v>
      </c>
      <c r="C17" s="368" t="s">
        <v>446</v>
      </c>
      <c r="D17" s="368">
        <v>5500.3477002223162</v>
      </c>
      <c r="E17" s="368">
        <v>3736.37</v>
      </c>
      <c r="F17" s="369">
        <v>0.67929705604774426</v>
      </c>
      <c r="G17" s="368">
        <v>-1763.9777002223163</v>
      </c>
      <c r="H17" s="368" t="s">
        <v>2</v>
      </c>
      <c r="I17"/>
    </row>
    <row r="18" spans="1:9" ht="14.4" customHeight="1" x14ac:dyDescent="0.3">
      <c r="A18" s="366" t="s">
        <v>425</v>
      </c>
      <c r="B18" s="367" t="s">
        <v>447</v>
      </c>
      <c r="C18" s="368" t="s">
        <v>448</v>
      </c>
      <c r="D18" s="368">
        <v>10.258157653943833</v>
      </c>
      <c r="E18" s="368">
        <v>413</v>
      </c>
      <c r="F18" s="369">
        <v>40.260640743927226</v>
      </c>
      <c r="G18" s="368">
        <v>402.74184234605616</v>
      </c>
      <c r="H18" s="368" t="s">
        <v>2</v>
      </c>
      <c r="I18"/>
    </row>
    <row r="19" spans="1:9" ht="14.4" customHeight="1" x14ac:dyDescent="0.3">
      <c r="A19" s="366" t="s">
        <v>425</v>
      </c>
      <c r="B19" s="367" t="s">
        <v>449</v>
      </c>
      <c r="C19" s="368" t="s">
        <v>450</v>
      </c>
      <c r="D19" s="368">
        <v>7123.0769043839673</v>
      </c>
      <c r="E19" s="368">
        <v>7691.3</v>
      </c>
      <c r="F19" s="369">
        <v>1.0797721410625674</v>
      </c>
      <c r="G19" s="368">
        <v>568.22309561603288</v>
      </c>
      <c r="H19" s="368" t="s">
        <v>2</v>
      </c>
      <c r="I19"/>
    </row>
    <row r="20" spans="1:9" ht="14.4" customHeight="1" x14ac:dyDescent="0.3">
      <c r="A20" s="366" t="s">
        <v>425</v>
      </c>
      <c r="B20" s="367" t="s">
        <v>6</v>
      </c>
      <c r="C20" s="368" t="s">
        <v>426</v>
      </c>
      <c r="D20" s="368">
        <v>198410.76251447632</v>
      </c>
      <c r="E20" s="368">
        <v>217252.41999999995</v>
      </c>
      <c r="F20" s="369">
        <v>1.0949628802729334</v>
      </c>
      <c r="G20" s="368">
        <v>18841.657485523639</v>
      </c>
      <c r="H20" s="368" t="s">
        <v>427</v>
      </c>
      <c r="I20"/>
    </row>
    <row r="21" spans="1:9" ht="14.4" customHeight="1" x14ac:dyDescent="0.3">
      <c r="A21" s="366" t="s">
        <v>420</v>
      </c>
      <c r="B21" s="367" t="s">
        <v>420</v>
      </c>
      <c r="C21" s="368" t="s">
        <v>420</v>
      </c>
      <c r="D21" s="368" t="s">
        <v>420</v>
      </c>
      <c r="E21" s="368" t="s">
        <v>420</v>
      </c>
      <c r="F21" s="369" t="s">
        <v>420</v>
      </c>
      <c r="G21" s="368" t="s">
        <v>420</v>
      </c>
      <c r="H21" s="368" t="s">
        <v>428</v>
      </c>
      <c r="I21"/>
    </row>
    <row r="22" spans="1:9" ht="14.4" customHeight="1" x14ac:dyDescent="0.3">
      <c r="A22" s="366" t="s">
        <v>419</v>
      </c>
      <c r="B22" s="367" t="s">
        <v>6</v>
      </c>
      <c r="C22" s="368" t="s">
        <v>421</v>
      </c>
      <c r="D22" s="368">
        <v>198410.76251447632</v>
      </c>
      <c r="E22" s="368">
        <v>217252.41999999995</v>
      </c>
      <c r="F22" s="369">
        <v>1.0949628802729334</v>
      </c>
      <c r="G22" s="368">
        <v>18841.657485523639</v>
      </c>
      <c r="H22" s="368" t="s">
        <v>424</v>
      </c>
      <c r="I22"/>
    </row>
  </sheetData>
  <autoFilter ref="A3:G3"/>
  <mergeCells count="1">
    <mergeCell ref="A1:G1"/>
  </mergeCells>
  <conditionalFormatting sqref="F12 F23:F65536">
    <cfRule type="cellIs" dxfId="15" priority="15" stopIfTrue="1" operator="greaterThan">
      <formula>1</formula>
    </cfRule>
  </conditionalFormatting>
  <conditionalFormatting sqref="G4:G11">
    <cfRule type="cellIs" dxfId="14" priority="9" operator="greaterThan">
      <formula>0</formula>
    </cfRule>
  </conditionalFormatting>
  <conditionalFormatting sqref="B4:B11">
    <cfRule type="expression" dxfId="13" priority="12">
      <formula>AND(LEFT(H4,6)&lt;&gt;"mezera",H4&lt;&gt;"")</formula>
    </cfRule>
  </conditionalFormatting>
  <conditionalFormatting sqref="A4:A11">
    <cfRule type="expression" dxfId="12" priority="10">
      <formula>AND(H4&lt;&gt;"",H4&lt;&gt;"mezeraKL")</formula>
    </cfRule>
  </conditionalFormatting>
  <conditionalFormatting sqref="F4:F11">
    <cfRule type="cellIs" dxfId="11" priority="8" operator="greaterThan">
      <formula>1</formula>
    </cfRule>
  </conditionalFormatting>
  <conditionalFormatting sqref="B4:G11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1">
    <cfRule type="expression" dxfId="8" priority="14">
      <formula>$H4&lt;&gt;""</formula>
    </cfRule>
  </conditionalFormatting>
  <conditionalFormatting sqref="G13:G22">
    <cfRule type="cellIs" dxfId="7" priority="1" operator="greaterThan">
      <formula>0</formula>
    </cfRule>
  </conditionalFormatting>
  <conditionalFormatting sqref="F13:F22">
    <cfRule type="cellIs" dxfId="6" priority="2" operator="greaterThan">
      <formula>1</formula>
    </cfRule>
  </conditionalFormatting>
  <conditionalFormatting sqref="B13:B22">
    <cfRule type="expression" dxfId="5" priority="5">
      <formula>AND(LEFT(H13,6)&lt;&gt;"mezera",H13&lt;&gt;"")</formula>
    </cfRule>
  </conditionalFormatting>
  <conditionalFormatting sqref="A13:A22">
    <cfRule type="expression" dxfId="4" priority="3">
      <formula>AND(H13&lt;&gt;"",H13&lt;&gt;"mezeraKL")</formula>
    </cfRule>
  </conditionalFormatting>
  <conditionalFormatting sqref="B13:G22">
    <cfRule type="expression" dxfId="3" priority="4">
      <formula>OR($H13="KL",$H13="SumaKL")</formula>
    </cfRule>
    <cfRule type="expression" dxfId="2" priority="6">
      <formula>$H13="SumaNS"</formula>
    </cfRule>
  </conditionalFormatting>
  <conditionalFormatting sqref="A13:G22">
    <cfRule type="expression" dxfId="1" priority="7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2014-03-27T10:31:15Z</dcterms:modified>
</cp:coreProperties>
</file>